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POULAN POUZOLS - ESPIE Jacky\Dossier déposé 02 05 2024\"/>
    </mc:Choice>
  </mc:AlternateContent>
  <xr:revisionPtr revIDLastSave="0" documentId="13_ncr:1_{456F90D6-F931-41C9-A0AD-0DE2CE648AC1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19" i="2" a="1"/>
  <c r="AH1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38" i="2" l="1" a="1"/>
  <c r="CS38" i="2" s="1"/>
  <c r="CS105" i="2" a="1"/>
  <c r="CS105" i="2" s="1"/>
  <c r="CS161" i="2" a="1"/>
  <c r="CS161" i="2" s="1"/>
  <c r="CS120" i="2" a="1"/>
  <c r="CS120" i="2" s="1"/>
  <c r="CS77" i="2" a="1"/>
  <c r="CS77" i="2" s="1"/>
  <c r="CS56" i="2" a="1"/>
  <c r="CS56" i="2" s="1"/>
  <c r="CS185" i="2" a="1"/>
  <c r="CS185" i="2" s="1"/>
  <c r="CS24" i="2" a="1"/>
  <c r="CS24" i="2" s="1"/>
  <c r="CS129" i="2" a="1"/>
  <c r="CS129" i="2" s="1"/>
  <c r="CS134" i="2" a="1"/>
  <c r="CS134" i="2" s="1"/>
  <c r="CS52" i="2" a="1"/>
  <c r="CS52" i="2" s="1"/>
  <c r="CS72" i="2" a="1"/>
  <c r="CS72" i="2" s="1"/>
  <c r="CS137" i="2" a="1"/>
  <c r="CS137" i="2" s="1"/>
  <c r="CS116" i="2" a="1"/>
  <c r="CS116" i="2" s="1"/>
  <c r="CS66" i="2" a="1"/>
  <c r="CS66" i="2" s="1"/>
  <c r="BX107" i="2" a="1"/>
  <c r="BX107" i="2" s="1"/>
  <c r="AH166" i="2" a="1"/>
  <c r="AH166" i="2" s="1"/>
  <c r="BC34" i="2" a="1"/>
  <c r="BC34" i="2" s="1"/>
  <c r="AH90" i="2" a="1"/>
  <c r="AH90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152" i="2" l="1"/>
  <c r="CD158" i="2"/>
  <c r="CD65" i="2"/>
  <c r="CD120" i="2"/>
  <c r="CD99" i="2"/>
  <c r="CD108" i="2"/>
  <c r="CD33" i="2"/>
  <c r="CD59" i="2"/>
  <c r="CD103" i="2"/>
  <c r="CD121" i="2"/>
  <c r="CD105" i="2"/>
  <c r="CD88" i="2"/>
  <c r="CD151" i="2"/>
  <c r="CD193" i="2"/>
  <c r="CD60" i="2"/>
  <c r="CD125" i="2"/>
  <c r="CD161" i="2"/>
  <c r="CD155" i="2"/>
  <c r="CD70" i="2"/>
  <c r="CD114" i="2"/>
  <c r="CD100" i="2"/>
  <c r="CD160" i="2"/>
  <c r="CD50" i="2"/>
  <c r="CD7" i="2"/>
  <c r="CD34" i="2"/>
  <c r="CD172" i="2"/>
  <c r="CD6" i="2"/>
  <c r="CD68" i="2"/>
  <c r="CD136" i="2"/>
  <c r="CD122" i="2"/>
  <c r="CD148" i="2"/>
  <c r="CD201" i="2"/>
  <c r="CD12" i="2"/>
  <c r="CD62" i="2"/>
  <c r="CD41" i="2"/>
  <c r="CD56" i="2"/>
  <c r="CD135" i="2"/>
  <c r="CD18" i="2"/>
  <c r="CD109" i="2"/>
  <c r="CD86" i="2"/>
  <c r="CD61" i="2"/>
  <c r="CD181" i="2"/>
  <c r="CD186" i="2"/>
  <c r="CD80" i="2"/>
  <c r="CD106" i="2"/>
  <c r="CD45" i="2"/>
  <c r="CD203" i="2"/>
  <c r="CD78" i="2"/>
  <c r="CD28" i="2"/>
  <c r="CD13" i="2"/>
  <c r="CD162" i="2"/>
  <c r="CD82" i="2"/>
  <c r="CD196" i="2"/>
  <c r="CD190" i="2"/>
  <c r="CD67" i="2"/>
  <c r="CD24" i="2"/>
  <c r="CD126" i="2"/>
  <c r="CD144" i="2"/>
  <c r="CD69" i="2"/>
  <c r="CD74" i="2"/>
  <c r="CD113" i="2"/>
  <c r="CD85" i="2"/>
  <c r="CD46" i="2"/>
  <c r="CD143" i="2"/>
  <c r="CD17" i="2"/>
  <c r="CD84" i="2"/>
  <c r="CD171" i="2"/>
  <c r="CD147" i="2"/>
  <c r="CD191" i="2"/>
  <c r="CD131" i="2"/>
  <c r="CD132" i="2"/>
  <c r="CD133" i="2"/>
  <c r="CD40" i="2"/>
  <c r="CD167" i="2"/>
  <c r="CD194" i="2"/>
  <c r="CD49" i="2"/>
  <c r="CD72" i="2"/>
  <c r="CD9" i="2"/>
  <c r="CD23" i="2"/>
  <c r="CD195" i="2"/>
  <c r="CD173" i="2"/>
  <c r="CD57" i="2"/>
  <c r="CD26" i="2"/>
  <c r="CD48" i="2"/>
  <c r="CD94" i="2"/>
  <c r="CD101" i="2"/>
  <c r="CD164" i="2"/>
  <c r="CD192" i="2"/>
  <c r="CD129" i="2"/>
  <c r="CD75" i="2"/>
  <c r="CD177" i="2"/>
  <c r="CD154" i="2"/>
  <c r="CD153" i="2"/>
  <c r="CD27" i="2"/>
  <c r="CD47" i="2"/>
  <c r="CD97" i="2"/>
  <c r="CD19" i="2"/>
  <c r="CD189" i="2"/>
  <c r="CD139" i="2"/>
  <c r="CD39" i="2"/>
  <c r="CD21" i="2"/>
  <c r="CD176" i="2"/>
  <c r="CD92" i="2"/>
  <c r="CD157" i="2"/>
  <c r="CD96" i="2"/>
  <c r="CD3" i="2"/>
  <c r="C9" i="4" s="1"/>
  <c r="E9" i="4" s="1"/>
  <c r="F9" i="4" s="1"/>
  <c r="G9" i="4" s="1"/>
  <c r="L9" i="4" s="1"/>
  <c r="M9" i="4" s="1"/>
  <c r="CD182" i="2"/>
  <c r="CD93" i="2"/>
  <c r="CD112" i="2"/>
  <c r="CD36" i="2"/>
  <c r="CD76" i="2"/>
  <c r="CD29" i="2"/>
  <c r="CD20" i="2"/>
  <c r="CD138" i="2"/>
  <c r="CD25" i="2"/>
  <c r="CD170" i="2"/>
  <c r="CD169" i="2"/>
  <c r="CD168" i="2"/>
  <c r="CD51" i="2"/>
  <c r="CD146" i="2"/>
  <c r="CD184" i="2"/>
  <c r="CD77" i="2"/>
  <c r="CD156" i="2"/>
  <c r="CD130" i="2"/>
  <c r="CD124" i="2"/>
  <c r="CD98" i="2"/>
  <c r="CD118" i="2"/>
  <c r="CD145" i="2"/>
  <c r="CD42" i="2"/>
  <c r="CD187" i="2"/>
  <c r="CD30" i="2"/>
  <c r="CD14" i="2"/>
  <c r="CD165" i="2"/>
  <c r="CD117" i="2"/>
  <c r="CD110" i="2"/>
  <c r="CD87" i="2"/>
  <c r="CD198" i="2"/>
  <c r="CD63" i="2"/>
  <c r="CD197" i="2"/>
  <c r="CD141" i="2"/>
  <c r="CD43" i="2"/>
  <c r="CD35" i="2"/>
  <c r="CD180" i="2"/>
  <c r="CD44" i="2"/>
  <c r="CD90" i="2"/>
  <c r="CD32" i="2"/>
  <c r="CD159" i="2"/>
  <c r="CD38" i="2"/>
  <c r="CD102" i="2"/>
  <c r="CD58" i="2"/>
  <c r="CD127" i="2"/>
  <c r="CD202" i="2"/>
  <c r="CD81" i="2"/>
  <c r="CD175" i="2"/>
  <c r="CD115" i="2"/>
  <c r="CD119" i="2"/>
  <c r="CD178" i="2"/>
  <c r="CD22" i="2"/>
  <c r="CD185" i="2"/>
  <c r="CD199" i="2"/>
  <c r="CD116" i="2"/>
  <c r="CD91" i="2"/>
  <c r="CD137" i="2"/>
  <c r="CD111" i="2"/>
  <c r="CD149" i="2"/>
  <c r="CD95" i="2"/>
  <c r="CD55" i="2"/>
  <c r="CD188" i="2"/>
  <c r="CD166" i="2"/>
  <c r="CD10" i="2"/>
  <c r="CD174" i="2"/>
  <c r="CD89" i="2"/>
  <c r="CD142" i="2"/>
  <c r="CD4" i="2"/>
  <c r="CD66" i="2"/>
  <c r="CD73" i="2"/>
  <c r="CD140" i="2"/>
  <c r="CD200" i="2"/>
  <c r="CD15" i="2"/>
  <c r="CD83" i="2"/>
  <c r="CD134" i="2"/>
  <c r="CD37" i="2"/>
  <c r="CD8" i="2"/>
  <c r="CD163" i="2"/>
  <c r="CD52" i="2"/>
  <c r="CD11" i="2"/>
  <c r="CD179" i="2"/>
  <c r="CD107" i="2"/>
  <c r="CD123" i="2"/>
  <c r="CD71" i="2"/>
  <c r="CD183" i="2"/>
  <c r="CD150" i="2"/>
  <c r="CD31" i="2"/>
  <c r="CD16" i="2"/>
  <c r="CD64" i="2"/>
  <c r="CD54" i="2"/>
  <c r="CD53" i="2"/>
  <c r="CD128" i="2"/>
  <c r="CD79" i="2"/>
  <c r="CD104" i="2"/>
  <c r="CD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M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01" i="2" l="1"/>
  <c r="BI47" i="2"/>
  <c r="BI142" i="2"/>
  <c r="BI135" i="2"/>
  <c r="BI89" i="2"/>
  <c r="BI32" i="2"/>
  <c r="BI42" i="2"/>
  <c r="BI26" i="2"/>
  <c r="BI4" i="2"/>
  <c r="BI78" i="2"/>
  <c r="BI7" i="2"/>
  <c r="BI10" i="2"/>
  <c r="BI148" i="2"/>
  <c r="BI141" i="2"/>
  <c r="BI129" i="2"/>
  <c r="BI162" i="2"/>
  <c r="BI19" i="2"/>
  <c r="BI3" i="2"/>
  <c r="C8" i="4" s="1"/>
  <c r="E8" i="4" s="1"/>
  <c r="F8" i="4" s="1"/>
  <c r="G8" i="4" s="1"/>
  <c r="L8" i="4" s="1"/>
  <c r="BI24" i="2"/>
  <c r="BI120" i="2"/>
  <c r="BI85" i="2"/>
  <c r="BI9" i="2"/>
  <c r="BI16" i="2"/>
  <c r="BI193" i="2"/>
  <c r="BI30" i="2"/>
  <c r="BI109" i="2"/>
  <c r="BI31" i="2"/>
  <c r="BI122" i="2"/>
  <c r="BI63" i="2"/>
  <c r="BI39" i="2"/>
  <c r="BI12" i="2"/>
  <c r="BI92" i="2"/>
  <c r="BI70" i="2"/>
  <c r="BI118" i="2"/>
  <c r="BI41" i="2"/>
  <c r="BI130" i="2"/>
  <c r="BI40" i="2"/>
  <c r="BI139" i="2"/>
  <c r="BI156" i="2"/>
  <c r="BI183" i="2"/>
  <c r="BI68" i="2"/>
  <c r="BI17" i="2"/>
  <c r="BI157" i="2"/>
  <c r="BI178" i="2"/>
  <c r="BI143" i="2"/>
  <c r="BI44" i="2"/>
  <c r="BI113" i="2"/>
  <c r="BI52" i="2"/>
  <c r="BI95" i="2"/>
  <c r="BI73" i="2"/>
  <c r="BI163" i="2"/>
  <c r="BI154" i="2"/>
  <c r="BI6" i="2"/>
  <c r="BI111" i="2"/>
  <c r="BI125" i="2"/>
  <c r="BI185" i="2"/>
  <c r="BI61" i="2"/>
  <c r="BI177" i="2"/>
  <c r="BI131" i="2"/>
  <c r="BI21" i="2"/>
  <c r="BI102" i="2"/>
  <c r="BI48" i="2"/>
  <c r="BI174" i="2"/>
  <c r="BI64" i="2"/>
  <c r="BI182" i="2"/>
  <c r="BI119" i="2"/>
  <c r="BI51" i="2"/>
  <c r="BI186" i="2"/>
  <c r="BI90" i="2"/>
  <c r="BI91" i="2"/>
  <c r="BI123" i="2"/>
  <c r="BI11" i="2"/>
  <c r="BI173" i="2"/>
  <c r="BI79" i="2"/>
  <c r="BI59" i="2"/>
  <c r="BI57" i="2"/>
  <c r="BI74" i="2"/>
  <c r="BI170" i="2"/>
  <c r="BI104" i="2"/>
  <c r="BI60" i="2"/>
  <c r="BI34" i="2"/>
  <c r="BI33" i="2"/>
  <c r="BI168" i="2"/>
  <c r="BI22" i="2"/>
  <c r="BI203" i="2"/>
  <c r="BI191" i="2"/>
  <c r="BI46" i="2"/>
  <c r="BI84" i="2"/>
  <c r="BI28" i="2"/>
  <c r="BI188" i="2"/>
  <c r="BI117" i="2"/>
  <c r="BI202" i="2"/>
  <c r="BI140" i="2"/>
  <c r="BI14" i="2"/>
  <c r="BI126" i="2"/>
  <c r="BI20" i="2"/>
  <c r="BI150" i="2"/>
  <c r="BI180" i="2"/>
  <c r="BI153" i="2"/>
  <c r="BI66" i="2"/>
  <c r="BI187" i="2"/>
  <c r="BI56" i="2"/>
  <c r="BI36" i="2"/>
  <c r="BI53" i="2"/>
  <c r="BI110" i="2"/>
  <c r="BI196" i="2"/>
  <c r="BI105" i="2"/>
  <c r="BI94" i="2"/>
  <c r="BI55" i="2"/>
  <c r="BI161" i="2"/>
  <c r="BI93" i="2"/>
  <c r="BI138" i="2"/>
  <c r="BI13" i="2"/>
  <c r="BI106" i="2"/>
  <c r="BI136" i="2"/>
  <c r="BI108" i="2"/>
  <c r="BI155" i="2"/>
  <c r="BI172" i="2"/>
  <c r="BI127" i="2"/>
  <c r="BI5" i="2"/>
  <c r="BI124" i="2"/>
  <c r="BI50" i="2"/>
  <c r="BI76" i="2"/>
  <c r="BI103" i="2"/>
  <c r="BI115" i="2"/>
  <c r="BI158" i="2"/>
  <c r="BI69" i="2"/>
  <c r="BI159" i="2"/>
  <c r="BI54" i="2"/>
  <c r="BI107" i="2"/>
  <c r="BI72" i="2"/>
  <c r="BI49" i="2"/>
  <c r="BI65" i="2"/>
  <c r="BI137" i="2"/>
  <c r="BI144" i="2"/>
  <c r="BI58" i="2"/>
  <c r="BI189" i="2"/>
  <c r="BI87" i="2"/>
  <c r="BI192" i="2"/>
  <c r="BI75" i="2"/>
  <c r="BI145" i="2"/>
  <c r="BI200" i="2"/>
  <c r="BI194" i="2"/>
  <c r="BI83" i="2"/>
  <c r="BI18" i="2"/>
  <c r="BI25" i="2"/>
  <c r="BI152" i="2"/>
  <c r="BI8" i="2"/>
  <c r="BI147" i="2"/>
  <c r="BI181" i="2"/>
  <c r="BI121" i="2"/>
  <c r="BI195" i="2"/>
  <c r="BI98" i="2"/>
  <c r="BI132" i="2"/>
  <c r="BI151" i="2"/>
  <c r="BI80" i="2"/>
  <c r="BI77" i="2"/>
  <c r="BI27" i="2"/>
  <c r="BI164" i="2"/>
  <c r="BI134" i="2"/>
  <c r="BI43" i="2"/>
  <c r="BI166" i="2"/>
  <c r="BI45" i="2"/>
  <c r="BI35" i="2"/>
  <c r="BI23" i="2"/>
  <c r="BI171" i="2"/>
  <c r="BI96" i="2"/>
  <c r="BI176" i="2"/>
  <c r="BI175" i="2"/>
  <c r="BI146" i="2"/>
  <c r="BI184" i="2"/>
  <c r="BI67" i="2"/>
  <c r="BI198" i="2"/>
  <c r="BI37" i="2"/>
  <c r="BI190" i="2"/>
  <c r="BI82" i="2"/>
  <c r="BI128" i="2"/>
  <c r="BI38" i="2"/>
  <c r="BI29" i="2"/>
  <c r="BI149" i="2"/>
  <c r="BI116" i="2"/>
  <c r="BI167" i="2"/>
  <c r="BI112" i="2"/>
  <c r="BI160" i="2"/>
  <c r="BI169" i="2"/>
  <c r="BI88" i="2"/>
  <c r="BI201" i="2"/>
  <c r="BI71" i="2"/>
  <c r="BI179" i="2"/>
  <c r="BI165" i="2"/>
  <c r="BI199" i="2"/>
  <c r="BI99" i="2"/>
  <c r="BI114" i="2"/>
  <c r="BI86" i="2"/>
  <c r="BI100" i="2"/>
  <c r="BI62" i="2"/>
  <c r="BI197" i="2"/>
  <c r="BI15" i="2"/>
  <c r="BI133" i="2"/>
  <c r="BI97" i="2"/>
  <c r="BI81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<sst xmlns="http://schemas.openxmlformats.org/spreadsheetml/2006/main" count="1174" uniqueCount="324">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</sst>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3.0269032518129322</c:v>
                </c:pt>
                <c:pt idx="2">
                  <c:v>3.4510915733616798</c:v>
                </c:pt>
                <c:pt idx="3">
                  <c:v>3.9349355306541596</c:v>
                </c:pt>
                <c:pt idx="4">
                  <c:v>4.4868526974752925</c:v>
                </c:pt>
                <c:pt idx="5">
                  <c:v>5.1164520855825444</c:v>
                </c:pt>
                <c:pt idx="6">
                  <c:v>5.8347032704148916</c:v>
                </c:pt>
                <c:pt idx="7">
                  <c:v>6.6541295884695044</c:v>
                </c:pt>
                <c:pt idx="8">
                  <c:v>7.5890288408760744</c:v>
                </c:pt>
                <c:pt idx="9">
                  <c:v>8.6557254288350673</c:v>
                </c:pt>
                <c:pt idx="10">
                  <c:v>9.8728584080982102</c:v>
                </c:pt>
                <c:pt idx="11">
                  <c:v>11.26171059166041</c:v>
                </c:pt>
                <c:pt idx="12">
                  <c:v>12.846584563857478</c:v>
                </c:pt>
                <c:pt idx="13">
                  <c:v>14.655232308341526</c:v>
                </c:pt>
                <c:pt idx="14">
                  <c:v>16.719346112054513</c:v>
                </c:pt>
                <c:pt idx="15">
                  <c:v>19.075119504634994</c:v>
                </c:pt>
                <c:pt idx="16">
                  <c:v>21.763888247456226</c:v>
                </c:pt>
                <c:pt idx="17">
                  <c:v>24.832862821336619</c:v>
                </c:pt>
                <c:pt idx="18">
                  <c:v>28.335965502773913</c:v>
                </c:pt>
                <c:pt idx="19">
                  <c:v>32.334786994948594</c:v>
                </c:pt>
                <c:pt idx="20">
                  <c:v>36.899679725600237</c:v>
                </c:pt>
                <c:pt idx="21">
                  <c:v>42.111007377963539</c:v>
                </c:pt>
                <c:pt idx="22">
                  <c:v>48.060573027602352</c:v>
                </c:pt>
                <c:pt idx="23">
                  <c:v>54.853251467934228</c:v>
                </c:pt>
                <c:pt idx="24">
                  <c:v>62.608854978537124</c:v>
                </c:pt>
                <c:pt idx="25">
                  <c:v>71.464265989385623</c:v>
                </c:pt>
                <c:pt idx="26">
                  <c:v>82.563719294623567</c:v>
                </c:pt>
                <c:pt idx="27">
                  <c:v>93.625433553908593</c:v>
                </c:pt>
                <c:pt idx="28">
                  <c:v>104.65450643928448</c:v>
                </c:pt>
                <c:pt idx="29">
                  <c:v>115.65486902185846</c:v>
                </c:pt>
                <c:pt idx="30">
                  <c:v>126.62964106249451</c:v>
                </c:pt>
                <c:pt idx="31">
                  <c:v>138.03720928084971</c:v>
                </c:pt>
                <c:pt idx="32">
                  <c:v>149.42211714009736</c:v>
                </c:pt>
                <c:pt idx="33">
                  <c:v>160.78633625957769</c:v>
                </c:pt>
                <c:pt idx="34">
                  <c:v>172.13153631847419</c:v>
                </c:pt>
                <c:pt idx="35">
                  <c:v>183.4591485952582</c:v>
                </c:pt>
                <c:pt idx="36">
                  <c:v>166.23431277944658</c:v>
                </c:pt>
                <c:pt idx="37">
                  <c:v>178.47708262774123</c:v>
                </c:pt>
                <c:pt idx="38">
                  <c:v>190.70016980298033</c:v>
                </c:pt>
                <c:pt idx="39">
                  <c:v>202.90501446945498</c:v>
                </c:pt>
                <c:pt idx="40">
                  <c:v>215.09286920303433</c:v>
                </c:pt>
                <c:pt idx="41">
                  <c:v>196.1267190058785</c:v>
                </c:pt>
                <c:pt idx="42">
                  <c:v>208.77529065102974</c:v>
                </c:pt>
                <c:pt idx="43">
                  <c:v>221.40617734460454</c:v>
                </c:pt>
                <c:pt idx="44">
                  <c:v>234.02053062563991</c:v>
                </c:pt>
                <c:pt idx="45">
                  <c:v>246.61936765788826</c:v>
                </c:pt>
                <c:pt idx="46">
                  <c:v>227.71535422111776</c:v>
                </c:pt>
                <c:pt idx="47">
                  <c:v>240.32182971689394</c:v>
                </c:pt>
                <c:pt idx="48">
                  <c:v>252.91325418581553</c:v>
                </c:pt>
                <c:pt idx="49">
                  <c:v>265.49048283078872</c:v>
                </c:pt>
                <c:pt idx="50">
                  <c:v>278.05428316466646</c:v>
                </c:pt>
                <c:pt idx="51">
                  <c:v>259.20359312218585</c:v>
                </c:pt>
                <c:pt idx="52">
                  <c:v>271.77401662995698</c:v>
                </c:pt>
                <c:pt idx="53">
                  <c:v>284.33136674322265</c:v>
                </c:pt>
                <c:pt idx="54">
                  <c:v>296.87630238617851</c:v>
                </c:pt>
                <c:pt idx="55">
                  <c:v>309.4094222256216</c:v>
                </c:pt>
                <c:pt idx="56">
                  <c:v>290.60534764262889</c:v>
                </c:pt>
                <c:pt idx="57">
                  <c:v>303.14430399634108</c:v>
                </c:pt>
                <c:pt idx="58">
                  <c:v>315.67172376772379</c:v>
                </c:pt>
                <c:pt idx="59">
                  <c:v>328.18812941645922</c:v>
                </c:pt>
                <c:pt idx="60">
                  <c:v>340.69400028602269</c:v>
                </c:pt>
                <c:pt idx="61">
                  <c:v>321.03721740761074</c:v>
                </c:pt>
                <c:pt idx="62">
                  <c:v>332.65569753778607</c:v>
                </c:pt>
                <c:pt idx="63">
                  <c:v>344.26523391935984</c:v>
                </c:pt>
                <c:pt idx="64">
                  <c:v>355.86617076016728</c:v>
                </c:pt>
                <c:pt idx="65">
                  <c:v>367.4588279876163</c:v>
                </c:pt>
                <c:pt idx="66">
                  <c:v>347.83565356807134</c:v>
                </c:pt>
                <c:pt idx="67">
                  <c:v>359.43400981924492</c:v>
                </c:pt>
                <c:pt idx="68">
                  <c:v>371.024180398108</c:v>
                </c:pt>
                <c:pt idx="69">
                  <c:v>382.60645711400434</c:v>
                </c:pt>
                <c:pt idx="70">
                  <c:v>394.18111266295483</c:v>
                </c:pt>
                <c:pt idx="71">
                  <c:v>373.69770390114451</c:v>
                </c:pt>
                <c:pt idx="72">
                  <c:v>384.38766281972374</c:v>
                </c:pt>
                <c:pt idx="73">
                  <c:v>395.07116254333505</c:v>
                </c:pt>
                <c:pt idx="74">
                  <c:v>405.74840241601038</c:v>
                </c:pt>
                <c:pt idx="75">
                  <c:v>416.41957043134585</c:v>
                </c:pt>
                <c:pt idx="76">
                  <c:v>395.51617117728125</c:v>
                </c:pt>
                <c:pt idx="77">
                  <c:v>405.74840241601038</c:v>
                </c:pt>
                <c:pt idx="78">
                  <c:v>415.97505730912479</c:v>
                </c:pt>
                <c:pt idx="79">
                  <c:v>426.19629231830891</c:v>
                </c:pt>
                <c:pt idx="80">
                  <c:v>436.41225578619856</c:v>
                </c:pt>
                <c:pt idx="81">
                  <c:v>415.08600031939903</c:v>
                </c:pt>
                <c:pt idx="82">
                  <c:v>424.86338979756607</c:v>
                </c:pt>
                <c:pt idx="83">
                  <c:v>434.63593891144501</c:v>
                </c:pt>
                <c:pt idx="84">
                  <c:v>444.40377187162176</c:v>
                </c:pt>
                <c:pt idx="85">
                  <c:v>454.16700698147952</c:v>
                </c:pt>
                <c:pt idx="86">
                  <c:v>432.41532351185737</c:v>
                </c:pt>
                <c:pt idx="87">
                  <c:v>441.74027828737388</c:v>
                </c:pt>
                <c:pt idx="88">
                  <c:v>451.06101485112231</c:v>
                </c:pt>
                <c:pt idx="89">
                  <c:v>460.37763268617778</c:v>
                </c:pt>
                <c:pt idx="90">
                  <c:v>469.6902269195129</c:v>
                </c:pt>
                <c:pt idx="91">
                  <c:v>447.0669234985462</c:v>
                </c:pt>
                <c:pt idx="92">
                  <c:v>455.49800727179513</c:v>
                </c:pt>
                <c:pt idx="93">
                  <c:v>463.92575704181382</c:v>
                </c:pt>
                <c:pt idx="94">
                  <c:v>472.35024193902149</c:v>
                </c:pt>
                <c:pt idx="95">
                  <c:v>480.77152842586787</c:v>
                </c:pt>
                <c:pt idx="96">
                  <c:v>457.71615652908662</c:v>
                </c:pt>
                <c:pt idx="97">
                  <c:v>465.69960186105874</c:v>
                </c:pt>
                <c:pt idx="98">
                  <c:v>473.68012971962634</c:v>
                </c:pt>
                <c:pt idx="99">
                  <c:v>481.6577962104127</c:v>
                </c:pt>
                <c:pt idx="100">
                  <c:v>489.63265542816185</c:v>
                </c:pt>
                <c:pt idx="101">
                  <c:v>468.36009916440685</c:v>
                </c:pt>
                <c:pt idx="102">
                  <c:v>475.89643286197116</c:v>
                </c:pt>
                <c:pt idx="103">
                  <c:v>483.43022788495273</c:v>
                </c:pt>
                <c:pt idx="104">
                  <c:v>490.96152939321701</c:v>
                </c:pt>
                <c:pt idx="105">
                  <c:v>498.49038104754004</c:v>
                </c:pt>
                <c:pt idx="106">
                  <c:v>476.33966710128726</c:v>
                </c:pt>
                <c:pt idx="107">
                  <c:v>482.98713293042357</c:v>
                </c:pt>
                <c:pt idx="108">
                  <c:v>489.63265542816202</c:v>
                </c:pt>
                <c:pt idx="109">
                  <c:v>496.27626470453941</c:v>
                </c:pt>
                <c:pt idx="110">
                  <c:v>502.91798999726421</c:v>
                </c:pt>
                <c:pt idx="111">
                  <c:v>480.32838151488369</c:v>
                </c:pt>
                <c:pt idx="112">
                  <c:v>486.53165149675254</c:v>
                </c:pt>
                <c:pt idx="113">
                  <c:v>492.73324271485473</c:v>
                </c:pt>
                <c:pt idx="114">
                  <c:v>498.93317929081496</c:v>
                </c:pt>
                <c:pt idx="115">
                  <c:v>505.13148469753651</c:v>
                </c:pt>
                <c:pt idx="116">
                  <c:v>481.65779621041276</c:v>
                </c:pt>
                <c:pt idx="117">
                  <c:v>486.97467768184441</c:v>
                </c:pt>
                <c:pt idx="118">
                  <c:v>492.29032706882913</c:v>
                </c:pt>
                <c:pt idx="119">
                  <c:v>497.60475956110264</c:v>
                </c:pt>
                <c:pt idx="120">
                  <c:v>502.91798999726444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7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12" zoomScale="90" zoomScaleNormal="90" workbookViewId="0">
      <selection activeCell="F119" sqref="F1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9</v>
      </c>
      <c r="C9" s="35">
        <v>0.16</v>
      </c>
      <c r="D9" s="36">
        <f t="shared" ref="D9:D18" si="0">C9*$C$5</f>
        <v>1.248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0.16</v>
      </c>
      <c r="D10" s="36">
        <f t="shared" si="0"/>
        <v>1.248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0.128</v>
      </c>
      <c r="D11" s="36">
        <f t="shared" si="0"/>
        <v>0.99839999999999995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164</v>
      </c>
      <c r="C12" s="35">
        <v>0.27600000000000002</v>
      </c>
      <c r="D12" s="36">
        <f t="shared" si="0"/>
        <v>2.1528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35</v>
      </c>
      <c r="C13" s="35">
        <v>0.27600000000000002</v>
      </c>
      <c r="D13" s="36">
        <f t="shared" si="0"/>
        <v>2.1528</v>
      </c>
      <c r="E13" s="37">
        <v>82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chevelu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30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54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79</v>
      </c>
      <c r="C38" s="63">
        <v>3</v>
      </c>
      <c r="D38" s="63">
        <v>13</v>
      </c>
      <c r="E38" s="54"/>
      <c r="F38" s="54"/>
      <c r="G38" s="54"/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93</v>
      </c>
      <c r="C39" s="63">
        <v>4</v>
      </c>
      <c r="D39" s="63">
        <v>14</v>
      </c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107</v>
      </c>
      <c r="C40" s="63">
        <v>5</v>
      </c>
      <c r="D40" s="63">
        <v>14</v>
      </c>
      <c r="E40" s="54"/>
      <c r="F40" s="54"/>
      <c r="G40" s="54"/>
      <c r="H40" s="54"/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121</v>
      </c>
      <c r="C41" s="63">
        <v>6</v>
      </c>
      <c r="D41" s="63">
        <v>14</v>
      </c>
      <c r="E41" s="54"/>
      <c r="F41" s="54"/>
      <c r="G41" s="54"/>
      <c r="H41" s="54"/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135</v>
      </c>
      <c r="C42" s="63">
        <v>7</v>
      </c>
      <c r="D42" s="63">
        <v>14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149</v>
      </c>
      <c r="C43" s="63">
        <v>8</v>
      </c>
      <c r="D43" s="63">
        <v>14</v>
      </c>
      <c r="E43" s="54"/>
      <c r="F43" s="54"/>
      <c r="G43" s="54"/>
      <c r="H43" s="54"/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161</v>
      </c>
      <c r="C44" s="63">
        <v>9</v>
      </c>
      <c r="D44" s="63">
        <v>14</v>
      </c>
      <c r="E44" s="54"/>
      <c r="F44" s="54"/>
      <c r="G44" s="54"/>
      <c r="H44" s="54"/>
      <c r="I44" s="52">
        <f t="shared" si="1"/>
        <v>5.2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173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5.2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183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4.8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192</v>
      </c>
      <c r="C47" s="63">
        <v>12</v>
      </c>
      <c r="D47" s="63">
        <v>14</v>
      </c>
      <c r="E47" s="54"/>
      <c r="F47" s="54"/>
      <c r="G47" s="54"/>
      <c r="H47" s="54"/>
      <c r="I47" s="52">
        <f t="shared" si="1"/>
        <v>4.5999999999999996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200</v>
      </c>
      <c r="C48" s="63">
        <v>13</v>
      </c>
      <c r="D48" s="63">
        <v>14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207</v>
      </c>
      <c r="C49" s="63">
        <v>14</v>
      </c>
      <c r="D49" s="63">
        <v>14</v>
      </c>
      <c r="E49" s="54"/>
      <c r="F49" s="54"/>
      <c r="G49" s="54"/>
      <c r="H49" s="54"/>
      <c r="I49" s="52">
        <f t="shared" si="1"/>
        <v>4.2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212</v>
      </c>
      <c r="C50" s="53">
        <v>15</v>
      </c>
      <c r="D50" s="53">
        <v>14</v>
      </c>
      <c r="E50" s="54"/>
      <c r="F50" s="54"/>
      <c r="G50" s="54"/>
      <c r="H50" s="54"/>
      <c r="I50" s="52">
        <f t="shared" si="1"/>
        <v>3.8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216</v>
      </c>
      <c r="C51" s="53">
        <v>16</v>
      </c>
      <c r="D51" s="53">
        <v>13</v>
      </c>
      <c r="E51" s="54"/>
      <c r="F51" s="54"/>
      <c r="G51" s="54"/>
      <c r="H51" s="54"/>
      <c r="I51" s="52">
        <f t="shared" si="1"/>
        <v>3.6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220</v>
      </c>
      <c r="C52" s="53">
        <v>17</v>
      </c>
      <c r="D52" s="53">
        <v>13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222</v>
      </c>
      <c r="C53" s="53">
        <v>18</v>
      </c>
      <c r="D53" s="53">
        <v>13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223</v>
      </c>
      <c r="C54" s="53">
        <v>19</v>
      </c>
      <c r="D54" s="53">
        <v>13</v>
      </c>
      <c r="E54" s="54"/>
      <c r="F54" s="54"/>
      <c r="G54" s="54"/>
      <c r="H54" s="54"/>
      <c r="I54" s="52">
        <f t="shared" si="1"/>
        <v>2.8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222</v>
      </c>
      <c r="C55" s="53">
        <v>20</v>
      </c>
      <c r="D55" s="53">
        <v>222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28</v>
      </c>
      <c r="C62" s="63">
        <v>1</v>
      </c>
      <c r="D62" s="63">
        <v>4</v>
      </c>
      <c r="E62" s="54"/>
      <c r="F62" s="54"/>
      <c r="G62" s="54"/>
      <c r="H62" s="54">
        <v>1</v>
      </c>
      <c r="I62" s="56">
        <f>IFERROR(B62/A62,"")</f>
        <v>5.6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79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11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113</v>
      </c>
      <c r="C64" s="63">
        <v>3</v>
      </c>
      <c r="D64" s="63">
        <v>17</v>
      </c>
      <c r="E64" s="54"/>
      <c r="F64" s="54">
        <v>1</v>
      </c>
      <c r="G64" s="54"/>
      <c r="H64" s="54"/>
      <c r="I64" s="52">
        <f>IF(A64&lt;&gt;0,(B64-(B63-D63))/(A64-A63),"")</f>
        <v>11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145</v>
      </c>
      <c r="C65" s="63">
        <v>4</v>
      </c>
      <c r="D65" s="63">
        <v>14</v>
      </c>
      <c r="E65" s="54">
        <v>0.3</v>
      </c>
      <c r="F65" s="54">
        <v>0.7</v>
      </c>
      <c r="G65" s="54"/>
      <c r="H65" s="54"/>
      <c r="I65" s="52">
        <f>IF(A65&lt;&gt;0,(B65-(B64-D64))/(A65-A64),"")</f>
        <v>9.8000000000000007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173</v>
      </c>
      <c r="C66" s="63">
        <v>5</v>
      </c>
      <c r="D66" s="63">
        <v>11</v>
      </c>
      <c r="E66" s="54">
        <v>0.5</v>
      </c>
      <c r="F66" s="54">
        <v>0.5</v>
      </c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196</v>
      </c>
      <c r="C67" s="63">
        <v>6</v>
      </c>
      <c r="D67" s="63">
        <v>9</v>
      </c>
      <c r="E67" s="54">
        <v>0.7</v>
      </c>
      <c r="F67" s="54">
        <v>0.3</v>
      </c>
      <c r="G67" s="54"/>
      <c r="H67" s="54"/>
      <c r="I67" s="52">
        <f t="shared" si="2"/>
        <v>6.8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216</v>
      </c>
      <c r="C68" s="63">
        <v>7</v>
      </c>
      <c r="D68" s="63">
        <v>7</v>
      </c>
      <c r="E68" s="54"/>
      <c r="F68" s="54"/>
      <c r="G68" s="54"/>
      <c r="H68" s="54"/>
      <c r="I68" s="52">
        <f t="shared" si="2"/>
        <v>5.8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233</v>
      </c>
      <c r="C69" s="53">
        <v>8</v>
      </c>
      <c r="D69" s="53">
        <v>6</v>
      </c>
      <c r="E69" s="54"/>
      <c r="F69" s="54"/>
      <c r="G69" s="54"/>
      <c r="H69" s="54"/>
      <c r="I69" s="52">
        <f t="shared" si="2"/>
        <v>4.8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252</v>
      </c>
      <c r="C70" s="53">
        <v>9</v>
      </c>
      <c r="D70" s="53">
        <v>252</v>
      </c>
      <c r="E70" s="54"/>
      <c r="F70" s="54"/>
      <c r="G70" s="54"/>
      <c r="H70" s="54"/>
      <c r="I70" s="52">
        <f t="shared" si="2"/>
        <v>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30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1.2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54</v>
      </c>
      <c r="C89" s="63">
        <v>2</v>
      </c>
      <c r="D89" s="63">
        <v>0</v>
      </c>
      <c r="E89" s="54"/>
      <c r="F89" s="54"/>
      <c r="G89" s="54"/>
      <c r="H89" s="93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79</v>
      </c>
      <c r="C90" s="63">
        <v>3</v>
      </c>
      <c r="D90" s="63">
        <v>13</v>
      </c>
      <c r="E90" s="93"/>
      <c r="F90" s="93"/>
      <c r="G90" s="93"/>
      <c r="H90" s="93"/>
      <c r="I90" s="56">
        <f t="shared" si="3"/>
        <v>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93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107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121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135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149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5.6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161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173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183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4.8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192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4.5999999999999996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200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4.4000000000000004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207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212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3.8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216</v>
      </c>
      <c r="C103" s="63">
        <v>16</v>
      </c>
      <c r="D103" s="53">
        <v>13</v>
      </c>
      <c r="E103" s="57"/>
      <c r="F103" s="57"/>
      <c r="G103" s="57"/>
      <c r="H103" s="57"/>
      <c r="I103" s="56">
        <f t="shared" si="3"/>
        <v>3.6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220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222</v>
      </c>
      <c r="C105" s="53">
        <v>18</v>
      </c>
      <c r="D105" s="53">
        <v>13</v>
      </c>
      <c r="E105" s="57"/>
      <c r="F105" s="57"/>
      <c r="G105" s="57"/>
      <c r="H105" s="57"/>
      <c r="I105" s="56">
        <f t="shared" si="3"/>
        <v>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223</v>
      </c>
      <c r="C106" s="53">
        <v>19</v>
      </c>
      <c r="D106" s="53">
        <v>13</v>
      </c>
      <c r="E106" s="57"/>
      <c r="F106" s="57"/>
      <c r="G106" s="57"/>
      <c r="H106" s="57"/>
      <c r="I106" s="56">
        <f t="shared" si="3"/>
        <v>2.8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222</v>
      </c>
      <c r="C107" s="53">
        <v>20</v>
      </c>
      <c r="D107" s="53">
        <v>222</v>
      </c>
      <c r="E107" s="57"/>
      <c r="F107" s="57"/>
      <c r="G107" s="57"/>
      <c r="H107" s="57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115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5.75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180</v>
      </c>
      <c r="C115" s="53">
        <v>2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6.5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40</v>
      </c>
      <c r="B116" s="63">
        <v>250</v>
      </c>
      <c r="C116" s="53">
        <v>3</v>
      </c>
      <c r="D116" s="63">
        <v>63</v>
      </c>
      <c r="E116" s="54"/>
      <c r="F116" s="54"/>
      <c r="G116" s="54"/>
      <c r="H116" s="54"/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50</v>
      </c>
      <c r="B117" s="63">
        <v>257</v>
      </c>
      <c r="C117" s="53">
        <v>4</v>
      </c>
      <c r="D117" s="63">
        <v>0</v>
      </c>
      <c r="E117" s="54"/>
      <c r="F117" s="54"/>
      <c r="G117" s="54"/>
      <c r="H117" s="54"/>
      <c r="I117" s="56">
        <f t="shared" si="4"/>
        <v>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60</v>
      </c>
      <c r="B118" s="63">
        <v>337</v>
      </c>
      <c r="C118" s="53">
        <v>5</v>
      </c>
      <c r="D118" s="63">
        <v>67</v>
      </c>
      <c r="E118" s="54"/>
      <c r="F118" s="54"/>
      <c r="G118" s="54"/>
      <c r="H118" s="54"/>
      <c r="I118" s="56">
        <f t="shared" si="4"/>
        <v>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70</v>
      </c>
      <c r="B119" s="63">
        <v>345</v>
      </c>
      <c r="C119" s="53">
        <v>6</v>
      </c>
      <c r="D119" s="63">
        <v>69</v>
      </c>
      <c r="E119" s="54"/>
      <c r="F119" s="54"/>
      <c r="G119" s="54"/>
      <c r="H119" s="54"/>
      <c r="I119" s="56">
        <f t="shared" si="4"/>
        <v>7.5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80</v>
      </c>
      <c r="B120" s="63">
        <v>353</v>
      </c>
      <c r="C120" s="63">
        <v>7</v>
      </c>
      <c r="D120" s="63">
        <v>71</v>
      </c>
      <c r="E120" s="93"/>
      <c r="F120" s="93"/>
      <c r="G120" s="93"/>
      <c r="H120" s="93"/>
      <c r="I120" s="56">
        <f t="shared" si="4"/>
        <v>7.7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90</v>
      </c>
      <c r="B121" s="63">
        <v>365</v>
      </c>
      <c r="C121" s="63">
        <v>8</v>
      </c>
      <c r="D121" s="63">
        <v>73</v>
      </c>
      <c r="E121" s="93"/>
      <c r="F121" s="93"/>
      <c r="G121" s="93"/>
      <c r="H121" s="93"/>
      <c r="I121" s="56">
        <f t="shared" si="4"/>
        <v>8.3000000000000007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100</v>
      </c>
      <c r="B122" s="63">
        <v>375</v>
      </c>
      <c r="C122" s="63">
        <v>9</v>
      </c>
      <c r="D122" s="63">
        <v>375</v>
      </c>
      <c r="E122" s="93"/>
      <c r="F122" s="93"/>
      <c r="G122" s="93"/>
      <c r="H122" s="93"/>
      <c r="I122" s="56">
        <f t="shared" si="4"/>
        <v>8.3000000000000007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22</v>
      </c>
      <c r="B140" s="63">
        <v>123</v>
      </c>
      <c r="C140" s="53">
        <v>1</v>
      </c>
      <c r="D140" s="63">
        <v>16</v>
      </c>
      <c r="E140" s="54"/>
      <c r="F140" s="54"/>
      <c r="G140" s="54">
        <v>1</v>
      </c>
      <c r="H140" s="54"/>
      <c r="I140" s="60">
        <f>IFERROR(B140/A140,"")</f>
        <v>5.5909090909090908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144</v>
      </c>
      <c r="C141" s="53">
        <v>2</v>
      </c>
      <c r="D141" s="63">
        <v>17</v>
      </c>
      <c r="E141" s="54">
        <v>0.3</v>
      </c>
      <c r="F141" s="54">
        <v>0.7</v>
      </c>
      <c r="G141" s="54"/>
      <c r="H141" s="54"/>
      <c r="I141" s="60">
        <f t="shared" ref="I141:I159" si="5">IF(A141&lt;&gt;0,(B141-(B140-D140))/(A141-A140),"")</f>
        <v>12.333333333333334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194</v>
      </c>
      <c r="C142" s="53">
        <v>3</v>
      </c>
      <c r="D142" s="63">
        <v>34</v>
      </c>
      <c r="E142" s="54"/>
      <c r="F142" s="54"/>
      <c r="G142" s="54"/>
      <c r="H142" s="54"/>
      <c r="I142" s="60">
        <f t="shared" si="5"/>
        <v>13.4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233</v>
      </c>
      <c r="C143" s="53">
        <v>4</v>
      </c>
      <c r="D143" s="63">
        <v>41</v>
      </c>
      <c r="E143" s="54"/>
      <c r="F143" s="54"/>
      <c r="G143" s="54"/>
      <c r="H143" s="54"/>
      <c r="I143" s="60">
        <f t="shared" si="5"/>
        <v>14.6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264</v>
      </c>
      <c r="C144" s="53">
        <v>5</v>
      </c>
      <c r="D144" s="63">
        <v>41</v>
      </c>
      <c r="E144" s="54"/>
      <c r="F144" s="54"/>
      <c r="G144" s="54"/>
      <c r="H144" s="54"/>
      <c r="I144" s="60">
        <f t="shared" si="5"/>
        <v>14.4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306</v>
      </c>
      <c r="C145" s="53">
        <v>6</v>
      </c>
      <c r="D145" s="63">
        <v>53</v>
      </c>
      <c r="E145" s="54"/>
      <c r="F145" s="54"/>
      <c r="G145" s="54"/>
      <c r="H145" s="54"/>
      <c r="I145" s="60">
        <f t="shared" si="5"/>
        <v>16.600000000000001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340</v>
      </c>
      <c r="C146" s="53">
        <v>7</v>
      </c>
      <c r="D146" s="63">
        <v>53</v>
      </c>
      <c r="E146" s="54"/>
      <c r="F146" s="54"/>
      <c r="G146" s="54"/>
      <c r="H146" s="54"/>
      <c r="I146" s="60">
        <f t="shared" si="5"/>
        <v>17.399999999999999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58</v>
      </c>
      <c r="B147" s="63">
        <v>428</v>
      </c>
      <c r="C147" s="53">
        <v>8</v>
      </c>
      <c r="D147" s="63">
        <v>78</v>
      </c>
      <c r="E147" s="54"/>
      <c r="F147" s="54"/>
      <c r="G147" s="54"/>
      <c r="H147" s="54"/>
      <c r="I147" s="60">
        <f>IF(A147&lt;&gt;0,(B147-(B146-D146))/(A147-A146),"")</f>
        <v>17.625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66</v>
      </c>
      <c r="B148" s="63">
        <v>483</v>
      </c>
      <c r="C148" s="53">
        <v>9</v>
      </c>
      <c r="D148" s="63">
        <v>65</v>
      </c>
      <c r="E148" s="54"/>
      <c r="F148" s="54"/>
      <c r="G148" s="54"/>
      <c r="H148" s="54"/>
      <c r="I148" s="60">
        <f t="shared" si="5"/>
        <v>16.625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74</v>
      </c>
      <c r="B149" s="63">
        <v>521</v>
      </c>
      <c r="C149" s="53">
        <v>10</v>
      </c>
      <c r="D149" s="63">
        <v>37</v>
      </c>
      <c r="E149" s="54"/>
      <c r="F149" s="54"/>
      <c r="G149" s="54"/>
      <c r="H149" s="54"/>
      <c r="I149" s="60">
        <f t="shared" si="5"/>
        <v>12.875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82</v>
      </c>
      <c r="B150" s="63">
        <v>555</v>
      </c>
      <c r="C150" s="53">
        <v>11</v>
      </c>
      <c r="D150" s="63">
        <v>555</v>
      </c>
      <c r="E150" s="54"/>
      <c r="F150" s="54"/>
      <c r="G150" s="54"/>
      <c r="H150" s="54"/>
      <c r="I150" s="60">
        <f t="shared" si="5"/>
        <v>8.875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0.55000000000000004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0.45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chevelu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Cèdre de l'Atlas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laricio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2.75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10.083333333333334</v>
      </c>
      <c r="H3" s="70">
        <f>(B3+E3+F3)*44/12+(C3+D3)*0.475*44/12</f>
        <v>216.33333333333334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206.25</v>
      </c>
      <c r="S3" s="62">
        <f ca="1">AVERAGE(OFFSET($R$3,0,0,'Données projet'!$E$9+1,1))-AVERAGE(OFFSET($H$3,0,0,'Données projet'!$E$9+1,1))</f>
        <v>338.33619350800484</v>
      </c>
      <c r="T3" s="62">
        <f>IF('Données projet'!E9&gt;30,$R$33-$H$33,LOOKUP('Données projet'!$E$9,$A$3:$A$203,R3:R203)-LOOKUP('Données projet'!$E$9,$A$3:$A$203,$H$3:$H$203))</f>
        <v>173.80539144233424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206.25</v>
      </c>
      <c r="AN3" s="62">
        <f ca="1">AVERAGE(OFFSET($AM$3,0,0,'Données projet'!$E$10+1,1))-AVERAGE(OFFSET($H$3,0,0,'Données projet'!$E$10+1,1))</f>
        <v>308.01218908312546</v>
      </c>
      <c r="AO3" s="62">
        <f>IF('Données projet'!E10&gt;30,$AM$33-$H$33,LOOKUP('Données projet'!$E$10,$A$3:$A$203,AM3:AM203)-LOOKUP('Données projet'!$E$10,$A$3:$A$203,$H$3:$H$203))</f>
        <v>433.94915035190684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206.25</v>
      </c>
      <c r="BI3" s="62">
        <f ca="1">AVERAGE(OFFSET($BH$3,0,0,'Données projet'!$E$11+1,1))-AVERAGE(OFFSET($H$3,0,0,'Données projet'!$E$11+1,1))</f>
        <v>329.96352570744875</v>
      </c>
      <c r="BJ3" s="62">
        <f>IF('Données projet'!E11&gt;30,$BH$33-$H$33,LOOKUP('Données projet'!$E$11,$A$3:$A$203,BH3:BH203)-LOOKUP('Données projet'!$E$11,$A$3:$A$203,$H$3:$H$203))</f>
        <v>170.12252063636961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206.25</v>
      </c>
      <c r="CD3" s="62">
        <f ca="1">AVERAGE(OFFSET($CC$3,0,0,'Données projet'!$E$12+1,1))-AVERAGE(OFFSET($H$3,0,0,'Données projet'!$E$12+1,1))</f>
        <v>276.21705775006376</v>
      </c>
      <c r="CE3" s="62">
        <f>IF('Données projet'!E12&gt;30,$CC$33-$H$33,LOOKUP('Données projet'!$E$12,$A$3:$A$203,CC3:CC203)-LOOKUP('Données projet'!$E$12,$A$3:$A$203,$H$3:$H$203))</f>
        <v>234.24947280606958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206.25</v>
      </c>
      <c r="CY3" s="62">
        <f ca="1">AVERAGE(OFFSET($CX$3,0,0,'Données projet'!$E$13+1,1))-AVERAGE(OFFSET($H$3,0,0,'Données projet'!$E$13+1,1))</f>
        <v>376.32432344617206</v>
      </c>
      <c r="CZ3" s="62">
        <f>IF('Données projet'!E13&gt;30,$CX$33-$H$33,LOOKUP('Données projet'!$E$13,$A$3:$A$203,CX3:CX203)-LOOKUP('Données projet'!$E$13,$A$3:$A$203,$H$3:$H$203))</f>
        <v>302.77411534670466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56.25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2.75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10.083333333333334</v>
      </c>
      <c r="H4" s="70">
        <f t="shared" ref="H4:H67" si="1">(B4+E4+F4)*44/12+(C4+D4)*0.475*44/12</f>
        <v>216.33333333333334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1.1975240695462721</v>
      </c>
      <c r="P4" s="14">
        <f>EXP(-1.0587+0.8836*LN(O4)+0.284)</f>
        <v>0.54041081187742124</v>
      </c>
      <c r="Q4" s="22">
        <f t="shared" ref="Q4:Q34" si="2">(O4+P4)*0.475*44/12</f>
        <v>3.0269032518129322</v>
      </c>
      <c r="R4" s="62">
        <f t="shared" si="0"/>
        <v>211.37374192592105</v>
      </c>
      <c r="S4" s="62">
        <f ca="1">AVERAGE(OFFSET($R$3,0,0,'Données projet'!$E$9+1,1))-AVERAGE(OFFSET($H$3,0,0,'Données projet'!$E$9+1,1))</f>
        <v>338.33619350800484</v>
      </c>
      <c r="T4" s="62">
        <f>$T$3</f>
        <v>173.80539144233424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5.6</v>
      </c>
      <c r="AI4" s="14">
        <f>IF('Données projet'!$A$62&gt;35,AI3+AH4-AQ3,IF(A4&lt;'Données projet'!$A$62,$AF$205^A4,IF(A4='Données projet'!$A$62,'Données projet'!$B$62,AI3+AH4-AQ3)))</f>
        <v>1.9472943612303364</v>
      </c>
      <c r="AJ4" s="14">
        <f>AI4*VLOOKUP('Données projet'!$B$10,Paramètres!$A$1:$I$89,3,0)*VLOOKUP('Données projet'!$B$10,Paramètres!$A$1:$I$89,5,0)</f>
        <v>1.7619119380412083</v>
      </c>
      <c r="AK4" s="14">
        <f>EXP(-1.0587+0.8836*LN(AJ4)+0.284)</f>
        <v>0.76015770586189668</v>
      </c>
      <c r="AL4" s="22">
        <f t="shared" ref="AL4:AL67" si="4">(AJ4+AK4)*0.475*44/12</f>
        <v>4.3926046297979076</v>
      </c>
      <c r="AM4" s="62">
        <f t="shared" ref="AM4:AM67" si="5">AL4+(AD4+AE4)*44/12</f>
        <v>212.73944330390603</v>
      </c>
      <c r="AN4" s="62">
        <f ca="1">AVERAGE(OFFSET($AM$3,0,0,'Données projet'!$E$10+1,1))-AVERAGE(OFFSET($H$3,0,0,'Données projet'!$E$10+1,1))</f>
        <v>308.01218908312546</v>
      </c>
      <c r="AO4" s="62">
        <f>$AO$3</f>
        <v>433.94915035190684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1.2</v>
      </c>
      <c r="BD4" s="13">
        <f>IF('Données projet'!$A$88&gt;35,BD3+BC4-BL3,IF(A4&lt;'Données projet'!$A$88,$BA$205^A4,IF(A4='Données projet'!$A$88,'Données projet'!$B$88,BD3+BC4-BL3)))</f>
        <v>1.1457367676485573</v>
      </c>
      <c r="BE4" s="14">
        <f>BD4*VLOOKUP('Données projet'!$B$11,Paramètres!$A$1:$I$89,3,0)*VLOOKUP('Données projet'!$B$11,Paramètres!$A$1:$I$89,5,0)</f>
        <v>1.161777082395637</v>
      </c>
      <c r="BF4" s="14">
        <f>EXP(-1.0587+0.8836*LN(BE4)+0.284)</f>
        <v>0.52613182870286601</v>
      </c>
      <c r="BG4" s="22">
        <f t="shared" ref="BG4:BG67" si="7">(BE4+BF4)*0.475*44/12</f>
        <v>2.9397746868298928</v>
      </c>
      <c r="BH4" s="62">
        <f t="shared" ref="BH4:BH67" si="8">BG4+(AY4+AZ4)*44/12</f>
        <v>211.28661336093802</v>
      </c>
      <c r="BI4" s="62">
        <f ca="1">AVERAGE(OFFSET($BH$3,0,0,'Données projet'!$E$11+1,1))-AVERAGE(OFFSET($H$3,0,0,'Données projet'!$E$11+1,1))</f>
        <v>329.96352570744875</v>
      </c>
      <c r="BJ4" s="62">
        <f>$BJ$3</f>
        <v>170.12252063636961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5.75</v>
      </c>
      <c r="BY4" s="13">
        <f>IF('Données projet'!$A$114&gt;35,BY3+BX4-CG3,IF(A4&lt;'Données projet'!$A$114,$BV$205^A4,IF(A4='Données projet'!$A$114,'Données projet'!$B$114,BY3+BX4-CG3)))</f>
        <v>1.2677537154322802</v>
      </c>
      <c r="BZ4" s="14">
        <f>BY4*VLOOKUP('Données projet'!$B$12,Paramètres!$A$1:$I$89,3,0)*VLOOKUP('Données projet'!$B$12,Paramètres!$A$1:$I$89,5,0)</f>
        <v>0.59330873882230706</v>
      </c>
      <c r="CA4" s="14">
        <f>EXP(-1.0587+0.8836*LN(BZ4)+0.284)</f>
        <v>0.29055137246158741</v>
      </c>
      <c r="CB4" s="22">
        <f t="shared" ref="CB4:CB67" si="10">(BZ4+CA4)*0.475*44/12</f>
        <v>1.5393896938194491</v>
      </c>
      <c r="CC4" s="62">
        <f t="shared" ref="CC4:CC67" si="11">CB4+(BT4+BU4)*44/12</f>
        <v>209.88622836792757</v>
      </c>
      <c r="CD4" s="62">
        <f ca="1">AVERAGE(OFFSET($CC$3,0,0,'Données projet'!$E$12+1,1))-AVERAGE(OFFSET($H$3,0,0,'Données projet'!$E$12+1,1))</f>
        <v>276.21705775006376</v>
      </c>
      <c r="CE4" s="62">
        <f>$CE$3</f>
        <v>234.24947280606958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5.5909090909090908</v>
      </c>
      <c r="CT4" s="13">
        <f>IF('Données projet'!$A$140&gt;35,CT3+CS4-DB3,IF(A4&lt;'Données projet'!$A$140,$CQ$205^A4,IF(A4='Données projet'!$A$140,'Données projet'!$B$140,CT3+CS4-DB3)))</f>
        <v>1.244502252163008</v>
      </c>
      <c r="CU4" s="18">
        <f>CT4*VLOOKUP('Données projet'!$B$13,Paramètres!$A$1:$I$89,3,0)*VLOOKUP('Données projet'!$B$13,Paramètres!$A$1:$I$89,5,0)</f>
        <v>0.74421234679347892</v>
      </c>
      <c r="CV4" s="14">
        <f>EXP(-1.0587+0.8836*LN(CU4)+0.284)</f>
        <v>0.3549632728022305</v>
      </c>
      <c r="CW4" s="22">
        <f t="shared" ref="CW4:CW67" si="13">(CU4+CV4)*0.475*44/12</f>
        <v>1.9143975374625271</v>
      </c>
      <c r="CX4" s="62">
        <f t="shared" ref="CX4:CX67" si="14">CW4+(CO4+CP4)*44/12</f>
        <v>210.26123621157063</v>
      </c>
      <c r="CY4" s="62">
        <f ca="1">AVERAGE(OFFSET($CX$3,0,0,'Données projet'!$E$13+1,1))-AVERAGE(OFFSET($H$3,0,0,'Données projet'!$E$13+1,1))</f>
        <v>376.32432344617206</v>
      </c>
      <c r="CZ4" s="62">
        <f>$CZ$3</f>
        <v>302.77411534670466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56.488531759605245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2.75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10.083333333333334</v>
      </c>
      <c r="H5" s="70">
        <f t="shared" si="1"/>
        <v>216.33333333333334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1.3720473566232918</v>
      </c>
      <c r="P5" s="14">
        <f t="shared" ref="P5:P68" si="33">EXP(-1.0587+0.8836*LN(O5)+0.284)</f>
        <v>0.60944062808197874</v>
      </c>
      <c r="Q5" s="22">
        <f t="shared" si="2"/>
        <v>3.4510915733616798</v>
      </c>
      <c r="R5" s="62">
        <f t="shared" si="0"/>
        <v>213.87959628148715</v>
      </c>
      <c r="S5" s="62">
        <f ca="1">AVERAGE(OFFSET($R$3,0,0,'Données projet'!$E$9+1,1))-AVERAGE(OFFSET($H$3,0,0,'Données projet'!$E$9+1,1))</f>
        <v>338.33619350800484</v>
      </c>
      <c r="T5" s="62">
        <f t="shared" ref="T5:T68" si="34">$T$3</f>
        <v>173.80539144233424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5.6</v>
      </c>
      <c r="AI5" s="14">
        <f>IF('Données projet'!$A$62&gt;35,AI4+AH5-AQ4,IF(A5&lt;'Données projet'!$A$62,$AF$205^A5,IF(A5='Données projet'!$A$62,'Données projet'!$B$62,AI4+AH5-AQ4)))</f>
        <v>3.7919553292794639</v>
      </c>
      <c r="AJ5" s="14">
        <f>AI5*VLOOKUP('Données projet'!$B$10,Paramètres!$A$1:$I$89,3,0)*VLOOKUP('Données projet'!$B$10,Paramètres!$A$1:$I$89,5,0)</f>
        <v>3.4309611819320587</v>
      </c>
      <c r="AK5" s="14">
        <f t="shared" ref="AK5:AK68" si="35">EXP(-1.0587+0.8836*LN(AJ5)+0.284)</f>
        <v>1.3697631223860498</v>
      </c>
      <c r="AL5" s="22">
        <f t="shared" si="4"/>
        <v>8.3612614966873711</v>
      </c>
      <c r="AM5" s="62">
        <f t="shared" si="5"/>
        <v>218.78976620481285</v>
      </c>
      <c r="AN5" s="62">
        <f ca="1">AVERAGE(OFFSET($AM$3,0,0,'Données projet'!$E$10+1,1))-AVERAGE(OFFSET($H$3,0,0,'Données projet'!$E$10+1,1))</f>
        <v>308.01218908312546</v>
      </c>
      <c r="AO5" s="62">
        <f t="shared" ref="AO5:AO68" si="36">$AO$3</f>
        <v>433.94915035190684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1.2</v>
      </c>
      <c r="BD5" s="13">
        <f>IF('Données projet'!$A$88&gt;35,BD4+BC5-BL4,IF(A5&lt;'Données projet'!$A$88,$BA$205^A5,IF(A5='Données projet'!$A$88,'Données projet'!$B$88,BD4+BC5-BL4)))</f>
        <v>1.312712740741764</v>
      </c>
      <c r="BE5" s="14">
        <f>BD5*VLOOKUP('Données projet'!$B$11,Paramètres!$A$1:$I$89,3,0)*VLOOKUP('Données projet'!$B$11,Paramètres!$A$1:$I$89,5,0)</f>
        <v>1.3310907191121488</v>
      </c>
      <c r="BF5" s="14">
        <f t="shared" ref="BF5:BF68" si="37">EXP(-1.0587+0.8836*LN(BE5)+0.284)</f>
        <v>0.59333770733536928</v>
      </c>
      <c r="BG5" s="22">
        <f t="shared" si="7"/>
        <v>3.3517128427294267</v>
      </c>
      <c r="BH5" s="62">
        <f t="shared" si="8"/>
        <v>213.7802175508549</v>
      </c>
      <c r="BI5" s="62">
        <f ca="1">AVERAGE(OFFSET($BH$3,0,0,'Données projet'!$E$11+1,1))-AVERAGE(OFFSET($H$3,0,0,'Données projet'!$E$11+1,1))</f>
        <v>329.96352570744875</v>
      </c>
      <c r="BJ5" s="62">
        <f t="shared" ref="BJ5:BJ68" si="38">$BJ$3</f>
        <v>170.12252063636961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5.75</v>
      </c>
      <c r="BY5" s="13">
        <f>IF('Données projet'!$A$114&gt;35,BY4+BX5-CG4,IF(A5&lt;'Données projet'!$A$114,$BV$205^A5,IF(A5='Données projet'!$A$114,'Données projet'!$B$114,BY4+BX5-CG4)))</f>
        <v>1.6071994829923508</v>
      </c>
      <c r="BZ5" s="14">
        <f>BY5*VLOOKUP('Données projet'!$B$12,Paramètres!$A$1:$I$89,3,0)*VLOOKUP('Données projet'!$B$12,Paramètres!$A$1:$I$89,5,0)</f>
        <v>0.75216935804042018</v>
      </c>
      <c r="CA5" s="14">
        <f t="shared" ref="CA5:CA68" si="39">EXP(-1.0587+0.8836*LN(BZ5)+0.284)</f>
        <v>0.35831464735172275</v>
      </c>
      <c r="CB5" s="22">
        <f t="shared" si="10"/>
        <v>1.9340929760579824</v>
      </c>
      <c r="CC5" s="62">
        <f t="shared" si="11"/>
        <v>212.36259768418344</v>
      </c>
      <c r="CD5" s="62">
        <f ca="1">AVERAGE(OFFSET($CC$3,0,0,'Données projet'!$E$12+1,1))-AVERAGE(OFFSET($H$3,0,0,'Données projet'!$E$12+1,1))</f>
        <v>276.21705775006376</v>
      </c>
      <c r="CE5" s="62">
        <f t="shared" ref="CE5:CE68" si="40">$CE$3</f>
        <v>234.24947280606958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5.5909090909090908</v>
      </c>
      <c r="CT5" s="13">
        <f>IF('Données projet'!$A$140&gt;35,CT4+CS5-DB4,IF(A5&lt;'Données projet'!$A$140,$CQ$205^A5,IF(A5='Données projet'!$A$140,'Données projet'!$B$140,CT4+CS5-DB4)))</f>
        <v>1.5487858556387992</v>
      </c>
      <c r="CU5" s="18">
        <f>CT5*VLOOKUP('Données projet'!$B$13,Paramètres!$A$1:$I$89,3,0)*VLOOKUP('Données projet'!$B$13,Paramètres!$A$1:$I$89,5,0)</f>
        <v>0.92617394167200195</v>
      </c>
      <c r="CV5" s="14">
        <f t="shared" ref="CV5:CV68" si="41">EXP(-1.0587+0.8836*LN(CU5)+0.284)</f>
        <v>0.43064718121421069</v>
      </c>
      <c r="CW5" s="22">
        <f t="shared" si="13"/>
        <v>2.3631301223601535</v>
      </c>
      <c r="CX5" s="62">
        <f t="shared" si="14"/>
        <v>212.79163483048563</v>
      </c>
      <c r="CY5" s="62">
        <f ca="1">AVERAGE(OFFSET($CX$3,0,0,'Données projet'!$E$13+1,1))-AVERAGE(OFFSET($H$3,0,0,'Données projet'!$E$13+1,1))</f>
        <v>376.32432344617206</v>
      </c>
      <c r="CZ5" s="62">
        <f t="shared" ref="CZ5:CZ68" si="42">$CZ$3</f>
        <v>302.77411534670466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56.722925526458461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2.75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10.083333333333334</v>
      </c>
      <c r="H6" s="70">
        <f t="shared" si="1"/>
        <v>216.33333333333334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1.5720051034383178</v>
      </c>
      <c r="P6" s="14">
        <f t="shared" si="33"/>
        <v>0.68728802421000335</v>
      </c>
      <c r="Q6" s="22">
        <f t="shared" si="2"/>
        <v>3.9349355306541596</v>
      </c>
      <c r="R6" s="62">
        <f t="shared" si="0"/>
        <v>216.43019684409086</v>
      </c>
      <c r="S6" s="62">
        <f ca="1">AVERAGE(OFFSET($R$3,0,0,'Données projet'!$E$9+1,1))-AVERAGE(OFFSET($H$3,0,0,'Données projet'!$E$9+1,1))</f>
        <v>338.33619350800484</v>
      </c>
      <c r="T6" s="62">
        <f t="shared" si="34"/>
        <v>173.80539144233424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5.6</v>
      </c>
      <c r="AI6" s="14">
        <f>IF('Données projet'!$A$62&gt;35,AI5+AH6-AQ5,IF(A6&lt;'Données projet'!$A$62,$AF$205^A6,IF(A6='Données projet'!$A$62,'Données projet'!$B$62,AI5+AH6-AQ5)))</f>
        <v>7.3840532307432234</v>
      </c>
      <c r="AJ6" s="14">
        <f>AI6*VLOOKUP('Données projet'!$B$10,Paramètres!$A$1:$I$89,3,0)*VLOOKUP('Données projet'!$B$10,Paramètres!$A$1:$I$89,5,0)</f>
        <v>6.6810913631764679</v>
      </c>
      <c r="AK6" s="14">
        <f t="shared" si="35"/>
        <v>2.4682391521919964</v>
      </c>
      <c r="AL6" s="22">
        <f t="shared" si="4"/>
        <v>15.935083980933408</v>
      </c>
      <c r="AM6" s="62">
        <f t="shared" si="5"/>
        <v>228.43034529437008</v>
      </c>
      <c r="AN6" s="62">
        <f ca="1">AVERAGE(OFFSET($AM$3,0,0,'Données projet'!$E$10+1,1))-AVERAGE(OFFSET($H$3,0,0,'Données projet'!$E$10+1,1))</f>
        <v>308.01218908312546</v>
      </c>
      <c r="AO6" s="62">
        <f t="shared" si="36"/>
        <v>433.94915035190684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1.2</v>
      </c>
      <c r="BD6" s="13">
        <f>IF('Données projet'!$A$88&gt;35,BD5+BC6-BL5,IF(A6&lt;'Données projet'!$A$88,$BA$205^A6,IF(A6='Données projet'!$A$88,'Données projet'!$B$88,BD5+BC6-BL5)))</f>
        <v>1.5040232524285473</v>
      </c>
      <c r="BE6" s="14">
        <f>BD6*VLOOKUP('Données projet'!$B$11,Paramètres!$A$1:$I$89,3,0)*VLOOKUP('Données projet'!$B$11,Paramètres!$A$1:$I$89,5,0)</f>
        <v>1.525079577962547</v>
      </c>
      <c r="BF6" s="14">
        <f t="shared" si="37"/>
        <v>0.6691281837366525</v>
      </c>
      <c r="BG6" s="22">
        <f t="shared" si="7"/>
        <v>3.8215785182927724</v>
      </c>
      <c r="BH6" s="62">
        <f t="shared" si="8"/>
        <v>216.31683983172945</v>
      </c>
      <c r="BI6" s="62">
        <f ca="1">AVERAGE(OFFSET($BH$3,0,0,'Données projet'!$E$11+1,1))-AVERAGE(OFFSET($H$3,0,0,'Données projet'!$E$11+1,1))</f>
        <v>329.96352570744875</v>
      </c>
      <c r="BJ6" s="62">
        <f t="shared" si="38"/>
        <v>170.12252063636961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5.75</v>
      </c>
      <c r="BY6" s="13">
        <f>IF('Données projet'!$A$114&gt;35,BY5+BX6-CG5,IF(A6&lt;'Données projet'!$A$114,$BV$205^A6,IF(A6='Données projet'!$A$114,'Données projet'!$B$114,BY5+BX6-CG5)))</f>
        <v>2.0375331160043926</v>
      </c>
      <c r="BZ6" s="14">
        <f>BY6*VLOOKUP('Données projet'!$B$12,Paramètres!$A$1:$I$89,3,0)*VLOOKUP('Données projet'!$B$12,Paramètres!$A$1:$I$89,5,0)</f>
        <v>0.95356549829005577</v>
      </c>
      <c r="CA6" s="14">
        <f t="shared" si="39"/>
        <v>0.44188187933534279</v>
      </c>
      <c r="CB6" s="22">
        <f t="shared" si="10"/>
        <v>2.4304041826975693</v>
      </c>
      <c r="CC6" s="62">
        <f t="shared" si="11"/>
        <v>214.92566549613426</v>
      </c>
      <c r="CD6" s="62">
        <f ca="1">AVERAGE(OFFSET($CC$3,0,0,'Données projet'!$E$12+1,1))-AVERAGE(OFFSET($H$3,0,0,'Données projet'!$E$12+1,1))</f>
        <v>276.21705775006376</v>
      </c>
      <c r="CE6" s="62">
        <f t="shared" si="40"/>
        <v>234.24947280606958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5.5909090909090908</v>
      </c>
      <c r="CT6" s="13">
        <f>IF('Données projet'!$A$140&gt;35,CT5+CS6-DB5,IF(A6&lt;'Données projet'!$A$140,$CQ$205^A6,IF(A6='Données projet'!$A$140,'Données projet'!$B$140,CT5+CS6-DB5)))</f>
        <v>1.927467485460697</v>
      </c>
      <c r="CU6" s="18">
        <f>CT6*VLOOKUP('Données projet'!$B$13,Paramètres!$A$1:$I$89,3,0)*VLOOKUP('Données projet'!$B$13,Paramètres!$A$1:$I$89,5,0)</f>
        <v>1.152625556305497</v>
      </c>
      <c r="CV6" s="14">
        <f t="shared" si="41"/>
        <v>0.52246812247269758</v>
      </c>
      <c r="CW6" s="22">
        <f t="shared" si="13"/>
        <v>2.9174548238720219</v>
      </c>
      <c r="CX6" s="62">
        <f t="shared" si="14"/>
        <v>215.41271613730871</v>
      </c>
      <c r="CY6" s="62">
        <f ca="1">AVERAGE(OFFSET($CX$3,0,0,'Données projet'!$E$13+1,1))-AVERAGE(OFFSET($H$3,0,0,'Données projet'!$E$13+1,1))</f>
        <v>376.32432344617206</v>
      </c>
      <c r="CZ6" s="62">
        <f t="shared" si="42"/>
        <v>302.77411534670466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56.953253085482736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2.75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10.083333333333334</v>
      </c>
      <c r="H7" s="70">
        <f t="shared" si="1"/>
        <v>216.33333333333334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1.8011040459404539</v>
      </c>
      <c r="P7" s="14">
        <f t="shared" si="33"/>
        <v>0.77507932103100641</v>
      </c>
      <c r="Q7" s="22">
        <f t="shared" si="2"/>
        <v>4.4868526974752925</v>
      </c>
      <c r="R7" s="62">
        <f t="shared" si="0"/>
        <v>219.03421983277264</v>
      </c>
      <c r="S7" s="62">
        <f ca="1">AVERAGE(OFFSET($R$3,0,0,'Données projet'!$E$9+1,1))-AVERAGE(OFFSET($H$3,0,0,'Données projet'!$E$9+1,1))</f>
        <v>338.33619350800484</v>
      </c>
      <c r="T7" s="62">
        <f t="shared" si="34"/>
        <v>173.80539144233424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5.6</v>
      </c>
      <c r="AI7" s="14">
        <f>IF('Données projet'!$A$62&gt;35,AI6+AH7-AQ6,IF(A7&lt;'Données projet'!$A$62,$AF$205^A7,IF(A7='Données projet'!$A$62,'Données projet'!$B$62,AI6+AH7-AQ6)))</f>
        <v>14.378925219250927</v>
      </c>
      <c r="AJ7" s="14">
        <f>AI7*VLOOKUP('Données projet'!$B$10,Paramètres!$A$1:$I$89,3,0)*VLOOKUP('Données projet'!$B$10,Paramètres!$A$1:$I$89,5,0)</f>
        <v>13.010051538378239</v>
      </c>
      <c r="AK7" s="14">
        <f t="shared" si="35"/>
        <v>4.4476336184326453</v>
      </c>
      <c r="AL7" s="22">
        <f t="shared" si="4"/>
        <v>30.405468314778947</v>
      </c>
      <c r="AM7" s="62">
        <f t="shared" si="5"/>
        <v>244.95283545007629</v>
      </c>
      <c r="AN7" s="62">
        <f ca="1">AVERAGE(OFFSET($AM$3,0,0,'Données projet'!$E$10+1,1))-AVERAGE(OFFSET($H$3,0,0,'Données projet'!$E$10+1,1))</f>
        <v>308.01218908312546</v>
      </c>
      <c r="AO7" s="62">
        <f t="shared" si="36"/>
        <v>433.94915035190684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1.2</v>
      </c>
      <c r="BD7" s="13">
        <f>IF('Données projet'!$A$88&gt;35,BD6+BC7-BL6,IF(A7&lt;'Données projet'!$A$88,$BA$205^A7,IF(A7='Données projet'!$A$88,'Données projet'!$B$88,BD6+BC7-BL6)))</f>
        <v>1.7232147397057538</v>
      </c>
      <c r="BE7" s="14">
        <f>BD7*VLOOKUP('Données projet'!$B$11,Paramètres!$A$1:$I$89,3,0)*VLOOKUP('Données projet'!$B$11,Paramètres!$A$1:$I$89,5,0)</f>
        <v>1.7473397460616347</v>
      </c>
      <c r="BF7" s="14">
        <f t="shared" si="37"/>
        <v>0.7545998185105095</v>
      </c>
      <c r="BG7" s="22">
        <f t="shared" si="7"/>
        <v>4.3575447416298188</v>
      </c>
      <c r="BH7" s="62">
        <f t="shared" si="8"/>
        <v>218.90491187692717</v>
      </c>
      <c r="BI7" s="62">
        <f ca="1">AVERAGE(OFFSET($BH$3,0,0,'Données projet'!$E$11+1,1))-AVERAGE(OFFSET($H$3,0,0,'Données projet'!$E$11+1,1))</f>
        <v>329.96352570744875</v>
      </c>
      <c r="BJ7" s="62">
        <f t="shared" si="38"/>
        <v>170.12252063636961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5.75</v>
      </c>
      <c r="BY7" s="13">
        <f>IF('Données projet'!$A$114&gt;35,BY6+BX7-CG6,IF(A7&lt;'Données projet'!$A$114,$BV$205^A7,IF(A7='Données projet'!$A$114,'Données projet'!$B$114,BY6+BX7-CG6)))</f>
        <v>2.5830901781308797</v>
      </c>
      <c r="BZ7" s="14">
        <f>BY7*VLOOKUP('Données projet'!$B$12,Paramètres!$A$1:$I$89,3,0)*VLOOKUP('Données projet'!$B$12,Paramètres!$A$1:$I$89,5,0)</f>
        <v>1.2088862033652517</v>
      </c>
      <c r="CA7" s="14">
        <f t="shared" si="39"/>
        <v>0.54493891535856476</v>
      </c>
      <c r="CB7" s="22">
        <f t="shared" si="10"/>
        <v>3.0545787484439804</v>
      </c>
      <c r="CC7" s="62">
        <f t="shared" si="11"/>
        <v>217.60194588374134</v>
      </c>
      <c r="CD7" s="62">
        <f ca="1">AVERAGE(OFFSET($CC$3,0,0,'Données projet'!$E$12+1,1))-AVERAGE(OFFSET($H$3,0,0,'Données projet'!$E$12+1,1))</f>
        <v>276.21705775006376</v>
      </c>
      <c r="CE7" s="62">
        <f t="shared" si="40"/>
        <v>234.24947280606958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5.5909090909090908</v>
      </c>
      <c r="CT7" s="13">
        <f>IF('Données projet'!$A$140&gt;35,CT6+CS7-DB6,IF(A7&lt;'Données projet'!$A$140,$CQ$205^A7,IF(A7='Données projet'!$A$140,'Données projet'!$B$140,CT6+CS7-DB6)))</f>
        <v>2.3987376266268075</v>
      </c>
      <c r="CU7" s="18">
        <f>CT7*VLOOKUP('Données projet'!$B$13,Paramètres!$A$1:$I$89,3,0)*VLOOKUP('Données projet'!$B$13,Paramètres!$A$1:$I$89,5,0)</f>
        <v>1.4344451007228309</v>
      </c>
      <c r="CV7" s="14">
        <f t="shared" si="41"/>
        <v>0.63386677286612625</v>
      </c>
      <c r="CW7" s="22">
        <f t="shared" si="13"/>
        <v>3.6023098465007668</v>
      </c>
      <c r="CX7" s="62">
        <f t="shared" si="14"/>
        <v>218.14967698179811</v>
      </c>
      <c r="CY7" s="62">
        <f ca="1">AVERAGE(OFFSET($CX$3,0,0,'Données projet'!$E$13+1,1))-AVERAGE(OFFSET($H$3,0,0,'Données projet'!$E$13+1,1))</f>
        <v>376.32432344617206</v>
      </c>
      <c r="CZ7" s="62">
        <f t="shared" si="42"/>
        <v>302.77411534670466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57.179584976293214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2.75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10.083333333333334</v>
      </c>
      <c r="H8" s="70">
        <f t="shared" si="1"/>
        <v>216.33333333333334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2.0635911277945542</v>
      </c>
      <c r="P8" s="14">
        <f t="shared" si="33"/>
        <v>0.87408471081743333</v>
      </c>
      <c r="Q8" s="22">
        <f t="shared" si="2"/>
        <v>5.1164520855825444</v>
      </c>
      <c r="R8" s="62">
        <f t="shared" si="0"/>
        <v>221.70152841762859</v>
      </c>
      <c r="S8" s="62">
        <f ca="1">AVERAGE(OFFSET($R$3,0,0,'Données projet'!$E$9+1,1))-AVERAGE(OFFSET($H$3,0,0,'Données projet'!$E$9+1,1))</f>
        <v>338.33619350800484</v>
      </c>
      <c r="T8" s="62">
        <f t="shared" si="34"/>
        <v>173.80539144233424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28</v>
      </c>
      <c r="AG8" s="13">
        <f>VLOOKUP(A8,'Données projet'!$A$61:$I$81,9,0)</f>
        <v>5.6</v>
      </c>
      <c r="AH8" s="13">
        <f t="array" ref="AH8">INDEX(AG:AG,MIN(IF(ISNUMBER(AG8:AG204),ROW(AG8:AG204),"")))</f>
        <v>5.6</v>
      </c>
      <c r="AI8" s="14">
        <f>IF('Données projet'!$A$62&gt;35,AI7+AH8-AQ7,IF(A8&lt;'Données projet'!$A$62,$AF$205^A8,IF(A8='Données projet'!$A$62,'Données projet'!$B$62,AI7+AH8-AQ7)))</f>
        <v>28</v>
      </c>
      <c r="AJ8" s="14">
        <f>AI8*VLOOKUP('Données projet'!$B$10,Paramètres!$A$1:$I$89,3,0)*VLOOKUP('Données projet'!$B$10,Paramètres!$A$1:$I$89,5,0)</f>
        <v>25.334399999999999</v>
      </c>
      <c r="AK8" s="14">
        <f t="shared" si="35"/>
        <v>8.0143955200794572</v>
      </c>
      <c r="AL8" s="22">
        <f t="shared" si="4"/>
        <v>58.082485530805052</v>
      </c>
      <c r="AM8" s="62">
        <f t="shared" si="5"/>
        <v>274.66756186285107</v>
      </c>
      <c r="AN8" s="62">
        <f ca="1">AVERAGE(OFFSET($AM$3,0,0,'Données projet'!$E$10+1,1))-AVERAGE(OFFSET($H$3,0,0,'Données projet'!$E$10+1,1))</f>
        <v>308.01218908312546</v>
      </c>
      <c r="AO8" s="62">
        <f t="shared" si="36"/>
        <v>433.94915035190684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4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1.2</v>
      </c>
      <c r="BD8" s="13">
        <f>IF('Données projet'!$A$88&gt;35,BD7+BC8-BL7,IF(A8&lt;'Données projet'!$A$88,$BA$205^A8,IF(A8='Données projet'!$A$88,'Données projet'!$B$88,BD7+BC8-BL7)))</f>
        <v>1.9743504858348202</v>
      </c>
      <c r="BE8" s="14">
        <f>BD8*VLOOKUP('Données projet'!$B$11,Paramètres!$A$1:$I$89,3,0)*VLOOKUP('Données projet'!$B$11,Paramètres!$A$1:$I$89,5,0)</f>
        <v>2.0019913926365076</v>
      </c>
      <c r="BF8" s="14">
        <f t="shared" si="37"/>
        <v>0.85098924232460604</v>
      </c>
      <c r="BG8" s="22">
        <f t="shared" si="7"/>
        <v>4.9689412725572728</v>
      </c>
      <c r="BH8" s="62">
        <f t="shared" si="8"/>
        <v>221.5540176046033</v>
      </c>
      <c r="BI8" s="62">
        <f ca="1">AVERAGE(OFFSET($BH$3,0,0,'Données projet'!$E$11+1,1))-AVERAGE(OFFSET($H$3,0,0,'Données projet'!$E$11+1,1))</f>
        <v>329.96352570744875</v>
      </c>
      <c r="BJ8" s="62">
        <f t="shared" si="38"/>
        <v>170.12252063636961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5.75</v>
      </c>
      <c r="BY8" s="13">
        <f>IF('Données projet'!$A$114&gt;35,BY7+BX8-CG7,IF(A8&lt;'Données projet'!$A$114,$BV$205^A8,IF(A8='Données projet'!$A$114,'Données projet'!$B$114,BY7+BX8-CG7)))</f>
        <v>3.2747221706220535</v>
      </c>
      <c r="BZ8" s="14">
        <f>BY8*VLOOKUP('Données projet'!$B$12,Paramètres!$A$1:$I$89,3,0)*VLOOKUP('Données projet'!$B$12,Paramètres!$A$1:$I$89,5,0)</f>
        <v>1.5325699758511209</v>
      </c>
      <c r="CA8" s="14">
        <f t="shared" si="39"/>
        <v>0.67203122680395833</v>
      </c>
      <c r="CB8" s="22">
        <f t="shared" si="10"/>
        <v>3.839680427957596</v>
      </c>
      <c r="CC8" s="62">
        <f t="shared" si="11"/>
        <v>220.42475676000365</v>
      </c>
      <c r="CD8" s="62">
        <f ca="1">AVERAGE(OFFSET($CC$3,0,0,'Données projet'!$E$12+1,1))-AVERAGE(OFFSET($H$3,0,0,'Données projet'!$E$12+1,1))</f>
        <v>276.21705775006376</v>
      </c>
      <c r="CE8" s="62">
        <f t="shared" si="40"/>
        <v>234.24947280606958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5.5909090909090908</v>
      </c>
      <c r="CT8" s="13">
        <f>IF('Données projet'!$A$140&gt;35,CT7+CS8-DB7,IF(A8&lt;'Données projet'!$A$140,$CQ$205^A8,IF(A8='Données projet'!$A$140,'Données projet'!$B$140,CT7+CS8-DB7)))</f>
        <v>2.9852343786852105</v>
      </c>
      <c r="CU8" s="18">
        <f>CT8*VLOOKUP('Données projet'!$B$13,Paramètres!$A$1:$I$89,3,0)*VLOOKUP('Données projet'!$B$13,Paramètres!$A$1:$I$89,5,0)</f>
        <v>1.785170158453756</v>
      </c>
      <c r="CV8" s="14">
        <f t="shared" si="41"/>
        <v>0.7690174164926461</v>
      </c>
      <c r="CW8" s="22">
        <f t="shared" si="13"/>
        <v>4.4485433596983173</v>
      </c>
      <c r="CX8" s="62">
        <f t="shared" si="14"/>
        <v>221.03361969174435</v>
      </c>
      <c r="CY8" s="62">
        <f ca="1">AVERAGE(OFFSET($CX$3,0,0,'Données projet'!$E$13+1,1))-AVERAGE(OFFSET($H$3,0,0,'Données projet'!$E$13+1,1))</f>
        <v>376.32432344617206</v>
      </c>
      <c r="CZ8" s="62">
        <f t="shared" si="42"/>
        <v>302.77411534670466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57.401990514800438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2.75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10.083333333333334</v>
      </c>
      <c r="H9" s="70">
        <f t="shared" si="1"/>
        <v>216.33333333333334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2.3643322285075734</v>
      </c>
      <c r="P9" s="14">
        <f t="shared" si="33"/>
        <v>0.98573663488853658</v>
      </c>
      <c r="Q9" s="22">
        <f t="shared" si="2"/>
        <v>5.8347032704148916</v>
      </c>
      <c r="R9" s="62">
        <f t="shared" si="0"/>
        <v>224.44334192335731</v>
      </c>
      <c r="S9" s="62">
        <f ca="1">AVERAGE(OFFSET($R$3,0,0,'Données projet'!$E$9+1,1))-AVERAGE(OFFSET($H$3,0,0,'Données projet'!$E$9+1,1))</f>
        <v>338.33619350800484</v>
      </c>
      <c r="T9" s="62">
        <f t="shared" si="34"/>
        <v>173.80539144233424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11</v>
      </c>
      <c r="AI9" s="14">
        <f>IF('Données projet'!$A$62&gt;35,AI8+AH9-AQ8,IF(A9&lt;'Données projet'!$A$62,$AF$205^A9,IF(A9='Données projet'!$A$62,'Données projet'!$B$62,AI8+AH9-AQ8)))</f>
        <v>35</v>
      </c>
      <c r="AJ9" s="14">
        <f>AI9*VLOOKUP('Données projet'!$B$10,Paramètres!$A$1:$I$89,3,0)*VLOOKUP('Données projet'!$B$10,Paramètres!$A$1:$I$89,5,0)</f>
        <v>31.667999999999996</v>
      </c>
      <c r="AK9" s="14">
        <f t="shared" si="35"/>
        <v>9.7611381424130652</v>
      </c>
      <c r="AL9" s="22">
        <f t="shared" si="4"/>
        <v>72.155748931369416</v>
      </c>
      <c r="AM9" s="62">
        <f t="shared" si="5"/>
        <v>290.76438758431186</v>
      </c>
      <c r="AN9" s="62">
        <f ca="1">AVERAGE(OFFSET($AM$3,0,0,'Données projet'!$E$10+1,1))-AVERAGE(OFFSET($H$3,0,0,'Données projet'!$E$10+1,1))</f>
        <v>308.01218908312546</v>
      </c>
      <c r="AO9" s="62">
        <f t="shared" si="36"/>
        <v>433.94915035190684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1.2</v>
      </c>
      <c r="BD9" s="13">
        <f>IF('Données projet'!$A$88&gt;35,BD8+BC9-BL8,IF(A9&lt;'Données projet'!$A$88,$BA$205^A9,IF(A9='Données projet'!$A$88,'Données projet'!$B$88,BD8+BC9-BL8)))</f>
        <v>2.2620859438457455</v>
      </c>
      <c r="BE9" s="14">
        <f>BD9*VLOOKUP('Données projet'!$B$11,Paramètres!$A$1:$I$89,3,0)*VLOOKUP('Données projet'!$B$11,Paramètres!$A$1:$I$89,5,0)</f>
        <v>2.2937551470595863</v>
      </c>
      <c r="BF9" s="14">
        <f t="shared" si="37"/>
        <v>0.95969104787443238</v>
      </c>
      <c r="BG9" s="22">
        <f t="shared" si="7"/>
        <v>5.6664187895100824</v>
      </c>
      <c r="BH9" s="62">
        <f t="shared" si="8"/>
        <v>224.27505744245252</v>
      </c>
      <c r="BI9" s="62">
        <f ca="1">AVERAGE(OFFSET($BH$3,0,0,'Données projet'!$E$11+1,1))-AVERAGE(OFFSET($H$3,0,0,'Données projet'!$E$11+1,1))</f>
        <v>329.96352570744875</v>
      </c>
      <c r="BJ9" s="62">
        <f t="shared" si="38"/>
        <v>170.12252063636961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5.75</v>
      </c>
      <c r="BY9" s="13">
        <f>IF('Données projet'!$A$114&gt;35,BY8+BX9-CG8,IF(A9&lt;'Données projet'!$A$114,$BV$205^A9,IF(A9='Données projet'!$A$114,'Données projet'!$B$114,BY8+BX9-CG8)))</f>
        <v>4.1515411988145692</v>
      </c>
      <c r="BZ9" s="14">
        <f>BY9*VLOOKUP('Données projet'!$B$12,Paramètres!$A$1:$I$89,3,0)*VLOOKUP('Données projet'!$B$12,Paramètres!$A$1:$I$89,5,0)</f>
        <v>1.9429212810452183</v>
      </c>
      <c r="CA9" s="14">
        <f t="shared" si="39"/>
        <v>0.82876439371643607</v>
      </c>
      <c r="CB9" s="22">
        <f t="shared" si="10"/>
        <v>4.8273525502098815</v>
      </c>
      <c r="CC9" s="62">
        <f t="shared" si="11"/>
        <v>223.43599120315233</v>
      </c>
      <c r="CD9" s="62">
        <f ca="1">AVERAGE(OFFSET($CC$3,0,0,'Données projet'!$E$12+1,1))-AVERAGE(OFFSET($H$3,0,0,'Données projet'!$E$12+1,1))</f>
        <v>276.21705775006376</v>
      </c>
      <c r="CE9" s="62">
        <f t="shared" si="40"/>
        <v>234.24947280606958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5.5909090909090908</v>
      </c>
      <c r="CT9" s="13">
        <f>IF('Données projet'!$A$140&gt;35,CT8+CS9-DB8,IF(A9&lt;'Données projet'!$A$140,$CQ$205^A9,IF(A9='Données projet'!$A$140,'Données projet'!$B$140,CT8+CS9-DB8)))</f>
        <v>3.7151309075081826</v>
      </c>
      <c r="CU9" s="18">
        <f>CT9*VLOOKUP('Données projet'!$B$13,Paramètres!$A$1:$I$89,3,0)*VLOOKUP('Données projet'!$B$13,Paramètres!$A$1:$I$89,5,0)</f>
        <v>2.2216482826898933</v>
      </c>
      <c r="CV9" s="14">
        <f t="shared" si="41"/>
        <v>0.93298436230530435</v>
      </c>
      <c r="CW9" s="22">
        <f t="shared" si="13"/>
        <v>5.4943185233666361</v>
      </c>
      <c r="CX9" s="62">
        <f t="shared" si="14"/>
        <v>224.10295717630908</v>
      </c>
      <c r="CY9" s="62">
        <f ca="1">AVERAGE(OFFSET($CX$3,0,0,'Données projet'!$E$13+1,1))-AVERAGE(OFFSET($H$3,0,0,'Données projet'!$E$13+1,1))</f>
        <v>376.32432344617206</v>
      </c>
      <c r="CZ9" s="62">
        <f t="shared" si="42"/>
        <v>302.77411534670466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57.620537814438848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2.75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10.083333333333334</v>
      </c>
      <c r="H10" s="70">
        <f t="shared" si="1"/>
        <v>216.33333333333334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2.7089023651375772</v>
      </c>
      <c r="P10" s="14">
        <f t="shared" si="33"/>
        <v>1.1116505086248174</v>
      </c>
      <c r="Q10" s="22">
        <f t="shared" si="2"/>
        <v>6.6541295884695044</v>
      </c>
      <c r="R10" s="62">
        <f t="shared" si="0"/>
        <v>227.27242910312444</v>
      </c>
      <c r="S10" s="62">
        <f ca="1">AVERAGE(OFFSET($R$3,0,0,'Données projet'!$E$9+1,1))-AVERAGE(OFFSET($H$3,0,0,'Données projet'!$E$9+1,1))</f>
        <v>338.33619350800484</v>
      </c>
      <c r="T10" s="62">
        <f t="shared" si="34"/>
        <v>173.80539144233424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11</v>
      </c>
      <c r="AI10" s="14">
        <f>IF('Données projet'!$A$62&gt;35,AI9+AH10-AQ9,IF(A10&lt;'Données projet'!$A$62,$AF$205^A10,IF(A10='Données projet'!$A$62,'Données projet'!$B$62,AI9+AH10-AQ9)))</f>
        <v>46</v>
      </c>
      <c r="AJ10" s="14">
        <f>AI10*VLOOKUP('Données projet'!$B$10,Paramètres!$A$1:$I$89,3,0)*VLOOKUP('Données projet'!$B$10,Paramètres!$A$1:$I$89,5,0)</f>
        <v>41.620800000000003</v>
      </c>
      <c r="AK10" s="14">
        <f t="shared" si="35"/>
        <v>12.427241987862391</v>
      </c>
      <c r="AL10" s="22">
        <f t="shared" si="4"/>
        <v>94.133673128860323</v>
      </c>
      <c r="AM10" s="62">
        <f t="shared" si="5"/>
        <v>314.75197264351527</v>
      </c>
      <c r="AN10" s="62">
        <f ca="1">AVERAGE(OFFSET($AM$3,0,0,'Données projet'!$E$10+1,1))-AVERAGE(OFFSET($H$3,0,0,'Données projet'!$E$10+1,1))</f>
        <v>308.01218908312546</v>
      </c>
      <c r="AO10" s="62">
        <f t="shared" si="36"/>
        <v>433.94915035190684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1.2</v>
      </c>
      <c r="BD10" s="13">
        <f>IF('Données projet'!$A$88&gt;35,BD9+BC10-BL9,IF(A10&lt;'Données projet'!$A$88,$BA$205^A10,IF(A10='Données projet'!$A$88,'Données projet'!$B$88,BD9+BC10-BL9)))</f>
        <v>2.5917550374450604</v>
      </c>
      <c r="BE10" s="14">
        <f>BD10*VLOOKUP('Données projet'!$B$11,Paramètres!$A$1:$I$89,3,0)*VLOOKUP('Données projet'!$B$11,Paramètres!$A$1:$I$89,5,0)</f>
        <v>2.6280396079692911</v>
      </c>
      <c r="BF10" s="14">
        <f t="shared" si="37"/>
        <v>1.082277967291873</v>
      </c>
      <c r="BG10" s="22">
        <f t="shared" si="7"/>
        <v>6.4621364435798609</v>
      </c>
      <c r="BH10" s="62">
        <f t="shared" si="8"/>
        <v>227.08043595823477</v>
      </c>
      <c r="BI10" s="62">
        <f ca="1">AVERAGE(OFFSET($BH$3,0,0,'Données projet'!$E$11+1,1))-AVERAGE(OFFSET($H$3,0,0,'Données projet'!$E$11+1,1))</f>
        <v>329.96352570744875</v>
      </c>
      <c r="BJ10" s="62">
        <f t="shared" si="38"/>
        <v>170.12252063636961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5.75</v>
      </c>
      <c r="BY10" s="13">
        <f>IF('Données projet'!$A$114&gt;35,BY9+BX10-CG9,IF(A10&lt;'Données projet'!$A$114,$BV$205^A10,IF(A10='Données projet'!$A$114,'Données projet'!$B$114,BY9+BX10-CG9)))</f>
        <v>5.2631317795673525</v>
      </c>
      <c r="BZ10" s="14">
        <f>BY10*VLOOKUP('Données projet'!$B$12,Paramètres!$A$1:$I$89,3,0)*VLOOKUP('Données projet'!$B$12,Paramètres!$A$1:$I$89,5,0)</f>
        <v>2.4631456728375212</v>
      </c>
      <c r="CA10" s="14">
        <f t="shared" si="39"/>
        <v>1.0220513465701448</v>
      </c>
      <c r="CB10" s="22">
        <f t="shared" si="10"/>
        <v>6.0700514754683512</v>
      </c>
      <c r="CC10" s="62">
        <f t="shared" si="11"/>
        <v>226.68835099012327</v>
      </c>
      <c r="CD10" s="62">
        <f ca="1">AVERAGE(OFFSET($CC$3,0,0,'Données projet'!$E$12+1,1))-AVERAGE(OFFSET($H$3,0,0,'Données projet'!$E$12+1,1))</f>
        <v>276.21705775006376</v>
      </c>
      <c r="CE10" s="62">
        <f t="shared" si="40"/>
        <v>234.24947280606958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5.5909090909090908</v>
      </c>
      <c r="CT10" s="13">
        <f>IF('Données projet'!$A$140&gt;35,CT9+CS10-DB9,IF(A10&lt;'Données projet'!$A$140,$CQ$205^A10,IF(A10='Données projet'!$A$140,'Données projet'!$B$140,CT9+CS10-DB9)))</f>
        <v>4.6234887814743333</v>
      </c>
      <c r="CU10" s="18">
        <f>CT10*VLOOKUP('Données projet'!$B$13,Paramètres!$A$1:$I$89,3,0)*VLOOKUP('Données projet'!$B$13,Paramètres!$A$1:$I$89,5,0)</f>
        <v>2.7648462913216516</v>
      </c>
      <c r="CV10" s="14">
        <f t="shared" si="41"/>
        <v>1.1319117118000401</v>
      </c>
      <c r="CW10" s="22">
        <f t="shared" si="13"/>
        <v>6.7868535221036126</v>
      </c>
      <c r="CX10" s="62">
        <f t="shared" si="14"/>
        <v>227.40515303675852</v>
      </c>
      <c r="CY10" s="62">
        <f ca="1">AVERAGE(OFFSET($CX$3,0,0,'Données projet'!$E$13+1,1))-AVERAGE(OFFSET($H$3,0,0,'Données projet'!$E$13+1,1))</f>
        <v>376.32432344617206</v>
      </c>
      <c r="CZ10" s="62">
        <f t="shared" si="42"/>
        <v>302.77411534670466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57.835293807027099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2.75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10.083333333333334</v>
      </c>
      <c r="H11" s="70">
        <f t="shared" si="1"/>
        <v>216.33333333333334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3.1036890397082595</v>
      </c>
      <c r="P11" s="14">
        <f t="shared" si="33"/>
        <v>1.2536480938091046</v>
      </c>
      <c r="Q11" s="22">
        <f t="shared" si="2"/>
        <v>7.5890288408760744</v>
      </c>
      <c r="R11" s="62">
        <f t="shared" si="0"/>
        <v>230.20332891729743</v>
      </c>
      <c r="S11" s="62">
        <f ca="1">AVERAGE(OFFSET($R$3,0,0,'Données projet'!$E$9+1,1))-AVERAGE(OFFSET($H$3,0,0,'Données projet'!$E$9+1,1))</f>
        <v>338.33619350800484</v>
      </c>
      <c r="T11" s="62">
        <f t="shared" si="34"/>
        <v>173.80539144233424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11</v>
      </c>
      <c r="AI11" s="14">
        <f>IF('Données projet'!$A$62&gt;35,AI10+AH11-AQ10,IF(A11&lt;'Données projet'!$A$62,$AF$205^A11,IF(A11='Données projet'!$A$62,'Données projet'!$B$62,AI10+AH11-AQ10)))</f>
        <v>57</v>
      </c>
      <c r="AJ11" s="14">
        <f>AI11*VLOOKUP('Données projet'!$B$10,Paramètres!$A$1:$I$89,3,0)*VLOOKUP('Données projet'!$B$10,Paramètres!$A$1:$I$89,5,0)</f>
        <v>51.573599999999992</v>
      </c>
      <c r="AK11" s="14">
        <f t="shared" si="35"/>
        <v>15.019412930275323</v>
      </c>
      <c r="AL11" s="22">
        <f t="shared" si="4"/>
        <v>115.98283085356282</v>
      </c>
      <c r="AM11" s="62">
        <f t="shared" si="5"/>
        <v>338.59713092998419</v>
      </c>
      <c r="AN11" s="62">
        <f ca="1">AVERAGE(OFFSET($AM$3,0,0,'Données projet'!$E$10+1,1))-AVERAGE(OFFSET($H$3,0,0,'Données projet'!$E$10+1,1))</f>
        <v>308.01218908312546</v>
      </c>
      <c r="AO11" s="62">
        <f t="shared" si="36"/>
        <v>433.94915035190684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1.2</v>
      </c>
      <c r="BD11" s="13">
        <f>IF('Données projet'!$A$88&gt;35,BD10+BC11-BL10,IF(A11&lt;'Données projet'!$A$88,$BA$205^A11,IF(A11='Données projet'!$A$88,'Données projet'!$B$88,BD10+BC11-BL10)))</f>
        <v>2.9694690391391689</v>
      </c>
      <c r="BE11" s="14">
        <f>BD11*VLOOKUP('Données projet'!$B$11,Paramètres!$A$1:$I$89,3,0)*VLOOKUP('Données projet'!$B$11,Paramètres!$A$1:$I$89,5,0)</f>
        <v>3.0110416056871174</v>
      </c>
      <c r="BF11" s="14">
        <f t="shared" si="37"/>
        <v>1.2205236269315363</v>
      </c>
      <c r="BG11" s="22">
        <f t="shared" si="7"/>
        <v>7.3699761134774882</v>
      </c>
      <c r="BH11" s="62">
        <f t="shared" si="8"/>
        <v>229.98427618989885</v>
      </c>
      <c r="BI11" s="62">
        <f ca="1">AVERAGE(OFFSET($BH$3,0,0,'Données projet'!$E$11+1,1))-AVERAGE(OFFSET($H$3,0,0,'Données projet'!$E$11+1,1))</f>
        <v>329.96352570744875</v>
      </c>
      <c r="BJ11" s="62">
        <f t="shared" si="38"/>
        <v>170.12252063636961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5.75</v>
      </c>
      <c r="BY11" s="13">
        <f>IF('Données projet'!$A$114&gt;35,BY10+BX11-CG10,IF(A11&lt;'Données projet'!$A$114,$BV$205^A11,IF(A11='Données projet'!$A$114,'Données projet'!$B$114,BY10+BX11-CG10)))</f>
        <v>6.6723548683562202</v>
      </c>
      <c r="BZ11" s="14">
        <f>BY11*VLOOKUP('Données projet'!$B$12,Paramètres!$A$1:$I$89,3,0)*VLOOKUP('Données projet'!$B$12,Paramètres!$A$1:$I$89,5,0)</f>
        <v>3.1226620783907113</v>
      </c>
      <c r="CA11" s="14">
        <f t="shared" si="39"/>
        <v>1.2604172705122936</v>
      </c>
      <c r="CB11" s="22">
        <f t="shared" si="10"/>
        <v>7.6338631993393991</v>
      </c>
      <c r="CC11" s="62">
        <f t="shared" si="11"/>
        <v>230.24816327576076</v>
      </c>
      <c r="CD11" s="62">
        <f ca="1">AVERAGE(OFFSET($CC$3,0,0,'Données projet'!$E$12+1,1))-AVERAGE(OFFSET($H$3,0,0,'Données projet'!$E$12+1,1))</f>
        <v>276.21705775006376</v>
      </c>
      <c r="CE11" s="62">
        <f t="shared" si="40"/>
        <v>234.24947280606958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5.5909090909090908</v>
      </c>
      <c r="CT11" s="13">
        <f>IF('Données projet'!$A$140&gt;35,CT10+CS11-DB10,IF(A11&lt;'Données projet'!$A$140,$CQ$205^A11,IF(A11='Données projet'!$A$140,'Données projet'!$B$140,CT10+CS11-DB10)))</f>
        <v>5.7539422013952093</v>
      </c>
      <c r="CU11" s="18">
        <f>CT11*VLOOKUP('Données projet'!$B$13,Paramètres!$A$1:$I$89,3,0)*VLOOKUP('Données projet'!$B$13,Paramètres!$A$1:$I$89,5,0)</f>
        <v>3.4408574364343356</v>
      </c>
      <c r="CV11" s="14">
        <f t="shared" si="41"/>
        <v>1.3732535882427113</v>
      </c>
      <c r="CW11" s="22">
        <f t="shared" si="13"/>
        <v>8.3845767013125236</v>
      </c>
      <c r="CX11" s="62">
        <f t="shared" si="14"/>
        <v>230.99887677773387</v>
      </c>
      <c r="CY11" s="62">
        <f ca="1">AVERAGE(OFFSET($CX$3,0,0,'Données projet'!$E$13+1,1))-AVERAGE(OFFSET($H$3,0,0,'Données projet'!$E$13+1,1))</f>
        <v>376.32432344617206</v>
      </c>
      <c r="CZ11" s="62">
        <f t="shared" si="42"/>
        <v>302.77411534670466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58.046324263266428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2.75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10.083333333333334</v>
      </c>
      <c r="H12" s="70">
        <f t="shared" si="1"/>
        <v>216.33333333333334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3.5560106481415956</v>
      </c>
      <c r="P12" s="14">
        <f t="shared" si="33"/>
        <v>1.4137838564527014</v>
      </c>
      <c r="Q12" s="22">
        <f t="shared" si="2"/>
        <v>8.6557254288350673</v>
      </c>
      <c r="R12" s="62">
        <f t="shared" si="0"/>
        <v>233.25260274274089</v>
      </c>
      <c r="S12" s="62">
        <f ca="1">AVERAGE(OFFSET($R$3,0,0,'Données projet'!$E$9+1,1))-AVERAGE(OFFSET($H$3,0,0,'Données projet'!$E$9+1,1))</f>
        <v>338.33619350800484</v>
      </c>
      <c r="T12" s="62">
        <f t="shared" si="34"/>
        <v>173.80539144233424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11</v>
      </c>
      <c r="AI12" s="14">
        <f>IF('Données projet'!$A$62&gt;35,AI11+AH12-AQ11,IF(A12&lt;'Données projet'!$A$62,$AF$205^A12,IF(A12='Données projet'!$A$62,'Données projet'!$B$62,AI11+AH12-AQ11)))</f>
        <v>68</v>
      </c>
      <c r="AJ12" s="14">
        <f>AI12*VLOOKUP('Données projet'!$B$10,Paramètres!$A$1:$I$89,3,0)*VLOOKUP('Données projet'!$B$10,Paramètres!$A$1:$I$89,5,0)</f>
        <v>61.526399999999995</v>
      </c>
      <c r="AK12" s="14">
        <f t="shared" si="35"/>
        <v>17.553624762159014</v>
      </c>
      <c r="AL12" s="22">
        <f t="shared" si="4"/>
        <v>137.73104312742694</v>
      </c>
      <c r="AM12" s="62">
        <f t="shared" si="5"/>
        <v>362.32792044133276</v>
      </c>
      <c r="AN12" s="62">
        <f ca="1">AVERAGE(OFFSET($AM$3,0,0,'Données projet'!$E$10+1,1))-AVERAGE(OFFSET($H$3,0,0,'Données projet'!$E$10+1,1))</f>
        <v>308.01218908312546</v>
      </c>
      <c r="AO12" s="62">
        <f t="shared" si="36"/>
        <v>433.94915035190684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1.2</v>
      </c>
      <c r="BD12" s="13">
        <f>IF('Données projet'!$A$88&gt;35,BD11+BC12-BL11,IF(A12&lt;'Données projet'!$A$88,$BA$205^A12,IF(A12='Données projet'!$A$88,'Données projet'!$B$88,BD11+BC12-BL11)))</f>
        <v>3.4022298585357786</v>
      </c>
      <c r="BE12" s="14">
        <f>BD12*VLOOKUP('Données projet'!$B$11,Paramètres!$A$1:$I$89,3,0)*VLOOKUP('Données projet'!$B$11,Paramètres!$A$1:$I$89,5,0)</f>
        <v>3.4498610765552797</v>
      </c>
      <c r="BF12" s="14">
        <f t="shared" si="37"/>
        <v>1.3764282087582862</v>
      </c>
      <c r="BG12" s="22">
        <f t="shared" si="7"/>
        <v>8.4057871719211263</v>
      </c>
      <c r="BH12" s="62">
        <f t="shared" si="8"/>
        <v>233.00266448582695</v>
      </c>
      <c r="BI12" s="62">
        <f ca="1">AVERAGE(OFFSET($BH$3,0,0,'Données projet'!$E$11+1,1))-AVERAGE(OFFSET($H$3,0,0,'Données projet'!$E$11+1,1))</f>
        <v>329.96352570744875</v>
      </c>
      <c r="BJ12" s="62">
        <f t="shared" si="38"/>
        <v>170.12252063636961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5.75</v>
      </c>
      <c r="BY12" s="13">
        <f>IF('Données projet'!$A$114&gt;35,BY11+BX12-CG11,IF(A12&lt;'Données projet'!$A$114,$BV$205^A12,IF(A12='Données projet'!$A$114,'Données projet'!$B$114,BY11+BX12-CG11)))</f>
        <v>8.4589026750412604</v>
      </c>
      <c r="BZ12" s="14">
        <f>BY12*VLOOKUP('Données projet'!$B$12,Paramètres!$A$1:$I$89,3,0)*VLOOKUP('Données projet'!$B$12,Paramètres!$A$1:$I$89,5,0)</f>
        <v>3.9587664519193098</v>
      </c>
      <c r="CA12" s="14">
        <f t="shared" si="39"/>
        <v>1.5543756203021926</v>
      </c>
      <c r="CB12" s="22">
        <f t="shared" si="10"/>
        <v>9.6020557757857823</v>
      </c>
      <c r="CC12" s="62">
        <f t="shared" si="11"/>
        <v>234.19893308969159</v>
      </c>
      <c r="CD12" s="62">
        <f ca="1">AVERAGE(OFFSET($CC$3,0,0,'Données projet'!$E$12+1,1))-AVERAGE(OFFSET($H$3,0,0,'Données projet'!$E$12+1,1))</f>
        <v>276.21705775006376</v>
      </c>
      <c r="CE12" s="62">
        <f t="shared" si="40"/>
        <v>234.24947280606958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5.5909090909090908</v>
      </c>
      <c r="CT12" s="13">
        <f>IF('Données projet'!$A$140&gt;35,CT11+CS12-DB11,IF(A12&lt;'Données projet'!$A$140,$CQ$205^A12,IF(A12='Données projet'!$A$140,'Données projet'!$B$140,CT11+CS12-DB11)))</f>
        <v>7.1607940284521145</v>
      </c>
      <c r="CU12" s="18">
        <f>CT12*VLOOKUP('Données projet'!$B$13,Paramètres!$A$1:$I$89,3,0)*VLOOKUP('Données projet'!$B$13,Paramètres!$A$1:$I$89,5,0)</f>
        <v>4.2821548290143649</v>
      </c>
      <c r="CV12" s="14">
        <f t="shared" si="41"/>
        <v>1.6660534544894132</v>
      </c>
      <c r="CW12" s="22">
        <f t="shared" si="13"/>
        <v>10.359796093769079</v>
      </c>
      <c r="CX12" s="62">
        <f t="shared" si="14"/>
        <v>234.95667340767491</v>
      </c>
      <c r="CY12" s="62">
        <f ca="1">AVERAGE(OFFSET($CX$3,0,0,'Données projet'!$E$13+1,1))-AVERAGE(OFFSET($H$3,0,0,'Données projet'!$E$13+1,1))</f>
        <v>376.32432344617206</v>
      </c>
      <c r="CZ12" s="62">
        <f t="shared" si="42"/>
        <v>302.77411534670466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58.253693812883412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2.75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10.083333333333334</v>
      </c>
      <c r="H13" s="70">
        <f t="shared" si="1"/>
        <v>216.33333333333334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4.0742521457256036</v>
      </c>
      <c r="P13" s="14">
        <f t="shared" si="33"/>
        <v>1.5943746914599719</v>
      </c>
      <c r="Q13" s="22">
        <f t="shared" si="2"/>
        <v>9.8728584080982102</v>
      </c>
      <c r="R13" s="62">
        <f t="shared" si="0"/>
        <v>236.43912249987295</v>
      </c>
      <c r="S13" s="62">
        <f ca="1">AVERAGE(OFFSET($R$3,0,0,'Données projet'!$E$9+1,1))-AVERAGE(OFFSET($H$3,0,0,'Données projet'!$E$9+1,1))</f>
        <v>338.33619350800484</v>
      </c>
      <c r="T13" s="62">
        <f t="shared" si="34"/>
        <v>173.80539144233424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79</v>
      </c>
      <c r="AG13" s="13">
        <f>VLOOKUP(A13,'Données projet'!$A$61:$I$81,9,0)</f>
        <v>11</v>
      </c>
      <c r="AH13" s="13">
        <f t="array" ref="AH13">INDEX(AG:AG,MIN(IF(ISNUMBER(AG13:AG209),ROW(AG13:AG209),"")))</f>
        <v>11</v>
      </c>
      <c r="AI13" s="14">
        <f>IF('Données projet'!$A$62&gt;35,AI12+AH13-AQ12,IF(A13&lt;'Données projet'!$A$62,$AF$205^A13,IF(A13='Données projet'!$A$62,'Données projet'!$B$62,AI12+AH13-AQ12)))</f>
        <v>79</v>
      </c>
      <c r="AJ13" s="14">
        <f>AI13*VLOOKUP('Données projet'!$B$10,Paramètres!$A$1:$I$89,3,0)*VLOOKUP('Données projet'!$B$10,Paramètres!$A$1:$I$89,5,0)</f>
        <v>71.479200000000006</v>
      </c>
      <c r="AK13" s="14">
        <f t="shared" si="35"/>
        <v>20.040346808618612</v>
      </c>
      <c r="AL13" s="22">
        <f t="shared" si="4"/>
        <v>159.39654402501074</v>
      </c>
      <c r="AM13" s="62">
        <f t="shared" si="5"/>
        <v>385.96280811678548</v>
      </c>
      <c r="AN13" s="62">
        <f ca="1">AVERAGE(OFFSET($AM$3,0,0,'Données projet'!$E$10+1,1))-AVERAGE(OFFSET($H$3,0,0,'Données projet'!$E$10+1,1))</f>
        <v>308.01218908312546</v>
      </c>
      <c r="AO13" s="62">
        <f t="shared" si="36"/>
        <v>433.94915035190684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21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1.2</v>
      </c>
      <c r="BD13" s="13">
        <f>IF('Données projet'!$A$88&gt;35,BD12+BC13-BL12,IF(A13&lt;'Données projet'!$A$88,$BA$205^A13,IF(A13='Données projet'!$A$88,'Données projet'!$B$88,BD12+BC13-BL12)))</f>
        <v>3.8980598409161908</v>
      </c>
      <c r="BE13" s="14">
        <f>BD13*VLOOKUP('Données projet'!$B$11,Paramètres!$A$1:$I$89,3,0)*VLOOKUP('Données projet'!$B$11,Paramètres!$A$1:$I$89,5,0)</f>
        <v>3.9526326786890178</v>
      </c>
      <c r="BF13" s="14">
        <f t="shared" si="37"/>
        <v>1.552247389613062</v>
      </c>
      <c r="BG13" s="22">
        <f t="shared" si="7"/>
        <v>9.5876661189594543</v>
      </c>
      <c r="BH13" s="62">
        <f t="shared" si="8"/>
        <v>236.15393021073419</v>
      </c>
      <c r="BI13" s="62">
        <f ca="1">AVERAGE(OFFSET($BH$3,0,0,'Données projet'!$E$11+1,1))-AVERAGE(OFFSET($H$3,0,0,'Données projet'!$E$11+1,1))</f>
        <v>329.96352570744875</v>
      </c>
      <c r="BJ13" s="62">
        <f t="shared" si="38"/>
        <v>170.12252063636961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5.75</v>
      </c>
      <c r="BY13" s="13">
        <f>IF('Données projet'!$A$114&gt;35,BY12+BX13-CG12,IF(A13&lt;'Données projet'!$A$114,$BV$205^A13,IF(A13='Données projet'!$A$114,'Données projet'!$B$114,BY12+BX13-CG12)))</f>
        <v>10.723805294763611</v>
      </c>
      <c r="BZ13" s="14">
        <f>BY13*VLOOKUP('Données projet'!$B$12,Paramètres!$A$1:$I$89,3,0)*VLOOKUP('Données projet'!$B$12,Paramètres!$A$1:$I$89,5,0)</f>
        <v>5.0187408779493703</v>
      </c>
      <c r="CA13" s="14">
        <f t="shared" si="39"/>
        <v>1.9168918305981435</v>
      </c>
      <c r="CB13" s="22">
        <f t="shared" si="10"/>
        <v>12.079560300720253</v>
      </c>
      <c r="CC13" s="62">
        <f t="shared" si="11"/>
        <v>238.645824392495</v>
      </c>
      <c r="CD13" s="62">
        <f ca="1">AVERAGE(OFFSET($CC$3,0,0,'Données projet'!$E$12+1,1))-AVERAGE(OFFSET($H$3,0,0,'Données projet'!$E$12+1,1))</f>
        <v>276.21705775006376</v>
      </c>
      <c r="CE13" s="62">
        <f t="shared" si="40"/>
        <v>234.24947280606958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5.5909090909090908</v>
      </c>
      <c r="CT13" s="13">
        <f>IF('Données projet'!$A$140&gt;35,CT12+CS13-DB12,IF(A13&lt;'Données projet'!$A$140,$CQ$205^A13,IF(A13='Données projet'!$A$140,'Données projet'!$B$140,CT12+CS13-DB12)))</f>
        <v>8.9116242956840761</v>
      </c>
      <c r="CU13" s="18">
        <f>CT13*VLOOKUP('Données projet'!$B$13,Paramètres!$A$1:$I$89,3,0)*VLOOKUP('Données projet'!$B$13,Paramètres!$A$1:$I$89,5,0)</f>
        <v>5.3291513288190782</v>
      </c>
      <c r="CV13" s="14">
        <f t="shared" si="41"/>
        <v>2.0212829858817885</v>
      </c>
      <c r="CW13" s="22">
        <f t="shared" si="13"/>
        <v>12.802006431437341</v>
      </c>
      <c r="CX13" s="62">
        <f t="shared" si="14"/>
        <v>239.36827052321209</v>
      </c>
      <c r="CY13" s="62">
        <f ca="1">AVERAGE(OFFSET($CX$3,0,0,'Données projet'!$E$13+1,1))-AVERAGE(OFFSET($H$3,0,0,'Données projet'!$E$13+1,1))</f>
        <v>376.32432344617206</v>
      </c>
      <c r="CZ13" s="62">
        <f t="shared" si="42"/>
        <v>302.77411534670466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58.457465964423406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2.75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10.083333333333334</v>
      </c>
      <c r="H14" s="70">
        <f t="shared" si="1"/>
        <v>216.33333333333334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4.6680204840288511</v>
      </c>
      <c r="P14" s="14">
        <f t="shared" si="33"/>
        <v>1.798033444197221</v>
      </c>
      <c r="Q14" s="22">
        <f t="shared" si="2"/>
        <v>11.26171059166041</v>
      </c>
      <c r="R14" s="62">
        <f t="shared" si="0"/>
        <v>239.78439982667319</v>
      </c>
      <c r="S14" s="62">
        <f ca="1">AVERAGE(OFFSET($R$3,0,0,'Données projet'!$E$9+1,1))-AVERAGE(OFFSET($H$3,0,0,'Données projet'!$E$9+1,1))</f>
        <v>338.33619350800484</v>
      </c>
      <c r="T14" s="62">
        <f t="shared" si="34"/>
        <v>173.80539144233424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11</v>
      </c>
      <c r="AI14" s="14">
        <f>IF('Données projet'!$A$62&gt;35,AI13+AH14-AQ13,IF(A14&lt;'Données projet'!$A$62,$AF$205^A14,IF(A14='Données projet'!$A$62,'Données projet'!$B$62,AI13+AH14-AQ13)))</f>
        <v>69</v>
      </c>
      <c r="AJ14" s="14">
        <f>AI14*VLOOKUP('Données projet'!$B$10,Paramètres!$A$1:$I$89,3,0)*VLOOKUP('Données projet'!$B$10,Paramètres!$A$1:$I$89,5,0)</f>
        <v>62.431199999999997</v>
      </c>
      <c r="AK14" s="14">
        <f t="shared" si="35"/>
        <v>17.781524466058684</v>
      </c>
      <c r="AL14" s="22">
        <f t="shared" si="4"/>
        <v>139.70382844505221</v>
      </c>
      <c r="AM14" s="62">
        <f t="shared" si="5"/>
        <v>368.226517680065</v>
      </c>
      <c r="AN14" s="62">
        <f ca="1">AVERAGE(OFFSET($AM$3,0,0,'Données projet'!$E$10+1,1))-AVERAGE(OFFSET($H$3,0,0,'Données projet'!$E$10+1,1))</f>
        <v>308.01218908312546</v>
      </c>
      <c r="AO14" s="62">
        <f t="shared" si="36"/>
        <v>433.94915035190684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1.2</v>
      </c>
      <c r="BD14" s="13">
        <f>IF('Données projet'!$A$88&gt;35,BD13+BC14-BL13,IF(A14&lt;'Données projet'!$A$88,$BA$205^A14,IF(A14='Données projet'!$A$88,'Données projet'!$B$88,BD13+BC14-BL13)))</f>
        <v>4.4661504822319662</v>
      </c>
      <c r="BE14" s="14">
        <f>BD14*VLOOKUP('Données projet'!$B$11,Paramètres!$A$1:$I$89,3,0)*VLOOKUP('Données projet'!$B$11,Paramètres!$A$1:$I$89,5,0)</f>
        <v>4.5286765889832141</v>
      </c>
      <c r="BF14" s="14">
        <f t="shared" si="37"/>
        <v>1.7505249770594407</v>
      </c>
      <c r="BG14" s="22">
        <f t="shared" si="7"/>
        <v>10.936276060857622</v>
      </c>
      <c r="BH14" s="62">
        <f t="shared" si="8"/>
        <v>239.45896529587043</v>
      </c>
      <c r="BI14" s="62">
        <f ca="1">AVERAGE(OFFSET($BH$3,0,0,'Données projet'!$E$11+1,1))-AVERAGE(OFFSET($H$3,0,0,'Données projet'!$E$11+1,1))</f>
        <v>329.96352570744875</v>
      </c>
      <c r="BJ14" s="62">
        <f t="shared" si="38"/>
        <v>170.12252063636961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5.75</v>
      </c>
      <c r="BY14" s="13">
        <f>IF('Données projet'!$A$114&gt;35,BY13+BX14-CG13,IF(A14&lt;'Données projet'!$A$114,$BV$205^A14,IF(A14='Données projet'!$A$114,'Données projet'!$B$114,BY13+BX14-CG13)))</f>
        <v>13.595144006008928</v>
      </c>
      <c r="BZ14" s="14">
        <f>BY14*VLOOKUP('Données projet'!$B$12,Paramètres!$A$1:$I$89,3,0)*VLOOKUP('Données projet'!$B$12,Paramètres!$A$1:$I$89,5,0)</f>
        <v>6.3625273948121777</v>
      </c>
      <c r="CA14" s="14">
        <f t="shared" si="39"/>
        <v>2.3639551741679612</v>
      </c>
      <c r="CB14" s="22">
        <f t="shared" si="10"/>
        <v>15.198623807640407</v>
      </c>
      <c r="CC14" s="62">
        <f t="shared" si="11"/>
        <v>243.72131304265321</v>
      </c>
      <c r="CD14" s="62">
        <f ca="1">AVERAGE(OFFSET($CC$3,0,0,'Données projet'!$E$12+1,1))-AVERAGE(OFFSET($H$3,0,0,'Données projet'!$E$12+1,1))</f>
        <v>276.21705775006376</v>
      </c>
      <c r="CE14" s="62">
        <f t="shared" si="40"/>
        <v>234.24947280606958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5.5909090909090908</v>
      </c>
      <c r="CT14" s="13">
        <f>IF('Données projet'!$A$140&gt;35,CT13+CS14-DB13,IF(A14&lt;'Données projet'!$A$140,$CQ$205^A14,IF(A14='Données projet'!$A$140,'Données projet'!$B$140,CT13+CS14-DB13)))</f>
        <v>11.090536506409412</v>
      </c>
      <c r="CU14" s="18">
        <f>CT14*VLOOKUP('Données projet'!$B$13,Paramètres!$A$1:$I$89,3,0)*VLOOKUP('Données projet'!$B$13,Paramètres!$A$1:$I$89,5,0)</f>
        <v>6.6321408308328289</v>
      </c>
      <c r="CV14" s="14">
        <f t="shared" si="41"/>
        <v>2.4522531963221348</v>
      </c>
      <c r="CW14" s="22">
        <f t="shared" si="13"/>
        <v>15.821986263961561</v>
      </c>
      <c r="CX14" s="62">
        <f t="shared" si="14"/>
        <v>244.34467549897434</v>
      </c>
      <c r="CY14" s="62">
        <f ca="1">AVERAGE(OFFSET($CX$3,0,0,'Données projet'!$E$13+1,1))-AVERAGE(OFFSET($H$3,0,0,'Données projet'!$E$13+1,1))</f>
        <v>376.32432344617206</v>
      </c>
      <c r="CZ14" s="62">
        <f t="shared" si="42"/>
        <v>302.77411534670466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58.657703124700461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2.75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10.083333333333334</v>
      </c>
      <c r="H15" s="70">
        <f t="shared" si="1"/>
        <v>216.33333333333334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5.3483227006884695</v>
      </c>
      <c r="P15" s="14">
        <f t="shared" si="33"/>
        <v>2.027706713966543</v>
      </c>
      <c r="Q15" s="22">
        <f t="shared" si="2"/>
        <v>12.846584563857478</v>
      </c>
      <c r="R15" s="62">
        <f t="shared" si="0"/>
        <v>243.31296216286057</v>
      </c>
      <c r="S15" s="62">
        <f ca="1">AVERAGE(OFFSET($R$3,0,0,'Données projet'!$E$9+1,1))-AVERAGE(OFFSET($H$3,0,0,'Données projet'!$E$9+1,1))</f>
        <v>338.33619350800484</v>
      </c>
      <c r="T15" s="62">
        <f t="shared" si="34"/>
        <v>173.80539144233424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11</v>
      </c>
      <c r="AI15" s="14">
        <f>IF('Données projet'!$A$62&gt;35,AI14+AH15-AQ14,IF(A15&lt;'Données projet'!$A$62,$AF$205^A15,IF(A15='Données projet'!$A$62,'Données projet'!$B$62,AI14+AH15-AQ14)))</f>
        <v>80</v>
      </c>
      <c r="AJ15" s="14">
        <f>AI15*VLOOKUP('Données projet'!$B$10,Paramètres!$A$1:$I$89,3,0)*VLOOKUP('Données projet'!$B$10,Paramètres!$A$1:$I$89,5,0)</f>
        <v>72.384</v>
      </c>
      <c r="AK15" s="14">
        <f t="shared" si="35"/>
        <v>20.264329923804397</v>
      </c>
      <c r="AL15" s="22">
        <f t="shared" si="4"/>
        <v>161.362507950626</v>
      </c>
      <c r="AM15" s="62">
        <f t="shared" si="5"/>
        <v>391.82888554962909</v>
      </c>
      <c r="AN15" s="62">
        <f ca="1">AVERAGE(OFFSET($AM$3,0,0,'Données projet'!$E$10+1,1))-AVERAGE(OFFSET($H$3,0,0,'Données projet'!$E$10+1,1))</f>
        <v>308.01218908312546</v>
      </c>
      <c r="AO15" s="62">
        <f t="shared" si="36"/>
        <v>433.94915035190684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1.2</v>
      </c>
      <c r="BD15" s="13">
        <f>IF('Données projet'!$A$88&gt;35,BD14+BC15-BL14,IF(A15&lt;'Données projet'!$A$88,$BA$205^A15,IF(A15='Données projet'!$A$88,'Données projet'!$B$88,BD14+BC15-BL14)))</f>
        <v>5.1170328173444979</v>
      </c>
      <c r="BE15" s="14">
        <f>BD15*VLOOKUP('Données projet'!$B$11,Paramètres!$A$1:$I$89,3,0)*VLOOKUP('Données projet'!$B$11,Paramètres!$A$1:$I$89,5,0)</f>
        <v>5.1886712767873213</v>
      </c>
      <c r="BF15" s="14">
        <f t="shared" si="37"/>
        <v>1.9741297139966976</v>
      </c>
      <c r="BG15" s="22">
        <f t="shared" si="7"/>
        <v>12.4752117256155</v>
      </c>
      <c r="BH15" s="62">
        <f t="shared" si="8"/>
        <v>242.9415893246186</v>
      </c>
      <c r="BI15" s="62">
        <f ca="1">AVERAGE(OFFSET($BH$3,0,0,'Données projet'!$E$11+1,1))-AVERAGE(OFFSET($H$3,0,0,'Données projet'!$E$11+1,1))</f>
        <v>329.96352570744875</v>
      </c>
      <c r="BJ15" s="62">
        <f t="shared" si="38"/>
        <v>170.12252063636961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5.75</v>
      </c>
      <c r="BY15" s="13">
        <f>IF('Données projet'!$A$114&gt;35,BY14+BX15-CG14,IF(A15&lt;'Données projet'!$A$114,$BV$205^A15,IF(A15='Données projet'!$A$114,'Données projet'!$B$114,BY14+BX15-CG14)))</f>
        <v>17.23529432545471</v>
      </c>
      <c r="BZ15" s="14">
        <f>BY15*VLOOKUP('Données projet'!$B$12,Paramètres!$A$1:$I$89,3,0)*VLOOKUP('Données projet'!$B$12,Paramètres!$A$1:$I$89,5,0)</f>
        <v>8.0661177443128054</v>
      </c>
      <c r="CA15" s="14">
        <f t="shared" si="39"/>
        <v>2.915283990610841</v>
      </c>
      <c r="CB15" s="22">
        <f t="shared" si="10"/>
        <v>19.125941354992019</v>
      </c>
      <c r="CC15" s="62">
        <f t="shared" si="11"/>
        <v>249.59231895399512</v>
      </c>
      <c r="CD15" s="62">
        <f ca="1">AVERAGE(OFFSET($CC$3,0,0,'Données projet'!$E$12+1,1))-AVERAGE(OFFSET($H$3,0,0,'Données projet'!$E$12+1,1))</f>
        <v>276.21705775006376</v>
      </c>
      <c r="CE15" s="62">
        <f t="shared" si="40"/>
        <v>234.24947280606958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5.5909090909090908</v>
      </c>
      <c r="CT15" s="13">
        <f>IF('Données projet'!$A$140&gt;35,CT14+CS15-DB14,IF(A15&lt;'Données projet'!$A$140,$CQ$205^A15,IF(A15='Données projet'!$A$140,'Données projet'!$B$140,CT14+CS15-DB14)))</f>
        <v>13.802197659922571</v>
      </c>
      <c r="CU15" s="18">
        <f>CT15*VLOOKUP('Données projet'!$B$13,Paramètres!$A$1:$I$89,3,0)*VLOOKUP('Données projet'!$B$13,Paramètres!$A$1:$I$89,5,0)</f>
        <v>8.2537142006336985</v>
      </c>
      <c r="CV15" s="14">
        <f t="shared" si="41"/>
        <v>2.9751132230743558</v>
      </c>
      <c r="CW15" s="22">
        <f t="shared" si="13"/>
        <v>19.556874429624859</v>
      </c>
      <c r="CX15" s="62">
        <f t="shared" si="14"/>
        <v>250.02325202862795</v>
      </c>
      <c r="CY15" s="62">
        <f ca="1">AVERAGE(OFFSET($CX$3,0,0,'Données projet'!$E$13+1,1))-AVERAGE(OFFSET($H$3,0,0,'Données projet'!$E$13+1,1))</f>
        <v>376.32432344617206</v>
      </c>
      <c r="CZ15" s="62">
        <f t="shared" si="42"/>
        <v>302.77411534670466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58.854466617909935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2.75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10.083333333333334</v>
      </c>
      <c r="H16" s="70">
        <f t="shared" si="1"/>
        <v>216.33333333333334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6.127769963428209</v>
      </c>
      <c r="P16" s="14">
        <f t="shared" si="33"/>
        <v>2.286717486337261</v>
      </c>
      <c r="Q16" s="22">
        <f t="shared" si="2"/>
        <v>14.655232308341526</v>
      </c>
      <c r="R16" s="62">
        <f t="shared" si="0"/>
        <v>247.05278244673187</v>
      </c>
      <c r="S16" s="62">
        <f ca="1">AVERAGE(OFFSET($R$3,0,0,'Données projet'!$E$9+1,1))-AVERAGE(OFFSET($H$3,0,0,'Données projet'!$E$9+1,1))</f>
        <v>338.33619350800484</v>
      </c>
      <c r="T16" s="62">
        <f t="shared" si="34"/>
        <v>173.80539144233424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11</v>
      </c>
      <c r="AI16" s="14">
        <f>IF('Données projet'!$A$62&gt;35,AI15+AH16-AQ15,IF(A16&lt;'Données projet'!$A$62,$AF$205^A16,IF(A16='Données projet'!$A$62,'Données projet'!$B$62,AI15+AH16-AQ15)))</f>
        <v>91</v>
      </c>
      <c r="AJ16" s="14">
        <f>AI16*VLOOKUP('Données projet'!$B$10,Paramètres!$A$1:$I$89,3,0)*VLOOKUP('Données projet'!$B$10,Paramètres!$A$1:$I$89,5,0)</f>
        <v>82.336799999999997</v>
      </c>
      <c r="AK16" s="14">
        <f t="shared" si="35"/>
        <v>22.707582950885364</v>
      </c>
      <c r="AL16" s="22">
        <f t="shared" si="4"/>
        <v>182.95230030612535</v>
      </c>
      <c r="AM16" s="62">
        <f t="shared" si="5"/>
        <v>415.34985044451571</v>
      </c>
      <c r="AN16" s="62">
        <f ca="1">AVERAGE(OFFSET($AM$3,0,0,'Données projet'!$E$10+1,1))-AVERAGE(OFFSET($H$3,0,0,'Données projet'!$E$10+1,1))</f>
        <v>308.01218908312546</v>
      </c>
      <c r="AO16" s="62">
        <f t="shared" si="36"/>
        <v>433.94915035190684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1.2</v>
      </c>
      <c r="BD16" s="13">
        <f>IF('Données projet'!$A$88&gt;35,BD15+BC16-BL15,IF(A16&lt;'Données projet'!$A$88,$BA$205^A16,IF(A16='Données projet'!$A$88,'Données projet'!$B$88,BD15+BC16-BL15)))</f>
        <v>5.8627726400958746</v>
      </c>
      <c r="BE16" s="14">
        <f>BD16*VLOOKUP('Données projet'!$B$11,Paramètres!$A$1:$I$89,3,0)*VLOOKUP('Données projet'!$B$11,Paramètres!$A$1:$I$89,5,0)</f>
        <v>5.9448514570572168</v>
      </c>
      <c r="BF16" s="14">
        <f t="shared" si="37"/>
        <v>2.2262967845401667</v>
      </c>
      <c r="BG16" s="22">
        <f t="shared" si="7"/>
        <v>14.231416520782107</v>
      </c>
      <c r="BH16" s="62">
        <f t="shared" si="8"/>
        <v>246.62896665917245</v>
      </c>
      <c r="BI16" s="62">
        <f ca="1">AVERAGE(OFFSET($BH$3,0,0,'Données projet'!$E$11+1,1))-AVERAGE(OFFSET($H$3,0,0,'Données projet'!$E$11+1,1))</f>
        <v>329.96352570744875</v>
      </c>
      <c r="BJ16" s="62">
        <f t="shared" si="38"/>
        <v>170.12252063636961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5.75</v>
      </c>
      <c r="BY16" s="13">
        <f>IF('Données projet'!$A$114&gt;35,BY15+BX16-CG15,IF(A16&lt;'Données projet'!$A$114,$BV$205^A16,IF(A16='Données projet'!$A$114,'Données projet'!$B$114,BY15+BX16-CG15)))</f>
        <v>21.850108417664106</v>
      </c>
      <c r="BZ16" s="14">
        <f>BY16*VLOOKUP('Données projet'!$B$12,Paramètres!$A$1:$I$89,3,0)*VLOOKUP('Données projet'!$B$12,Paramètres!$A$1:$I$89,5,0)</f>
        <v>10.225850739466802</v>
      </c>
      <c r="CA16" s="14">
        <f t="shared" si="39"/>
        <v>3.5951953906669201</v>
      </c>
      <c r="CB16" s="22">
        <f t="shared" si="10"/>
        <v>24.071655343316234</v>
      </c>
      <c r="CC16" s="62">
        <f t="shared" si="11"/>
        <v>256.46920548170658</v>
      </c>
      <c r="CD16" s="62">
        <f ca="1">AVERAGE(OFFSET($CC$3,0,0,'Données projet'!$E$12+1,1))-AVERAGE(OFFSET($H$3,0,0,'Données projet'!$E$12+1,1))</f>
        <v>276.21705775006376</v>
      </c>
      <c r="CE16" s="62">
        <f t="shared" si="40"/>
        <v>234.24947280606958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5.5909090909090908</v>
      </c>
      <c r="CT16" s="13">
        <f>IF('Données projet'!$A$140&gt;35,CT15+CS16-DB15,IF(A16&lt;'Données projet'!$A$140,$CQ$205^A16,IF(A16='Données projet'!$A$140,'Données projet'!$B$140,CT15+CS16-DB15)))</f>
        <v>17.17686607257264</v>
      </c>
      <c r="CU16" s="18">
        <f>CT16*VLOOKUP('Données projet'!$B$13,Paramètres!$A$1:$I$89,3,0)*VLOOKUP('Données projet'!$B$13,Paramètres!$A$1:$I$89,5,0)</f>
        <v>10.27176591139844</v>
      </c>
      <c r="CV16" s="14">
        <f t="shared" si="41"/>
        <v>3.609455460548272</v>
      </c>
      <c r="CW16" s="22">
        <f t="shared" si="13"/>
        <v>24.176460556140523</v>
      </c>
      <c r="CX16" s="62">
        <f t="shared" si="14"/>
        <v>256.57401069453084</v>
      </c>
      <c r="CY16" s="62">
        <f ca="1">AVERAGE(OFFSET($CX$3,0,0,'Données projet'!$E$13+1,1))-AVERAGE(OFFSET($H$3,0,0,'Données projet'!$E$13+1,1))</f>
        <v>376.32432344617206</v>
      </c>
      <c r="CZ16" s="62">
        <f t="shared" si="42"/>
        <v>302.77411534670466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59.047816704409485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2.75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10.083333333333334</v>
      </c>
      <c r="H17" s="70">
        <f t="shared" si="1"/>
        <v>216.33333333333334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7.0208113507921537</v>
      </c>
      <c r="P17" s="14">
        <f t="shared" si="33"/>
        <v>2.5788132111530211</v>
      </c>
      <c r="Q17" s="22">
        <f t="shared" si="2"/>
        <v>16.719346112054513</v>
      </c>
      <c r="R17" s="62">
        <f t="shared" si="0"/>
        <v>251.0357700868048</v>
      </c>
      <c r="S17" s="62">
        <f ca="1">AVERAGE(OFFSET($R$3,0,0,'Données projet'!$E$9+1,1))-AVERAGE(OFFSET($H$3,0,0,'Données projet'!$E$9+1,1))</f>
        <v>338.33619350800484</v>
      </c>
      <c r="T17" s="62">
        <f t="shared" si="34"/>
        <v>173.80539144233424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11</v>
      </c>
      <c r="AI17" s="14">
        <f>IF('Données projet'!$A$62&gt;35,AI16+AH17-AQ16,IF(A17&lt;'Données projet'!$A$62,$AF$205^A17,IF(A17='Données projet'!$A$62,'Données projet'!$B$62,AI16+AH17-AQ16)))</f>
        <v>102</v>
      </c>
      <c r="AJ17" s="14">
        <f>AI17*VLOOKUP('Données projet'!$B$10,Paramètres!$A$1:$I$89,3,0)*VLOOKUP('Données projet'!$B$10,Paramètres!$A$1:$I$89,5,0)</f>
        <v>92.289599999999993</v>
      </c>
      <c r="AK17" s="14">
        <f t="shared" si="35"/>
        <v>25.116611431659546</v>
      </c>
      <c r="AL17" s="22">
        <f t="shared" si="4"/>
        <v>204.48248491014036</v>
      </c>
      <c r="AM17" s="62">
        <f t="shared" si="5"/>
        <v>438.79890888489064</v>
      </c>
      <c r="AN17" s="62">
        <f ca="1">AVERAGE(OFFSET($AM$3,0,0,'Données projet'!$E$10+1,1))-AVERAGE(OFFSET($H$3,0,0,'Données projet'!$E$10+1,1))</f>
        <v>308.01218908312546</v>
      </c>
      <c r="AO17" s="62">
        <f t="shared" si="36"/>
        <v>433.94915035190684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1.2</v>
      </c>
      <c r="BD17" s="13">
        <f>IF('Données projet'!$A$88&gt;35,BD16+BC17-BL16,IF(A17&lt;'Données projet'!$A$88,$BA$205^A17,IF(A17='Données projet'!$A$88,'Données projet'!$B$88,BD16+BC17-BL16)))</f>
        <v>6.7171941741218459</v>
      </c>
      <c r="BE17" s="14">
        <f>BD17*VLOOKUP('Données projet'!$B$11,Paramètres!$A$1:$I$89,3,0)*VLOOKUP('Données projet'!$B$11,Paramètres!$A$1:$I$89,5,0)</f>
        <v>6.8112348925595523</v>
      </c>
      <c r="BF17" s="14">
        <f t="shared" si="37"/>
        <v>2.5106746216891089</v>
      </c>
      <c r="BG17" s="22">
        <f t="shared" si="7"/>
        <v>16.235659070649749</v>
      </c>
      <c r="BH17" s="62">
        <f t="shared" si="8"/>
        <v>250.55208304540002</v>
      </c>
      <c r="BI17" s="62">
        <f ca="1">AVERAGE(OFFSET($BH$3,0,0,'Données projet'!$E$11+1,1))-AVERAGE(OFFSET($H$3,0,0,'Données projet'!$E$11+1,1))</f>
        <v>329.96352570744875</v>
      </c>
      <c r="BJ17" s="62">
        <f t="shared" si="38"/>
        <v>170.12252063636961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5.75</v>
      </c>
      <c r="BY17" s="13">
        <f>IF('Données projet'!$A$114&gt;35,BY16+BX17-CG16,IF(A17&lt;'Données projet'!$A$114,$BV$205^A17,IF(A17='Données projet'!$A$114,'Données projet'!$B$114,BY16+BX17-CG16)))</f>
        <v>27.700556129091808</v>
      </c>
      <c r="BZ17" s="14">
        <f>BY17*VLOOKUP('Données projet'!$B$12,Paramètres!$A$1:$I$89,3,0)*VLOOKUP('Données projet'!$B$12,Paramètres!$A$1:$I$89,5,0)</f>
        <v>12.963860268414967</v>
      </c>
      <c r="CA17" s="14">
        <f t="shared" si="39"/>
        <v>4.4336777956113931</v>
      </c>
      <c r="CB17" s="22">
        <f t="shared" si="10"/>
        <v>30.300712128179242</v>
      </c>
      <c r="CC17" s="62">
        <f t="shared" si="11"/>
        <v>264.61713610292952</v>
      </c>
      <c r="CD17" s="62">
        <f ca="1">AVERAGE(OFFSET($CC$3,0,0,'Données projet'!$E$12+1,1))-AVERAGE(OFFSET($H$3,0,0,'Données projet'!$E$12+1,1))</f>
        <v>276.21705775006376</v>
      </c>
      <c r="CE17" s="62">
        <f t="shared" si="40"/>
        <v>234.24947280606958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5.5909090909090908</v>
      </c>
      <c r="CT17" s="13">
        <f>IF('Données projet'!$A$140&gt;35,CT16+CS17-DB16,IF(A17&lt;'Données projet'!$A$140,$CQ$205^A17,IF(A17='Données projet'!$A$140,'Données projet'!$B$140,CT16+CS17-DB16)))</f>
        <v>21.376648512419013</v>
      </c>
      <c r="CU17" s="18">
        <f>CT17*VLOOKUP('Données projet'!$B$13,Paramètres!$A$1:$I$89,3,0)*VLOOKUP('Données projet'!$B$13,Paramètres!$A$1:$I$89,5,0)</f>
        <v>12.783235810426572</v>
      </c>
      <c r="CV17" s="14">
        <f t="shared" si="41"/>
        <v>4.3790497183898731</v>
      </c>
      <c r="CW17" s="22">
        <f t="shared" si="13"/>
        <v>29.890980629355308</v>
      </c>
      <c r="CX17" s="62">
        <f t="shared" si="14"/>
        <v>264.20740460410559</v>
      </c>
      <c r="CY17" s="62">
        <f ca="1">AVERAGE(OFFSET($CX$3,0,0,'Données projet'!$E$13+1,1))-AVERAGE(OFFSET($H$3,0,0,'Données projet'!$E$13+1,1))</f>
        <v>376.32432344617206</v>
      </c>
      <c r="CZ17" s="62">
        <f t="shared" si="42"/>
        <v>302.77411534670466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59.237812599174319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2.75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10.083333333333334</v>
      </c>
      <c r="H18" s="70">
        <f t="shared" si="1"/>
        <v>216.33333333333334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8.044001703326904</v>
      </c>
      <c r="P18" s="14">
        <f t="shared" si="33"/>
        <v>2.9082200218223746</v>
      </c>
      <c r="Q18" s="22">
        <f t="shared" si="2"/>
        <v>19.075119504634994</v>
      </c>
      <c r="R18" s="62">
        <f t="shared" si="0"/>
        <v>255.29833196771955</v>
      </c>
      <c r="S18" s="62">
        <f ca="1">AVERAGE(OFFSET($R$3,0,0,'Données projet'!$E$9+1,1))-AVERAGE(OFFSET($H$3,0,0,'Données projet'!$E$9+1,1))</f>
        <v>338.33619350800484</v>
      </c>
      <c r="T18" s="62">
        <f t="shared" si="34"/>
        <v>173.80539144233424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113</v>
      </c>
      <c r="AG18" s="13">
        <f>VLOOKUP(A18,'Données projet'!$A$61:$I$81,9,0)</f>
        <v>11</v>
      </c>
      <c r="AH18" s="13">
        <f t="array" ref="AH18">INDEX(AG:AG,MIN(IF(ISNUMBER(AG18:AG214),ROW(AG18:AG214),"")))</f>
        <v>11</v>
      </c>
      <c r="AI18" s="14">
        <f>IF('Données projet'!$A$62&gt;35,AI17+AH18-AQ17,IF(A18&lt;'Données projet'!$A$62,$AF$205^A18,IF(A18='Données projet'!$A$62,'Données projet'!$B$62,AI17+AH18-AQ17)))</f>
        <v>113</v>
      </c>
      <c r="AJ18" s="14">
        <f>AI18*VLOOKUP('Données projet'!$B$10,Paramètres!$A$1:$I$89,3,0)*VLOOKUP('Données projet'!$B$10,Paramètres!$A$1:$I$89,5,0)</f>
        <v>102.24239999999999</v>
      </c>
      <c r="AK18" s="14">
        <f t="shared" si="35"/>
        <v>27.495526976991481</v>
      </c>
      <c r="AL18" s="22">
        <f t="shared" si="4"/>
        <v>225.96022281826015</v>
      </c>
      <c r="AM18" s="62">
        <f t="shared" si="5"/>
        <v>462.18343528134471</v>
      </c>
      <c r="AN18" s="62">
        <f ca="1">AVERAGE(OFFSET($AM$3,0,0,'Données projet'!$E$10+1,1))-AVERAGE(OFFSET($H$3,0,0,'Données projet'!$E$10+1,1))</f>
        <v>308.01218908312546</v>
      </c>
      <c r="AO18" s="62">
        <f t="shared" si="36"/>
        <v>433.94915035190684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17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0.3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5.0810857031911887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5.0810857031911887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1.2</v>
      </c>
      <c r="BD18" s="13">
        <f>IF('Données projet'!$A$88&gt;35,BD17+BC18-BL17,IF(A18&lt;'Données projet'!$A$88,$BA$205^A18,IF(A18='Données projet'!$A$88,'Données projet'!$B$88,BD17+BC18-BL17)))</f>
        <v>7.6961363407260848</v>
      </c>
      <c r="BE18" s="14">
        <f>BD18*VLOOKUP('Données projet'!$B$11,Paramètres!$A$1:$I$89,3,0)*VLOOKUP('Données projet'!$B$11,Paramètres!$A$1:$I$89,5,0)</f>
        <v>7.8038822494962501</v>
      </c>
      <c r="BF18" s="14">
        <f t="shared" si="37"/>
        <v>2.8313776940102406</v>
      </c>
      <c r="BG18" s="22">
        <f t="shared" si="7"/>
        <v>18.523077734940472</v>
      </c>
      <c r="BH18" s="62">
        <f t="shared" si="8"/>
        <v>254.74629019802504</v>
      </c>
      <c r="BI18" s="62">
        <f ca="1">AVERAGE(OFFSET($BH$3,0,0,'Données projet'!$E$11+1,1))-AVERAGE(OFFSET($H$3,0,0,'Données projet'!$E$11+1,1))</f>
        <v>329.96352570744875</v>
      </c>
      <c r="BJ18" s="62">
        <f t="shared" si="38"/>
        <v>170.12252063636961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5.75</v>
      </c>
      <c r="BY18" s="13">
        <f>IF('Données projet'!$A$114&gt;35,BY17+BX18-CG17,IF(A18&lt;'Données projet'!$A$114,$BV$205^A18,IF(A18='Données projet'!$A$114,'Données projet'!$B$114,BY17+BX18-CG17)))</f>
        <v>35.117482952196561</v>
      </c>
      <c r="BZ18" s="14">
        <f>BY18*VLOOKUP('Données projet'!$B$12,Paramètres!$A$1:$I$89,3,0)*VLOOKUP('Données projet'!$B$12,Paramètres!$A$1:$I$89,5,0)</f>
        <v>16.434982021627992</v>
      </c>
      <c r="CA18" s="14">
        <f t="shared" si="39"/>
        <v>5.4677136175486121</v>
      </c>
      <c r="CB18" s="22">
        <f t="shared" si="10"/>
        <v>38.147194904899251</v>
      </c>
      <c r="CC18" s="62">
        <f t="shared" si="11"/>
        <v>274.37040736798383</v>
      </c>
      <c r="CD18" s="62">
        <f ca="1">AVERAGE(OFFSET($CC$3,0,0,'Données projet'!$E$12+1,1))-AVERAGE(OFFSET($H$3,0,0,'Données projet'!$E$12+1,1))</f>
        <v>276.21705775006376</v>
      </c>
      <c r="CE18" s="62">
        <f t="shared" si="40"/>
        <v>234.24947280606958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5.5909090909090908</v>
      </c>
      <c r="CT18" s="13">
        <f>IF('Données projet'!$A$140&gt;35,CT17+CS18-DB17,IF(A18&lt;'Données projet'!$A$140,$CQ$205^A18,IF(A18='Données projet'!$A$140,'Données projet'!$B$140,CT17+CS18-DB17)))</f>
        <v>26.603287217402478</v>
      </c>
      <c r="CU18" s="18">
        <f>CT18*VLOOKUP('Données projet'!$B$13,Paramètres!$A$1:$I$89,3,0)*VLOOKUP('Données projet'!$B$13,Paramètres!$A$1:$I$89,5,0)</f>
        <v>15.908765756006684</v>
      </c>
      <c r="CV18" s="14">
        <f t="shared" si="41"/>
        <v>5.312733913945455</v>
      </c>
      <c r="CW18" s="22">
        <f t="shared" si="13"/>
        <v>36.960778591833304</v>
      </c>
      <c r="CX18" s="62">
        <f t="shared" si="14"/>
        <v>273.1839910549179</v>
      </c>
      <c r="CY18" s="62">
        <f ca="1">AVERAGE(OFFSET($CX$3,0,0,'Données projet'!$E$13+1,1))-AVERAGE(OFFSET($H$3,0,0,'Données projet'!$E$13+1,1))</f>
        <v>376.32432344617206</v>
      </c>
      <c r="CZ18" s="62">
        <f t="shared" si="42"/>
        <v>302.77411534670466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59.424512489932155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2.75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10.083333333333334</v>
      </c>
      <c r="H19" s="70">
        <f t="shared" si="1"/>
        <v>216.33333333333334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9.2163085105292541</v>
      </c>
      <c r="P19" s="14">
        <f t="shared" si="33"/>
        <v>3.2797038803547029</v>
      </c>
      <c r="Q19" s="22">
        <f t="shared" si="2"/>
        <v>21.763888247456226</v>
      </c>
      <c r="R19" s="62">
        <f t="shared" si="0"/>
        <v>259.8820135046189</v>
      </c>
      <c r="S19" s="62">
        <f ca="1">AVERAGE(OFFSET($R$3,0,0,'Données projet'!$E$9+1,1))-AVERAGE(OFFSET($H$3,0,0,'Données projet'!$E$9+1,1))</f>
        <v>338.33619350800484</v>
      </c>
      <c r="T19" s="62">
        <f t="shared" si="34"/>
        <v>173.80539144233424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9.8000000000000007</v>
      </c>
      <c r="AI19" s="14">
        <f>IF('Données projet'!$A$62&gt;35,AI18+AH19-AQ18,IF(A19&lt;'Données projet'!$A$62,$AF$205^A19,IF(A19='Données projet'!$A$62,'Données projet'!$B$62,AI18+AH19-AQ18)))</f>
        <v>105.8</v>
      </c>
      <c r="AJ19" s="14">
        <f>AI19*VLOOKUP('Données projet'!$B$10,Paramètres!$A$1:$I$89,3,0)*VLOOKUP('Données projet'!$B$10,Paramètres!$A$1:$I$89,5,0)</f>
        <v>95.72784</v>
      </c>
      <c r="AK19" s="14">
        <f t="shared" si="35"/>
        <v>25.941642560384413</v>
      </c>
      <c r="AL19" s="22">
        <f t="shared" si="4"/>
        <v>211.90768212600287</v>
      </c>
      <c r="AM19" s="62">
        <f t="shared" si="5"/>
        <v>450.02580738316556</v>
      </c>
      <c r="AN19" s="62">
        <f ca="1">AVERAGE(OFFSET($AM$3,0,0,'Données projet'!$E$10+1,1))-AVERAGE(OFFSET($H$3,0,0,'Données projet'!$E$10+1,1))</f>
        <v>308.01218908312546</v>
      </c>
      <c r="AO19" s="62">
        <f t="shared" si="36"/>
        <v>433.94915035190684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4.9421431474347415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4.9421431474347415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1.2</v>
      </c>
      <c r="BD19" s="13">
        <f>IF('Données projet'!$A$88&gt;35,BD18+BC19-BL18,IF(A19&lt;'Données projet'!$A$88,$BA$205^A19,IF(A19='Données projet'!$A$88,'Données projet'!$B$88,BD18+BC19-BL18)))</f>
        <v>8.8177463744060987</v>
      </c>
      <c r="BE19" s="14">
        <f>BD19*VLOOKUP('Données projet'!$B$11,Paramètres!$A$1:$I$89,3,0)*VLOOKUP('Données projet'!$B$11,Paramètres!$A$1:$I$89,5,0)</f>
        <v>8.9411948236477841</v>
      </c>
      <c r="BF19" s="14">
        <f t="shared" si="37"/>
        <v>3.1930460350713803</v>
      </c>
      <c r="BG19" s="22">
        <f t="shared" si="7"/>
        <v>21.133802828935874</v>
      </c>
      <c r="BH19" s="62">
        <f t="shared" si="8"/>
        <v>259.25192808609859</v>
      </c>
      <c r="BI19" s="62">
        <f ca="1">AVERAGE(OFFSET($BH$3,0,0,'Données projet'!$E$11+1,1))-AVERAGE(OFFSET($H$3,0,0,'Données projet'!$E$11+1,1))</f>
        <v>329.96352570744875</v>
      </c>
      <c r="BJ19" s="62">
        <f t="shared" si="38"/>
        <v>170.12252063636961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5.75</v>
      </c>
      <c r="BY19" s="13">
        <f>IF('Données projet'!$A$114&gt;35,BY18+BX19-CG18,IF(A19&lt;'Données projet'!$A$114,$BV$205^A19,IF(A19='Données projet'!$A$114,'Données projet'!$B$114,BY18+BX19-CG18)))</f>
        <v>44.52031948927695</v>
      </c>
      <c r="BZ19" s="14">
        <f>BY19*VLOOKUP('Données projet'!$B$12,Paramètres!$A$1:$I$89,3,0)*VLOOKUP('Données projet'!$B$12,Paramètres!$A$1:$I$89,5,0)</f>
        <v>20.835509520981613</v>
      </c>
      <c r="CA19" s="14">
        <f t="shared" si="39"/>
        <v>6.7429104192276883</v>
      </c>
      <c r="CB19" s="22">
        <f t="shared" si="10"/>
        <v>48.03241472919786</v>
      </c>
      <c r="CC19" s="62">
        <f t="shared" si="11"/>
        <v>286.15053998636057</v>
      </c>
      <c r="CD19" s="62">
        <f ca="1">AVERAGE(OFFSET($CC$3,0,0,'Données projet'!$E$12+1,1))-AVERAGE(OFFSET($H$3,0,0,'Données projet'!$E$12+1,1))</f>
        <v>276.21705775006376</v>
      </c>
      <c r="CE19" s="62">
        <f t="shared" si="40"/>
        <v>234.24947280606958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5.5909090909090908</v>
      </c>
      <c r="CT19" s="13">
        <f>IF('Données projet'!$A$140&gt;35,CT18+CS19-DB18,IF(A19&lt;'Données projet'!$A$140,$CQ$205^A19,IF(A19='Données projet'!$A$140,'Données projet'!$B$140,CT18+CS19-DB18)))</f>
        <v>33.107850856996748</v>
      </c>
      <c r="CU19" s="18">
        <f>CT19*VLOOKUP('Données projet'!$B$13,Paramètres!$A$1:$I$89,3,0)*VLOOKUP('Données projet'!$B$13,Paramètres!$A$1:$I$89,5,0)</f>
        <v>19.798494812484059</v>
      </c>
      <c r="CV19" s="14">
        <f t="shared" si="41"/>
        <v>6.4454946747588586</v>
      </c>
      <c r="CW19" s="22">
        <f t="shared" si="13"/>
        <v>45.70828169028141</v>
      </c>
      <c r="CX19" s="62">
        <f t="shared" si="14"/>
        <v>283.82640694744407</v>
      </c>
      <c r="CY19" s="62">
        <f ca="1">AVERAGE(OFFSET($CX$3,0,0,'Données projet'!$E$13+1,1))-AVERAGE(OFFSET($H$3,0,0,'Données projet'!$E$13+1,1))</f>
        <v>376.32432344617206</v>
      </c>
      <c r="CZ19" s="62">
        <f t="shared" si="42"/>
        <v>302.77411534670466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59.607973554983772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2.75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10.083333333333334</v>
      </c>
      <c r="H20" s="70">
        <f t="shared" si="1"/>
        <v>216.33333333333334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10.559463522505677</v>
      </c>
      <c r="P20" s="14">
        <f t="shared" si="33"/>
        <v>3.6986395328072152</v>
      </c>
      <c r="Q20" s="22">
        <f t="shared" si="2"/>
        <v>24.832862821336619</v>
      </c>
      <c r="R20" s="62">
        <f t="shared" si="0"/>
        <v>264.83423119506665</v>
      </c>
      <c r="S20" s="62">
        <f ca="1">AVERAGE(OFFSET($R$3,0,0,'Données projet'!$E$9+1,1))-AVERAGE(OFFSET($H$3,0,0,'Données projet'!$E$9+1,1))</f>
        <v>338.33619350800484</v>
      </c>
      <c r="T20" s="62">
        <f t="shared" si="34"/>
        <v>173.80539144233424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9.8000000000000007</v>
      </c>
      <c r="AI20" s="14">
        <f>IF('Données projet'!$A$62&gt;35,AI19+AH20-AQ19,IF(A20&lt;'Données projet'!$A$62,$AF$205^A20,IF(A20='Données projet'!$A$62,'Données projet'!$B$62,AI19+AH20-AQ19)))</f>
        <v>115.6</v>
      </c>
      <c r="AJ20" s="14">
        <f>AI20*VLOOKUP('Données projet'!$B$10,Paramètres!$A$1:$I$89,3,0)*VLOOKUP('Données projet'!$B$10,Paramètres!$A$1:$I$89,5,0)</f>
        <v>104.59487999999999</v>
      </c>
      <c r="AK20" s="14">
        <f t="shared" si="35"/>
        <v>28.053785838854211</v>
      </c>
      <c r="AL20" s="22">
        <f t="shared" si="4"/>
        <v>231.02975966933766</v>
      </c>
      <c r="AM20" s="62">
        <f t="shared" si="5"/>
        <v>471.03112804306772</v>
      </c>
      <c r="AN20" s="62">
        <f ca="1">AVERAGE(OFFSET($AM$3,0,0,'Données projet'!$E$10+1,1))-AVERAGE(OFFSET($H$3,0,0,'Données projet'!$E$10+1,1))</f>
        <v>308.01218908312546</v>
      </c>
      <c r="AO20" s="62">
        <f t="shared" si="36"/>
        <v>433.94915035190684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4.8069999831721262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4.8069999831721262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1.2</v>
      </c>
      <c r="BD20" s="13">
        <f>IF('Données projet'!$A$88&gt;35,BD19+BC20-BL19,IF(A20&lt;'Données projet'!$A$88,$BA$205^A20,IF(A20='Données projet'!$A$88,'Données projet'!$B$88,BD19+BC20-BL19)))</f>
        <v>10.102816228956828</v>
      </c>
      <c r="BE20" s="14">
        <f>BD20*VLOOKUP('Données projet'!$B$11,Paramètres!$A$1:$I$89,3,0)*VLOOKUP('Données projet'!$B$11,Paramètres!$A$1:$I$89,5,0)</f>
        <v>10.244255656162224</v>
      </c>
      <c r="BF20" s="14">
        <f t="shared" si="37"/>
        <v>3.6009123769158946</v>
      </c>
      <c r="BG20" s="22">
        <f t="shared" si="7"/>
        <v>24.113667657611057</v>
      </c>
      <c r="BH20" s="62">
        <f t="shared" si="8"/>
        <v>264.11503603134111</v>
      </c>
      <c r="BI20" s="62">
        <f ca="1">AVERAGE(OFFSET($BH$3,0,0,'Données projet'!$E$11+1,1))-AVERAGE(OFFSET($H$3,0,0,'Données projet'!$E$11+1,1))</f>
        <v>329.96352570744875</v>
      </c>
      <c r="BJ20" s="62">
        <f t="shared" si="38"/>
        <v>170.12252063636961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5.75</v>
      </c>
      <c r="BY20" s="13">
        <f>IF('Données projet'!$A$114&gt;35,BY19+BX20-CG19,IF(A20&lt;'Données projet'!$A$114,$BV$205^A20,IF(A20='Données projet'!$A$114,'Données projet'!$B$114,BY19+BX20-CG19)))</f>
        <v>56.440800444763006</v>
      </c>
      <c r="BZ20" s="14">
        <f>BY20*VLOOKUP('Données projet'!$B$12,Paramètres!$A$1:$I$89,3,0)*VLOOKUP('Données projet'!$B$12,Paramètres!$A$1:$I$89,5,0)</f>
        <v>26.414294608149088</v>
      </c>
      <c r="CA20" s="14">
        <f t="shared" si="39"/>
        <v>8.3155124979120405</v>
      </c>
      <c r="CB20" s="22">
        <f t="shared" si="10"/>
        <v>60.487747376389791</v>
      </c>
      <c r="CC20" s="62">
        <f t="shared" si="11"/>
        <v>300.48911575011982</v>
      </c>
      <c r="CD20" s="62">
        <f ca="1">AVERAGE(OFFSET($CC$3,0,0,'Données projet'!$E$12+1,1))-AVERAGE(OFFSET($H$3,0,0,'Données projet'!$E$12+1,1))</f>
        <v>276.21705775006376</v>
      </c>
      <c r="CE20" s="62">
        <f t="shared" si="40"/>
        <v>234.24947280606958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5.5909090909090908</v>
      </c>
      <c r="CT20" s="13">
        <f>IF('Données projet'!$A$140&gt;35,CT19+CS20-DB19,IF(A20&lt;'Données projet'!$A$140,$CQ$205^A20,IF(A20='Données projet'!$A$140,'Données projet'!$B$140,CT19+CS20-DB19)))</f>
        <v>41.202794955809431</v>
      </c>
      <c r="CU20" s="18">
        <f>CT20*VLOOKUP('Données projet'!$B$13,Paramètres!$A$1:$I$89,3,0)*VLOOKUP('Données projet'!$B$13,Paramètres!$A$1:$I$89,5,0)</f>
        <v>24.639271383574041</v>
      </c>
      <c r="CV20" s="14">
        <f t="shared" si="41"/>
        <v>7.8197783429910519</v>
      </c>
      <c r="CW20" s="22">
        <f t="shared" si="13"/>
        <v>56.532844940434195</v>
      </c>
      <c r="CX20" s="62">
        <f t="shared" si="14"/>
        <v>296.53421331416428</v>
      </c>
      <c r="CY20" s="62">
        <f ca="1">AVERAGE(OFFSET($CX$3,0,0,'Données projet'!$E$13+1,1))-AVERAGE(OFFSET($H$3,0,0,'Données projet'!$E$13+1,1))</f>
        <v>376.32432344617206</v>
      </c>
      <c r="CZ20" s="62">
        <f t="shared" si="42"/>
        <v>302.77411534670466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59.78825198071425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2.75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10.083333333333334</v>
      </c>
      <c r="H21" s="70">
        <f t="shared" si="1"/>
        <v>216.33333333333334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12.098365604378504</v>
      </c>
      <c r="P21" s="14">
        <f t="shared" si="33"/>
        <v>4.1710882728122609</v>
      </c>
      <c r="Q21" s="22">
        <f t="shared" si="2"/>
        <v>28.335965502773913</v>
      </c>
      <c r="R21" s="62">
        <f t="shared" si="0"/>
        <v>270.20910975837563</v>
      </c>
      <c r="S21" s="62">
        <f ca="1">AVERAGE(OFFSET($R$3,0,0,'Données projet'!$E$9+1,1))-AVERAGE(OFFSET($H$3,0,0,'Données projet'!$E$9+1,1))</f>
        <v>338.33619350800484</v>
      </c>
      <c r="T21" s="62">
        <f t="shared" si="34"/>
        <v>173.80539144233424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9.8000000000000007</v>
      </c>
      <c r="AI21" s="14">
        <f>IF('Données projet'!$A$62&gt;35,AI20+AH21-AQ20,IF(A21&lt;'Données projet'!$A$62,$AF$205^A21,IF(A21='Données projet'!$A$62,'Données projet'!$B$62,AI20+AH21-AQ20)))</f>
        <v>125.39999999999999</v>
      </c>
      <c r="AJ21" s="14">
        <f>AI21*VLOOKUP('Données projet'!$B$10,Paramètres!$A$1:$I$89,3,0)*VLOOKUP('Données projet'!$B$10,Paramètres!$A$1:$I$89,5,0)</f>
        <v>113.46191999999998</v>
      </c>
      <c r="AK21" s="14">
        <f t="shared" si="35"/>
        <v>30.145163126535493</v>
      </c>
      <c r="AL21" s="22">
        <f t="shared" si="4"/>
        <v>250.11566977871595</v>
      </c>
      <c r="AM21" s="62">
        <f t="shared" si="5"/>
        <v>491.98881403431767</v>
      </c>
      <c r="AN21" s="62">
        <f ca="1">AVERAGE(OFFSET($AM$3,0,0,'Données projet'!$E$10+1,1))-AVERAGE(OFFSET($H$3,0,0,'Données projet'!$E$10+1,1))</f>
        <v>308.01218908312546</v>
      </c>
      <c r="AO21" s="62">
        <f t="shared" si="36"/>
        <v>433.94915035190684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4.6755523158431416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4.6755523158431416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1.2</v>
      </c>
      <c r="BD21" s="13">
        <f>IF('Données projet'!$A$88&gt;35,BD20+BC21-BL20,IF(A21&lt;'Données projet'!$A$88,$BA$205^A21,IF(A21='Données projet'!$A$88,'Données projet'!$B$88,BD20+BC21-BL20)))</f>
        <v>11.575168010312384</v>
      </c>
      <c r="BE21" s="14">
        <f>BD21*VLOOKUP('Données projet'!$B$11,Paramètres!$A$1:$I$89,3,0)*VLOOKUP('Données projet'!$B$11,Paramètres!$A$1:$I$89,5,0)</f>
        <v>11.737220362456757</v>
      </c>
      <c r="BF21" s="14">
        <f t="shared" si="37"/>
        <v>4.0608778588863084</v>
      </c>
      <c r="BG21" s="22">
        <f t="shared" si="7"/>
        <v>27.515021068839172</v>
      </c>
      <c r="BH21" s="62">
        <f t="shared" si="8"/>
        <v>269.38816532444088</v>
      </c>
      <c r="BI21" s="62">
        <f ca="1">AVERAGE(OFFSET($BH$3,0,0,'Données projet'!$E$11+1,1))-AVERAGE(OFFSET($H$3,0,0,'Données projet'!$E$11+1,1))</f>
        <v>329.96352570744875</v>
      </c>
      <c r="BJ21" s="62">
        <f t="shared" si="38"/>
        <v>170.12252063636961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5.75</v>
      </c>
      <c r="BY21" s="13">
        <f>IF('Données projet'!$A$114&gt;35,BY20+BX21-CG20,IF(A21&lt;'Données projet'!$A$114,$BV$205^A21,IF(A21='Données projet'!$A$114,'Données projet'!$B$114,BY20+BX21-CG20)))</f>
        <v>71.55303446582019</v>
      </c>
      <c r="BZ21" s="14">
        <f>BY21*VLOOKUP('Données projet'!$B$12,Paramètres!$A$1:$I$89,3,0)*VLOOKUP('Données projet'!$B$12,Paramètres!$A$1:$I$89,5,0)</f>
        <v>33.486820130003849</v>
      </c>
      <c r="CA21" s="14">
        <f t="shared" si="39"/>
        <v>10.254881616957807</v>
      </c>
      <c r="CB21" s="22">
        <f t="shared" si="10"/>
        <v>76.183463875958196</v>
      </c>
      <c r="CC21" s="62">
        <f t="shared" si="11"/>
        <v>318.05660813155993</v>
      </c>
      <c r="CD21" s="62">
        <f ca="1">AVERAGE(OFFSET($CC$3,0,0,'Données projet'!$E$12+1,1))-AVERAGE(OFFSET($H$3,0,0,'Données projet'!$E$12+1,1))</f>
        <v>276.21705775006376</v>
      </c>
      <c r="CE21" s="62">
        <f t="shared" si="40"/>
        <v>234.24947280606958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5.5909090909090908</v>
      </c>
      <c r="CT21" s="13">
        <f>IF('Données projet'!$A$140&gt;35,CT20+CS21-DB20,IF(A21&lt;'Données projet'!$A$140,$CQ$205^A21,IF(A21='Données projet'!$A$140,'Données projet'!$B$140,CT20+CS21-DB20)))</f>
        <v>51.276971117915458</v>
      </c>
      <c r="CU21" s="18">
        <f>CT21*VLOOKUP('Données projet'!$B$13,Paramètres!$A$1:$I$89,3,0)*VLOOKUP('Données projet'!$B$13,Paramètres!$A$1:$I$89,5,0)</f>
        <v>30.663628728513448</v>
      </c>
      <c r="CV21" s="14">
        <f t="shared" si="41"/>
        <v>9.4870815071768995</v>
      </c>
      <c r="CW21" s="22">
        <f t="shared" si="13"/>
        <v>69.929153660494023</v>
      </c>
      <c r="CX21" s="62">
        <f t="shared" si="14"/>
        <v>311.80229791609577</v>
      </c>
      <c r="CY21" s="62">
        <f ca="1">AVERAGE(OFFSET($CX$3,0,0,'Données projet'!$E$13+1,1))-AVERAGE(OFFSET($H$3,0,0,'Données projet'!$E$13+1,1))</f>
        <v>376.32432344617206</v>
      </c>
      <c r="CZ21" s="62">
        <f t="shared" si="42"/>
        <v>302.77411534670466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59.965402978800469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2.75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10.083333333333334</v>
      </c>
      <c r="H22" s="70">
        <f t="shared" si="1"/>
        <v>216.33333333333334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13.861542301391113</v>
      </c>
      <c r="P22" s="14">
        <f t="shared" si="33"/>
        <v>4.7038856382922933</v>
      </c>
      <c r="Q22" s="22">
        <f t="shared" si="2"/>
        <v>32.334786994948594</v>
      </c>
      <c r="R22" s="62">
        <f t="shared" si="0"/>
        <v>276.06843882861159</v>
      </c>
      <c r="S22" s="62">
        <f ca="1">AVERAGE(OFFSET($R$3,0,0,'Données projet'!$E$9+1,1))-AVERAGE(OFFSET($H$3,0,0,'Données projet'!$E$9+1,1))</f>
        <v>338.33619350800484</v>
      </c>
      <c r="T22" s="62">
        <f t="shared" si="34"/>
        <v>173.80539144233424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9.8000000000000007</v>
      </c>
      <c r="AI22" s="14">
        <f>IF('Données projet'!$A$62&gt;35,AI21+AH22-AQ21,IF(A22&lt;'Données projet'!$A$62,$AF$205^A22,IF(A22='Données projet'!$A$62,'Données projet'!$B$62,AI21+AH22-AQ21)))</f>
        <v>135.19999999999999</v>
      </c>
      <c r="AJ22" s="14">
        <f>AI22*VLOOKUP('Données projet'!$B$10,Paramètres!$A$1:$I$89,3,0)*VLOOKUP('Données projet'!$B$10,Paramètres!$A$1:$I$89,5,0)</f>
        <v>122.32895999999998</v>
      </c>
      <c r="AK22" s="14">
        <f t="shared" si="35"/>
        <v>32.217581794883031</v>
      </c>
      <c r="AL22" s="22">
        <f t="shared" si="4"/>
        <v>269.16856029275453</v>
      </c>
      <c r="AM22" s="62">
        <f t="shared" si="5"/>
        <v>512.90221212641745</v>
      </c>
      <c r="AN22" s="62">
        <f ca="1">AVERAGE(OFFSET($AM$3,0,0,'Données projet'!$E$10+1,1))-AVERAGE(OFFSET($H$3,0,0,'Données projet'!$E$10+1,1))</f>
        <v>308.01218908312546</v>
      </c>
      <c r="AO22" s="62">
        <f t="shared" si="36"/>
        <v>433.94915035190684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4.5476990918898004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4.5476990918898004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1.2</v>
      </c>
      <c r="BD22" s="13">
        <f>IF('Données projet'!$A$88&gt;35,BD21+BC22-BL21,IF(A22&lt;'Données projet'!$A$88,$BA$205^A22,IF(A22='Données projet'!$A$88,'Données projet'!$B$88,BD21+BC22-BL21)))</f>
        <v>13.262095581124292</v>
      </c>
      <c r="BE22" s="14">
        <f>BD22*VLOOKUP('Données projet'!$B$11,Paramètres!$A$1:$I$89,3,0)*VLOOKUP('Données projet'!$B$11,Paramètres!$A$1:$I$89,5,0)</f>
        <v>13.447764919260033</v>
      </c>
      <c r="BF22" s="14">
        <f t="shared" si="37"/>
        <v>4.5795974071762906</v>
      </c>
      <c r="BG22" s="22">
        <f t="shared" si="7"/>
        <v>31.397656051876599</v>
      </c>
      <c r="BH22" s="62">
        <f t="shared" si="8"/>
        <v>275.13130788553957</v>
      </c>
      <c r="BI22" s="62">
        <f ca="1">AVERAGE(OFFSET($BH$3,0,0,'Données projet'!$E$11+1,1))-AVERAGE(OFFSET($H$3,0,0,'Données projet'!$E$11+1,1))</f>
        <v>329.96352570744875</v>
      </c>
      <c r="BJ22" s="62">
        <f t="shared" si="38"/>
        <v>170.12252063636961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5.75</v>
      </c>
      <c r="BY22" s="13">
        <f>IF('Données projet'!$A$114&gt;35,BY21+BX22-CG21,IF(A22&lt;'Données projet'!$A$114,$BV$205^A22,IF(A22='Données projet'!$A$114,'Données projet'!$B$114,BY21+BX22-CG21)))</f>
        <v>90.711625294497551</v>
      </c>
      <c r="BZ22" s="14">
        <f>BY22*VLOOKUP('Données projet'!$B$12,Paramètres!$A$1:$I$89,3,0)*VLOOKUP('Données projet'!$B$12,Paramètres!$A$1:$I$89,5,0)</f>
        <v>42.453040637824856</v>
      </c>
      <c r="CA22" s="14">
        <f t="shared" si="39"/>
        <v>12.646556301156998</v>
      </c>
      <c r="CB22" s="22">
        <f t="shared" si="10"/>
        <v>95.96513133539338</v>
      </c>
      <c r="CC22" s="62">
        <f t="shared" si="11"/>
        <v>339.69878316905636</v>
      </c>
      <c r="CD22" s="62">
        <f ca="1">AVERAGE(OFFSET($CC$3,0,0,'Données projet'!$E$12+1,1))-AVERAGE(OFFSET($H$3,0,0,'Données projet'!$E$12+1,1))</f>
        <v>276.21705775006376</v>
      </c>
      <c r="CE22" s="62">
        <f t="shared" si="40"/>
        <v>234.24947280606958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5.5909090909090908</v>
      </c>
      <c r="CT22" s="13">
        <f>IF('Données projet'!$A$140&gt;35,CT21+CS22-DB21,IF(A22&lt;'Données projet'!$A$140,$CQ$205^A22,IF(A22='Données projet'!$A$140,'Données projet'!$B$140,CT21+CS22-DB21)))</f>
        <v>63.814306040343304</v>
      </c>
      <c r="CU22" s="18">
        <f>CT22*VLOOKUP('Données projet'!$B$13,Paramètres!$A$1:$I$89,3,0)*VLOOKUP('Données projet'!$B$13,Paramètres!$A$1:$I$89,5,0)</f>
        <v>38.160955012125299</v>
      </c>
      <c r="CV22" s="14">
        <f t="shared" si="41"/>
        <v>11.509880661066306</v>
      </c>
      <c r="CW22" s="22">
        <f t="shared" si="13"/>
        <v>86.510038797475374</v>
      </c>
      <c r="CX22" s="62">
        <f t="shared" si="14"/>
        <v>330.24369063113835</v>
      </c>
      <c r="CY22" s="62">
        <f ca="1">AVERAGE(OFFSET($CX$3,0,0,'Données projet'!$E$13+1,1))-AVERAGE(OFFSET($H$3,0,0,'Données projet'!$E$13+1,1))</f>
        <v>376.32432344617206</v>
      </c>
      <c r="CZ22" s="62">
        <f t="shared" si="42"/>
        <v>302.77411534670466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60.1394808031202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2.75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10.083333333333334</v>
      </c>
      <c r="H23" s="70">
        <f t="shared" si="1"/>
        <v>216.33333333333334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15.881678671019593</v>
      </c>
      <c r="P23" s="14">
        <f t="shared" si="33"/>
        <v>5.3047403101862871</v>
      </c>
      <c r="Q23" s="22">
        <f t="shared" si="2"/>
        <v>36.899679725600237</v>
      </c>
      <c r="R23" s="62">
        <f t="shared" si="0"/>
        <v>282.48276631339286</v>
      </c>
      <c r="S23" s="62">
        <f ca="1">AVERAGE(OFFSET($R$3,0,0,'Données projet'!$E$9+1,1))-AVERAGE(OFFSET($H$3,0,0,'Données projet'!$E$9+1,1))</f>
        <v>338.33619350800484</v>
      </c>
      <c r="T23" s="62">
        <f t="shared" si="34"/>
        <v>173.80539144233424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145</v>
      </c>
      <c r="AG23" s="13">
        <f>VLOOKUP(A23,'Données projet'!$A$61:$I$81,9,0)</f>
        <v>9.8000000000000007</v>
      </c>
      <c r="AH23" s="13">
        <f t="array" ref="AH23">INDEX(AG:AG,MIN(IF(ISNUMBER(AG23:AG219),ROW(AG23:AG219),"")))</f>
        <v>9.8000000000000007</v>
      </c>
      <c r="AI23" s="14">
        <f>IF('Données projet'!$A$62&gt;35,AI22+AH23-AQ22,IF(A23&lt;'Données projet'!$A$62,$AF$205^A23,IF(A23='Données projet'!$A$62,'Données projet'!$B$62,AI22+AH23-AQ22)))</f>
        <v>145</v>
      </c>
      <c r="AJ23" s="14">
        <f>AI23*VLOOKUP('Données projet'!$B$10,Paramètres!$A$1:$I$89,3,0)*VLOOKUP('Données projet'!$B$10,Paramètres!$A$1:$I$89,5,0)</f>
        <v>131.196</v>
      </c>
      <c r="AK23" s="14">
        <f t="shared" si="35"/>
        <v>34.272572346624997</v>
      </c>
      <c r="AL23" s="22">
        <f t="shared" si="4"/>
        <v>288.19109683703851</v>
      </c>
      <c r="AM23" s="62">
        <f t="shared" si="5"/>
        <v>533.77418342483111</v>
      </c>
      <c r="AN23" s="62">
        <f ca="1">AVERAGE(OFFSET($AM$3,0,0,'Données projet'!$E$10+1,1))-AVERAGE(OFFSET($H$3,0,0,'Données projet'!$E$10+1,1))</f>
        <v>308.01218908312546</v>
      </c>
      <c r="AO23" s="62">
        <f t="shared" si="36"/>
        <v>433.94915035190684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14</v>
      </c>
      <c r="AR23" s="17">
        <f>IF(ISNA(VLOOKUP(A23,'Données projet'!$A$61:$I$81,5,0)),0%,VLOOKUP(A23,'Données projet'!$A$61:$I$81,5,0)*VLOOKUP('Données projet'!$B$10,Paramètres!$A$1:$I$89,7,0))</f>
        <v>0.09</v>
      </c>
      <c r="AS23" s="17">
        <f>IF(ISNA(VLOOKUP(A23,'Données projet'!$A$61:$I$81,6,0)),0%,VLOOKUP(A23,'Données projet'!$A$61:$I$81,6,0)*VLOOKUP('Données projet'!$B$10,Paramètres!$A$1:$I$89,7,0))</f>
        <v>0.21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1.2602892952457807</v>
      </c>
      <c r="AV23" s="23">
        <f>EXP(-LN(2)/25)*AV22+(1-EXP(-LN(2)/25))/(LN(2)/25)*Calculateur!AQ23*Calculateur!AS23*VLOOKUP('Données projet'!$B$10,Paramètres!$A$1:$I$89,3,0)*0.475*44/12</f>
        <v>7.3524384852615388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8.6127277805073188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1.2</v>
      </c>
      <c r="BD23" s="13">
        <f>IF('Données projet'!$A$88&gt;35,BD22+BC23-BL22,IF(A23&lt;'Données projet'!$A$88,$BA$205^A23,IF(A23='Données projet'!$A$88,'Données projet'!$B$88,BD22+BC23-BL22)))</f>
        <v>15.194870523363559</v>
      </c>
      <c r="BE23" s="14">
        <f>BD23*VLOOKUP('Données projet'!$B$11,Paramètres!$A$1:$I$89,3,0)*VLOOKUP('Données projet'!$B$11,Paramètres!$A$1:$I$89,5,0)</f>
        <v>15.407598710690648</v>
      </c>
      <c r="BF23" s="14">
        <f t="shared" si="37"/>
        <v>5.1645760204094255</v>
      </c>
      <c r="BG23" s="22">
        <f t="shared" si="7"/>
        <v>35.829870989999293</v>
      </c>
      <c r="BH23" s="62">
        <f t="shared" si="8"/>
        <v>281.41295757779193</v>
      </c>
      <c r="BI23" s="62">
        <f ca="1">AVERAGE(OFFSET($BH$3,0,0,'Données projet'!$E$11+1,1))-AVERAGE(OFFSET($H$3,0,0,'Données projet'!$E$11+1,1))</f>
        <v>329.96352570744875</v>
      </c>
      <c r="BJ23" s="62">
        <f t="shared" si="38"/>
        <v>170.12252063636961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115</v>
      </c>
      <c r="BW23" s="13">
        <f>VLOOKUP(A23,'Données projet'!$A$113:$I$133,9,0)</f>
        <v>5.75</v>
      </c>
      <c r="BX23" s="13">
        <f t="array" ref="BX23">INDEX(BW:BW,MIN(IF(ISNUMBER(BW23:BW219),ROW(BW23:BW219),"")))</f>
        <v>5.75</v>
      </c>
      <c r="BY23" s="13">
        <f>IF('Données projet'!$A$114&gt;35,BY22+BX23-CG22,IF(A23&lt;'Données projet'!$A$114,$BV$205^A23,IF(A23='Données projet'!$A$114,'Données projet'!$B$114,BY22+BX23-CG22)))</f>
        <v>115</v>
      </c>
      <c r="BZ23" s="14">
        <f>BY23*VLOOKUP('Données projet'!$B$12,Paramètres!$A$1:$I$89,3,0)*VLOOKUP('Données projet'!$B$12,Paramètres!$A$1:$I$89,5,0)</f>
        <v>53.82</v>
      </c>
      <c r="CA23" s="14">
        <f t="shared" si="39"/>
        <v>15.596024630246266</v>
      </c>
      <c r="CB23" s="22">
        <f t="shared" si="10"/>
        <v>120.89957623101225</v>
      </c>
      <c r="CC23" s="62">
        <f t="shared" si="11"/>
        <v>366.4826628188049</v>
      </c>
      <c r="CD23" s="62">
        <f ca="1">AVERAGE(OFFSET($CC$3,0,0,'Données projet'!$E$12+1,1))-AVERAGE(OFFSET($H$3,0,0,'Données projet'!$E$12+1,1))</f>
        <v>276.21705775006376</v>
      </c>
      <c r="CE23" s="62">
        <f t="shared" si="40"/>
        <v>234.24947280606958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5.5909090909090908</v>
      </c>
      <c r="CT23" s="13">
        <f>IF('Données projet'!$A$140&gt;35,CT22+CS23-DB22,IF(A23&lt;'Données projet'!$A$140,$CQ$205^A23,IF(A23='Données projet'!$A$140,'Données projet'!$B$140,CT22+CS23-DB22)))</f>
        <v>79.417047587426694</v>
      </c>
      <c r="CU23" s="18">
        <f>CT23*VLOOKUP('Données projet'!$B$13,Paramètres!$A$1:$I$89,3,0)*VLOOKUP('Données projet'!$B$13,Paramètres!$A$1:$I$89,5,0)</f>
        <v>47.49139445728116</v>
      </c>
      <c r="CV23" s="14">
        <f t="shared" si="41"/>
        <v>13.96397329692701</v>
      </c>
      <c r="CW23" s="22">
        <f t="shared" si="13"/>
        <v>107.03476550524589</v>
      </c>
      <c r="CX23" s="62">
        <f t="shared" si="14"/>
        <v>352.61785209303855</v>
      </c>
      <c r="CY23" s="62">
        <f ca="1">AVERAGE(OFFSET($CX$3,0,0,'Données projet'!$E$13+1,1))-AVERAGE(OFFSET($H$3,0,0,'Données projet'!$E$13+1,1))</f>
        <v>376.32432344617206</v>
      </c>
      <c r="CZ23" s="62">
        <f t="shared" si="42"/>
        <v>302.77411534670466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60.310538766367692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2.75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10.083333333333334</v>
      </c>
      <c r="H24" s="70">
        <f t="shared" si="1"/>
        <v>216.33333333333334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18.196223185367025</v>
      </c>
      <c r="P24" s="14">
        <f t="shared" si="33"/>
        <v>5.9823456440857257</v>
      </c>
      <c r="Q24" s="22">
        <f t="shared" si="2"/>
        <v>42.111007377963539</v>
      </c>
      <c r="R24" s="62">
        <f t="shared" si="0"/>
        <v>289.53264798469445</v>
      </c>
      <c r="S24" s="62">
        <f ca="1">AVERAGE(OFFSET($R$3,0,0,'Données projet'!$E$9+1,1))-AVERAGE(OFFSET($H$3,0,0,'Données projet'!$E$9+1,1))</f>
        <v>338.33619350800484</v>
      </c>
      <c r="T24" s="62">
        <f t="shared" si="34"/>
        <v>173.80539144233424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8.4</v>
      </c>
      <c r="AI24" s="14">
        <f>IF('Données projet'!$A$62&gt;35,AI23+AH24-AQ23,IF(A24&lt;'Données projet'!$A$62,$AF$205^A24,IF(A24='Données projet'!$A$62,'Données projet'!$B$62,AI23+AH24-AQ23)))</f>
        <v>139.4</v>
      </c>
      <c r="AJ24" s="14">
        <f>AI24*VLOOKUP('Données projet'!$B$10,Paramètres!$A$1:$I$89,3,0)*VLOOKUP('Données projet'!$B$10,Paramètres!$A$1:$I$89,5,0)</f>
        <v>126.12912000000001</v>
      </c>
      <c r="AK24" s="14">
        <f t="shared" si="35"/>
        <v>33.100345121748241</v>
      </c>
      <c r="AL24" s="22">
        <f t="shared" si="4"/>
        <v>277.32465175371152</v>
      </c>
      <c r="AM24" s="62">
        <f t="shared" si="5"/>
        <v>524.74629236044245</v>
      </c>
      <c r="AN24" s="62">
        <f ca="1">AVERAGE(OFFSET($AM$3,0,0,'Données projet'!$E$10+1,1))-AVERAGE(OFFSET($H$3,0,0,'Données projet'!$E$10+1,1))</f>
        <v>308.01218908312546</v>
      </c>
      <c r="AO24" s="62">
        <f t="shared" si="36"/>
        <v>433.94915035190684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1.2355757908665781</v>
      </c>
      <c r="AV24" s="23">
        <f>EXP(-LN(2)/25)*AV23+(1-EXP(-LN(2)/25))/(LN(2)/25)*Calculateur!AQ24*Calculateur!AS24*VLOOKUP('Données projet'!$B$10,Paramètres!$A$1:$I$89,3,0)*0.475*44/12</f>
        <v>7.1513856682341261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8.3869614591007036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1.2</v>
      </c>
      <c r="BD24" s="13">
        <f>IF('Données projet'!$A$88&gt;35,BD23+BC24-BL23,IF(A24&lt;'Données projet'!$A$88,$BA$205^A24,IF(A24='Données projet'!$A$88,'Données projet'!$B$88,BD23+BC24-BL23)))</f>
        <v>17.409321838276906</v>
      </c>
      <c r="BE24" s="14">
        <f>BD24*VLOOKUP('Données projet'!$B$11,Paramètres!$A$1:$I$89,3,0)*VLOOKUP('Données projet'!$B$11,Paramètres!$A$1:$I$89,5,0)</f>
        <v>17.653052344012782</v>
      </c>
      <c r="BF24" s="14">
        <f t="shared" si="37"/>
        <v>5.8242773543349813</v>
      </c>
      <c r="BG24" s="22">
        <f t="shared" si="7"/>
        <v>40.889682557955688</v>
      </c>
      <c r="BH24" s="62">
        <f t="shared" si="8"/>
        <v>288.3113231646866</v>
      </c>
      <c r="BI24" s="62">
        <f ca="1">AVERAGE(OFFSET($BH$3,0,0,'Données projet'!$E$11+1,1))-AVERAGE(OFFSET($H$3,0,0,'Données projet'!$E$11+1,1))</f>
        <v>329.96352570744875</v>
      </c>
      <c r="BJ24" s="62">
        <f t="shared" si="38"/>
        <v>170.12252063636961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6.5</v>
      </c>
      <c r="BY24" s="13">
        <f>IF('Données projet'!$A$114&gt;35,BY23+BX24-CG23,IF(A24&lt;'Données projet'!$A$114,$BV$205^A24,IF(A24='Données projet'!$A$114,'Données projet'!$B$114,BY23+BX24-CG23)))</f>
        <v>121.5</v>
      </c>
      <c r="BZ24" s="14">
        <f>BY24*VLOOKUP('Données projet'!$B$12,Paramètres!$A$1:$I$89,3,0)*VLOOKUP('Données projet'!$B$12,Paramètres!$A$1:$I$89,5,0)</f>
        <v>56.861999999999995</v>
      </c>
      <c r="CA24" s="14">
        <f t="shared" si="39"/>
        <v>16.372420859571687</v>
      </c>
      <c r="CB24" s="22">
        <f t="shared" si="10"/>
        <v>127.54994966375402</v>
      </c>
      <c r="CC24" s="62">
        <f t="shared" si="11"/>
        <v>374.97159027048491</v>
      </c>
      <c r="CD24" s="62">
        <f ca="1">AVERAGE(OFFSET($CC$3,0,0,'Données projet'!$E$12+1,1))-AVERAGE(OFFSET($H$3,0,0,'Données projet'!$E$12+1,1))</f>
        <v>276.21705775006376</v>
      </c>
      <c r="CE24" s="62">
        <f t="shared" si="40"/>
        <v>234.24947280606958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5.5909090909090908</v>
      </c>
      <c r="CT24" s="13">
        <f>IF('Données projet'!$A$140&gt;35,CT23+CS24-DB23,IF(A24&lt;'Données projet'!$A$140,$CQ$205^A24,IF(A24='Données projet'!$A$140,'Données projet'!$B$140,CT23+CS24-DB23)))</f>
        <v>98.834694582689295</v>
      </c>
      <c r="CU24" s="18">
        <f>CT24*VLOOKUP('Données projet'!$B$13,Paramètres!$A$1:$I$89,3,0)*VLOOKUP('Données projet'!$B$13,Paramètres!$A$1:$I$89,5,0)</f>
        <v>59.103147360448204</v>
      </c>
      <c r="CV24" s="14">
        <f t="shared" si="41"/>
        <v>16.94131815778756</v>
      </c>
      <c r="CW24" s="22">
        <f t="shared" si="13"/>
        <v>132.44411077759398</v>
      </c>
      <c r="CX24" s="62">
        <f t="shared" si="14"/>
        <v>379.86575138432488</v>
      </c>
      <c r="CY24" s="62">
        <f ca="1">AVERAGE(OFFSET($CX$3,0,0,'Données projet'!$E$13+1,1))-AVERAGE(OFFSET($H$3,0,0,'Données projet'!$E$13+1,1))</f>
        <v>376.32432344617206</v>
      </c>
      <c r="CZ24" s="62">
        <f t="shared" si="42"/>
        <v>302.77411534670466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60.478629256381154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2.75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10.083333333333334</v>
      </c>
      <c r="H25" s="70">
        <f t="shared" si="1"/>
        <v>216.33333333333334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20.848081935814147</v>
      </c>
      <c r="P25" s="14">
        <f t="shared" si="33"/>
        <v>6.7465054484551477</v>
      </c>
      <c r="Q25" s="22">
        <f t="shared" si="2"/>
        <v>48.060573027602352</v>
      </c>
      <c r="R25" s="62">
        <f t="shared" si="0"/>
        <v>297.31007567450996</v>
      </c>
      <c r="S25" s="62">
        <f ca="1">AVERAGE(OFFSET($R$3,0,0,'Données projet'!$E$9+1,1))-AVERAGE(OFFSET($H$3,0,0,'Données projet'!$E$9+1,1))</f>
        <v>338.33619350800484</v>
      </c>
      <c r="T25" s="62">
        <f t="shared" si="34"/>
        <v>173.80539144233424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8.4</v>
      </c>
      <c r="AI25" s="14">
        <f>IF('Données projet'!$A$62&gt;35,AI24+AH25-AQ24,IF(A25&lt;'Données projet'!$A$62,$AF$205^A25,IF(A25='Données projet'!$A$62,'Données projet'!$B$62,AI24+AH25-AQ24)))</f>
        <v>147.80000000000001</v>
      </c>
      <c r="AJ25" s="14">
        <f>AI25*VLOOKUP('Données projet'!$B$10,Paramètres!$A$1:$I$89,3,0)*VLOOKUP('Données projet'!$B$10,Paramètres!$A$1:$I$89,5,0)</f>
        <v>133.72944000000001</v>
      </c>
      <c r="AK25" s="14">
        <f t="shared" si="35"/>
        <v>34.856699711744326</v>
      </c>
      <c r="AL25" s="22">
        <f t="shared" si="4"/>
        <v>293.62085999795471</v>
      </c>
      <c r="AM25" s="62">
        <f t="shared" si="5"/>
        <v>542.87036264486233</v>
      </c>
      <c r="AN25" s="62">
        <f ca="1">AVERAGE(OFFSET($AM$3,0,0,'Données projet'!$E$10+1,1))-AVERAGE(OFFSET($H$3,0,0,'Données projet'!$E$10+1,1))</f>
        <v>308.01218908312546</v>
      </c>
      <c r="AO25" s="62">
        <f t="shared" si="36"/>
        <v>433.94915035190684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1.2113469032345026</v>
      </c>
      <c r="AV25" s="23">
        <f>EXP(-LN(2)/25)*AV24+(1-EXP(-LN(2)/25))/(LN(2)/25)*Calculateur!AQ25*Calculateur!AS25*VLOOKUP('Données projet'!$B$10,Paramètres!$A$1:$I$89,3,0)*0.475*44/12</f>
        <v>6.9558306510612367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8.1671775542957388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1.2</v>
      </c>
      <c r="BD25" s="13">
        <f>IF('Données projet'!$A$88&gt;35,BD24+BC25-BL24,IF(A25&lt;'Données projet'!$A$88,$BA$205^A25,IF(A25='Données projet'!$A$88,'Données projet'!$B$88,BD24+BC25-BL24)))</f>
        <v>19.946500129940819</v>
      </c>
      <c r="BE25" s="14">
        <f>BD25*VLOOKUP('Données projet'!$B$11,Paramètres!$A$1:$I$89,3,0)*VLOOKUP('Données projet'!$B$11,Paramètres!$A$1:$I$89,5,0)</f>
        <v>20.225751131759992</v>
      </c>
      <c r="BF25" s="14">
        <f t="shared" si="37"/>
        <v>6.5682461766784241</v>
      </c>
      <c r="BG25" s="22">
        <f t="shared" si="7"/>
        <v>46.666211978863579</v>
      </c>
      <c r="BH25" s="62">
        <f t="shared" si="8"/>
        <v>295.91571462577116</v>
      </c>
      <c r="BI25" s="62">
        <f ca="1">AVERAGE(OFFSET($BH$3,0,0,'Données projet'!$E$11+1,1))-AVERAGE(OFFSET($H$3,0,0,'Données projet'!$E$11+1,1))</f>
        <v>329.96352570744875</v>
      </c>
      <c r="BJ25" s="62">
        <f t="shared" si="38"/>
        <v>170.12252063636961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6.5</v>
      </c>
      <c r="BY25" s="13">
        <f>IF('Données projet'!$A$114&gt;35,BY24+BX25-CG24,IF(A25&lt;'Données projet'!$A$114,$BV$205^A25,IF(A25='Données projet'!$A$114,'Données projet'!$B$114,BY24+BX25-CG24)))</f>
        <v>128</v>
      </c>
      <c r="BZ25" s="14">
        <f>BY25*VLOOKUP('Données projet'!$B$12,Paramètres!$A$1:$I$89,3,0)*VLOOKUP('Données projet'!$B$12,Paramètres!$A$1:$I$89,5,0)</f>
        <v>59.903999999999996</v>
      </c>
      <c r="CA25" s="14">
        <f t="shared" si="39"/>
        <v>17.143994938960184</v>
      </c>
      <c r="CB25" s="22">
        <f t="shared" si="10"/>
        <v>134.19192451868898</v>
      </c>
      <c r="CC25" s="62">
        <f t="shared" si="11"/>
        <v>383.44142716559656</v>
      </c>
      <c r="CD25" s="62">
        <f ca="1">AVERAGE(OFFSET($CC$3,0,0,'Données projet'!$E$12+1,1))-AVERAGE(OFFSET($H$3,0,0,'Données projet'!$E$12+1,1))</f>
        <v>276.21705775006376</v>
      </c>
      <c r="CE25" s="62">
        <f t="shared" si="40"/>
        <v>234.24947280606958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>
        <f>VLOOKUP(A25,'Données projet'!$A$139:$I$159,2,0)</f>
        <v>123</v>
      </c>
      <c r="CR25" s="13">
        <f>VLOOKUP(A25,'Données projet'!$A$139:$I$159,9,0)</f>
        <v>5.5909090909090908</v>
      </c>
      <c r="CS25" s="13">
        <f t="array" ref="CS25">INDEX(CR:CR,MIN(IF(ISNUMBER(CR25:CR221),ROW(CR25:CR221),"")))</f>
        <v>5.5909090909090908</v>
      </c>
      <c r="CT25" s="13">
        <f>IF('Données projet'!$A$140&gt;35,CT24+CS25-DB24,IF(A25&lt;'Données projet'!$A$140,$CQ$205^A25,IF(A25='Données projet'!$A$140,'Données projet'!$B$140,CT24+CS25-DB24)))</f>
        <v>123</v>
      </c>
      <c r="CU25" s="18">
        <f>CT25*VLOOKUP('Données projet'!$B$13,Paramètres!$A$1:$I$89,3,0)*VLOOKUP('Données projet'!$B$13,Paramètres!$A$1:$I$89,5,0)</f>
        <v>73.554000000000016</v>
      </c>
      <c r="CV25" s="14">
        <f t="shared" si="41"/>
        <v>20.553481077376691</v>
      </c>
      <c r="CW25" s="22">
        <f t="shared" si="13"/>
        <v>163.90386287643108</v>
      </c>
      <c r="CX25" s="62">
        <f t="shared" si="14"/>
        <v>413.15336552333866</v>
      </c>
      <c r="CY25" s="62">
        <f ca="1">AVERAGE(OFFSET($CX$3,0,0,'Données projet'!$E$13+1,1))-AVERAGE(OFFSET($H$3,0,0,'Données projet'!$E$13+1,1))</f>
        <v>376.32432344617206</v>
      </c>
      <c r="CZ25" s="62">
        <f t="shared" si="42"/>
        <v>302.77411534670466</v>
      </c>
      <c r="DA25" s="16">
        <f>IF(ISNA(VLOOKUP(A25,'Données projet'!$A$139:$I$159,3,0)),0,VLOOKUP(A25,'Données projet'!$A$139:$I$159,3,0))</f>
        <v>1</v>
      </c>
      <c r="DB25" s="16">
        <f>IF(ISNA(VLOOKUP(A25,'Données projet'!$A$139:$I$159,4,0)),0,VLOOKUP(A25,'Données projet'!$A$139:$I$159,4,0))</f>
        <v>16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1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10.833198622733226</v>
      </c>
      <c r="DI25" s="24">
        <f t="shared" si="15"/>
        <v>10.833198622733226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60.643803752186926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2.75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10.083333333333334</v>
      </c>
      <c r="H26" s="70">
        <f t="shared" si="1"/>
        <v>216.33333333333334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23.886414008811979</v>
      </c>
      <c r="P26" s="14">
        <f t="shared" si="33"/>
        <v>7.6082758292363835</v>
      </c>
      <c r="Q26" s="22">
        <f t="shared" si="2"/>
        <v>54.853251467934228</v>
      </c>
      <c r="R26" s="62">
        <f t="shared" si="0"/>
        <v>305.92010965818486</v>
      </c>
      <c r="S26" s="62">
        <f ca="1">AVERAGE(OFFSET($R$3,0,0,'Données projet'!$E$9+1,1))-AVERAGE(OFFSET($H$3,0,0,'Données projet'!$E$9+1,1))</f>
        <v>338.33619350800484</v>
      </c>
      <c r="T26" s="62">
        <f t="shared" si="34"/>
        <v>173.80539144233424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8.4</v>
      </c>
      <c r="AI26" s="14">
        <f>IF('Données projet'!$A$62&gt;35,AI25+AH26-AQ25,IF(A26&lt;'Données projet'!$A$62,$AF$205^A26,IF(A26='Données projet'!$A$62,'Données projet'!$B$62,AI25+AH26-AQ25)))</f>
        <v>156.20000000000002</v>
      </c>
      <c r="AJ26" s="14">
        <f>AI26*VLOOKUP('Données projet'!$B$10,Paramètres!$A$1:$I$89,3,0)*VLOOKUP('Données projet'!$B$10,Paramètres!$A$1:$I$89,5,0)</f>
        <v>141.32976000000002</v>
      </c>
      <c r="AK26" s="14">
        <f t="shared" si="35"/>
        <v>36.601467030988793</v>
      </c>
      <c r="AL26" s="22">
        <f t="shared" si="4"/>
        <v>309.89688707897216</v>
      </c>
      <c r="AM26" s="62">
        <f t="shared" si="5"/>
        <v>560.96374526922273</v>
      </c>
      <c r="AN26" s="62">
        <f ca="1">AVERAGE(OFFSET($AM$3,0,0,'Données projet'!$E$10+1,1))-AVERAGE(OFFSET($H$3,0,0,'Données projet'!$E$10+1,1))</f>
        <v>308.01218908312546</v>
      </c>
      <c r="AO26" s="62">
        <f t="shared" si="36"/>
        <v>433.94915035190684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1.1875931293107298</v>
      </c>
      <c r="AV26" s="23">
        <f>EXP(-LN(2)/25)*AV25+(1-EXP(-LN(2)/25))/(LN(2)/25)*Calculateur!AQ26*Calculateur!AS26*VLOOKUP('Données projet'!$B$10,Paramètres!$A$1:$I$89,3,0)*0.475*44/12</f>
        <v>6.7656230961167312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7.953216225427461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1.2</v>
      </c>
      <c r="BD26" s="13">
        <f>IF('Données projet'!$A$88&gt;35,BD25+BC26-BL25,IF(A26&lt;'Données projet'!$A$88,$BA$205^A26,IF(A26='Données projet'!$A$88,'Données projet'!$B$88,BD25+BC26-BL25)))</f>
        <v>22.853438584779923</v>
      </c>
      <c r="BE26" s="14">
        <f>BD26*VLOOKUP('Données projet'!$B$11,Paramètres!$A$1:$I$89,3,0)*VLOOKUP('Données projet'!$B$11,Paramètres!$A$1:$I$89,5,0)</f>
        <v>23.173386724966843</v>
      </c>
      <c r="BF26" s="14">
        <f t="shared" si="37"/>
        <v>7.4072464638622444</v>
      </c>
      <c r="BG26" s="22">
        <f t="shared" si="7"/>
        <v>53.261269470543994</v>
      </c>
      <c r="BH26" s="62">
        <f t="shared" si="8"/>
        <v>304.32812766079462</v>
      </c>
      <c r="BI26" s="62">
        <f ca="1">AVERAGE(OFFSET($BH$3,0,0,'Données projet'!$E$11+1,1))-AVERAGE(OFFSET($H$3,0,0,'Données projet'!$E$11+1,1))</f>
        <v>329.96352570744875</v>
      </c>
      <c r="BJ26" s="62">
        <f t="shared" si="38"/>
        <v>170.12252063636961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6.5</v>
      </c>
      <c r="BY26" s="13">
        <f>IF('Données projet'!$A$114&gt;35,BY25+BX26-CG25,IF(A26&lt;'Données projet'!$A$114,$BV$205^A26,IF(A26='Données projet'!$A$114,'Données projet'!$B$114,BY25+BX26-CG25)))</f>
        <v>134.5</v>
      </c>
      <c r="BZ26" s="14">
        <f>BY26*VLOOKUP('Données projet'!$B$12,Paramètres!$A$1:$I$89,3,0)*VLOOKUP('Données projet'!$B$12,Paramètres!$A$1:$I$89,5,0)</f>
        <v>62.946000000000005</v>
      </c>
      <c r="CA26" s="14">
        <f t="shared" si="39"/>
        <v>17.911019680519331</v>
      </c>
      <c r="CB26" s="22">
        <f t="shared" si="10"/>
        <v>140.82597594357114</v>
      </c>
      <c r="CC26" s="62">
        <f t="shared" si="11"/>
        <v>391.89283413382174</v>
      </c>
      <c r="CD26" s="62">
        <f ca="1">AVERAGE(OFFSET($CC$3,0,0,'Données projet'!$E$12+1,1))-AVERAGE(OFFSET($H$3,0,0,'Données projet'!$E$12+1,1))</f>
        <v>276.21705775006376</v>
      </c>
      <c r="CE26" s="62">
        <f t="shared" si="40"/>
        <v>234.24947280606958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12.333333333333334</v>
      </c>
      <c r="CT26" s="13">
        <f>IF('Données projet'!$A$140&gt;35,CT25+CS26-DB25,IF(A26&lt;'Données projet'!$A$140,$CQ$205^A26,IF(A26='Données projet'!$A$140,'Données projet'!$B$140,CT25+CS26-DB25)))</f>
        <v>119.33333333333334</v>
      </c>
      <c r="CU26" s="18">
        <f>CT26*VLOOKUP('Données projet'!$B$13,Paramètres!$A$1:$I$89,3,0)*VLOOKUP('Données projet'!$B$13,Paramètres!$A$1:$I$89,5,0)</f>
        <v>71.361333333333349</v>
      </c>
      <c r="CV26" s="14">
        <f t="shared" si="41"/>
        <v>20.011144716858571</v>
      </c>
      <c r="CW26" s="22">
        <f t="shared" si="13"/>
        <v>159.14039927075092</v>
      </c>
      <c r="CX26" s="62">
        <f t="shared" si="14"/>
        <v>410.20725746100152</v>
      </c>
      <c r="CY26" s="62">
        <f ca="1">AVERAGE(OFFSET($CX$3,0,0,'Données projet'!$E$13+1,1))-AVERAGE(OFFSET($H$3,0,0,'Données projet'!$E$13+1,1))</f>
        <v>376.32432344617206</v>
      </c>
      <c r="CZ26" s="62">
        <f t="shared" si="42"/>
        <v>302.77411534670466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7.6602282080754316</v>
      </c>
      <c r="DI26" s="24">
        <f t="shared" si="15"/>
        <v>7.6602282080754316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60.806112839765312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2.75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10.083333333333334</v>
      </c>
      <c r="H27" s="70">
        <f t="shared" si="1"/>
        <v>216.33333333333334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27.367542777171455</v>
      </c>
      <c r="P27" s="14">
        <f t="shared" si="33"/>
        <v>8.5801251530890958</v>
      </c>
      <c r="Q27" s="22">
        <f t="shared" si="2"/>
        <v>62.608854978537124</v>
      </c>
      <c r="R27" s="62">
        <f t="shared" si="0"/>
        <v>315.48274447952804</v>
      </c>
      <c r="S27" s="62">
        <f ca="1">AVERAGE(OFFSET($R$3,0,0,'Données projet'!$E$9+1,1))-AVERAGE(OFFSET($H$3,0,0,'Données projet'!$E$9+1,1))</f>
        <v>338.33619350800484</v>
      </c>
      <c r="T27" s="62">
        <f t="shared" si="34"/>
        <v>173.80539144233424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8.4</v>
      </c>
      <c r="AI27" s="14">
        <f>IF('Données projet'!$A$62&gt;35,AI26+AH27-AQ26,IF(A27&lt;'Données projet'!$A$62,$AF$205^A27,IF(A27='Données projet'!$A$62,'Données projet'!$B$62,AI26+AH27-AQ26)))</f>
        <v>164.60000000000002</v>
      </c>
      <c r="AJ27" s="14">
        <f>AI27*VLOOKUP('Données projet'!$B$10,Paramètres!$A$1:$I$89,3,0)*VLOOKUP('Données projet'!$B$10,Paramètres!$A$1:$I$89,5,0)</f>
        <v>148.93008</v>
      </c>
      <c r="AK27" s="14">
        <f t="shared" si="35"/>
        <v>38.335341256889777</v>
      </c>
      <c r="AL27" s="22">
        <f t="shared" si="4"/>
        <v>326.1539420224164</v>
      </c>
      <c r="AM27" s="62">
        <f t="shared" si="5"/>
        <v>579.02783152340726</v>
      </c>
      <c r="AN27" s="62">
        <f ca="1">AVERAGE(OFFSET($AM$3,0,0,'Données projet'!$E$10+1,1))-AVERAGE(OFFSET($H$3,0,0,'Données projet'!$E$10+1,1))</f>
        <v>308.01218908312546</v>
      </c>
      <c r="AO27" s="62">
        <f t="shared" si="36"/>
        <v>433.94915035190684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1.1643051524052306</v>
      </c>
      <c r="AV27" s="23">
        <f>EXP(-LN(2)/25)*AV26+(1-EXP(-LN(2)/25))/(LN(2)/25)*Calculateur!AQ27*Calculateur!AS27*VLOOKUP('Données projet'!$B$10,Paramètres!$A$1:$I$89,3,0)*0.475*44/12</f>
        <v>6.5806167767647636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7.744921929169994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1.2</v>
      </c>
      <c r="BD27" s="13">
        <f>IF('Données projet'!$A$88&gt;35,BD26+BC27-BL26,IF(A27&lt;'Données projet'!$A$88,$BA$205^A27,IF(A27='Données projet'!$A$88,'Données projet'!$B$88,BD26+BC27-BL26)))</f>
        <v>26.184024853780567</v>
      </c>
      <c r="BE27" s="14">
        <f>BD27*VLOOKUP('Données projet'!$B$11,Paramètres!$A$1:$I$89,3,0)*VLOOKUP('Données projet'!$B$11,Paramètres!$A$1:$I$89,5,0)</f>
        <v>26.550601201733496</v>
      </c>
      <c r="BF27" s="14">
        <f t="shared" si="37"/>
        <v>8.3534171376241328</v>
      </c>
      <c r="BG27" s="22">
        <f t="shared" si="7"/>
        <v>60.7911652743812</v>
      </c>
      <c r="BH27" s="62">
        <f t="shared" si="8"/>
        <v>313.66505477537214</v>
      </c>
      <c r="BI27" s="62">
        <f ca="1">AVERAGE(OFFSET($BH$3,0,0,'Données projet'!$E$11+1,1))-AVERAGE(OFFSET($H$3,0,0,'Données projet'!$E$11+1,1))</f>
        <v>329.96352570744875</v>
      </c>
      <c r="BJ27" s="62">
        <f t="shared" si="38"/>
        <v>170.12252063636961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6.5</v>
      </c>
      <c r="BY27" s="13">
        <f>IF('Données projet'!$A$114&gt;35,BY26+BX27-CG26,IF(A27&lt;'Données projet'!$A$114,$BV$205^A27,IF(A27='Données projet'!$A$114,'Données projet'!$B$114,BY26+BX27-CG26)))</f>
        <v>141</v>
      </c>
      <c r="BZ27" s="14">
        <f>BY27*VLOOKUP('Données projet'!$B$12,Paramètres!$A$1:$I$89,3,0)*VLOOKUP('Données projet'!$B$12,Paramètres!$A$1:$I$89,5,0)</f>
        <v>65.988</v>
      </c>
      <c r="CA27" s="14">
        <f t="shared" si="39"/>
        <v>18.67374003807944</v>
      </c>
      <c r="CB27" s="22">
        <f t="shared" si="10"/>
        <v>147.45253056632168</v>
      </c>
      <c r="CC27" s="62">
        <f t="shared" si="11"/>
        <v>400.3264200673126</v>
      </c>
      <c r="CD27" s="62">
        <f ca="1">AVERAGE(OFFSET($CC$3,0,0,'Données projet'!$E$12+1,1))-AVERAGE(OFFSET($H$3,0,0,'Données projet'!$E$12+1,1))</f>
        <v>276.21705775006376</v>
      </c>
      <c r="CE27" s="62">
        <f t="shared" si="40"/>
        <v>234.24947280606958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12.333333333333334</v>
      </c>
      <c r="CT27" s="13">
        <f>IF('Données projet'!$A$140&gt;35,CT26+CS27-DB26,IF(A27&lt;'Données projet'!$A$140,$CQ$205^A27,IF(A27='Données projet'!$A$140,'Données projet'!$B$140,CT26+CS27-DB26)))</f>
        <v>131.66666666666669</v>
      </c>
      <c r="CU27" s="18">
        <f>CT27*VLOOKUP('Données projet'!$B$13,Paramètres!$A$1:$I$89,3,0)*VLOOKUP('Données projet'!$B$13,Paramètres!$A$1:$I$89,5,0)</f>
        <v>78.736666666666679</v>
      </c>
      <c r="CV27" s="14">
        <f t="shared" si="41"/>
        <v>21.828006984037064</v>
      </c>
      <c r="CW27" s="22">
        <f t="shared" si="13"/>
        <v>175.15013994164235</v>
      </c>
      <c r="CX27" s="62">
        <f t="shared" si="14"/>
        <v>428.02402944263326</v>
      </c>
      <c r="CY27" s="62">
        <f ca="1">AVERAGE(OFFSET($CX$3,0,0,'Données projet'!$E$13+1,1))-AVERAGE(OFFSET($H$3,0,0,'Données projet'!$E$13+1,1))</f>
        <v>376.32432344617206</v>
      </c>
      <c r="CZ27" s="62">
        <f t="shared" si="42"/>
        <v>302.77411534670466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5.416599311366614</v>
      </c>
      <c r="DI27" s="24">
        <f t="shared" si="15"/>
        <v>5.416599311366614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60.965606227542978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2.75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10.083333333333334</v>
      </c>
      <c r="H28" s="70">
        <f t="shared" si="1"/>
        <v>216.33333333333334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31.356000000000002</v>
      </c>
      <c r="P28" s="14">
        <f t="shared" si="33"/>
        <v>9.6761144436663891</v>
      </c>
      <c r="Q28" s="22">
        <f t="shared" si="2"/>
        <v>71.464265989385623</v>
      </c>
      <c r="R28" s="62">
        <f t="shared" si="0"/>
        <v>326.1350416708683</v>
      </c>
      <c r="S28" s="62">
        <f ca="1">AVERAGE(OFFSET($R$3,0,0,'Données projet'!$E$9+1,1))-AVERAGE(OFFSET($H$3,0,0,'Données projet'!$E$9+1,1))</f>
        <v>338.33619350800484</v>
      </c>
      <c r="T28" s="62">
        <f t="shared" si="34"/>
        <v>173.80539144233424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173</v>
      </c>
      <c r="AG28" s="13">
        <f>VLOOKUP(A28,'Données projet'!$A$61:$I$81,9,0)</f>
        <v>8.4</v>
      </c>
      <c r="AH28" s="13">
        <f t="array" ref="AH28">INDEX(AG:AG,MIN(IF(ISNUMBER(AG28:AG224),ROW(AG28:AG224),"")))</f>
        <v>8.4</v>
      </c>
      <c r="AI28" s="14">
        <f>IF('Données projet'!$A$62&gt;35,AI27+AH28-AQ27,IF(A28&lt;'Données projet'!$A$62,$AF$205^A28,IF(A28='Données projet'!$A$62,'Données projet'!$B$62,AI27+AH28-AQ27)))</f>
        <v>173.00000000000003</v>
      </c>
      <c r="AJ28" s="14">
        <f>AI28*VLOOKUP('Données projet'!$B$10,Paramètres!$A$1:$I$89,3,0)*VLOOKUP('Données projet'!$B$10,Paramètres!$A$1:$I$89,5,0)</f>
        <v>156.53040000000001</v>
      </c>
      <c r="AK28" s="14">
        <f t="shared" si="35"/>
        <v>40.058941713182037</v>
      </c>
      <c r="AL28" s="22">
        <f t="shared" si="4"/>
        <v>342.39310348379212</v>
      </c>
      <c r="AM28" s="62">
        <f t="shared" si="5"/>
        <v>597.06387916527478</v>
      </c>
      <c r="AN28" s="62">
        <f ca="1">AVERAGE(OFFSET($AM$3,0,0,'Données projet'!$E$10+1,1))-AVERAGE(OFFSET($H$3,0,0,'Données projet'!$E$10+1,1))</f>
        <v>308.01218908312546</v>
      </c>
      <c r="AO28" s="62">
        <f t="shared" si="36"/>
        <v>433.94915035190684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11</v>
      </c>
      <c r="AR28" s="17">
        <f>IF(ISNA(VLOOKUP(A28,'Données projet'!$A$61:$I$81,5,0)),0%,VLOOKUP(A28,'Données projet'!$A$61:$I$81,5,0)*VLOOKUP('Données projet'!$B$10,Paramètres!$A$1:$I$89,7,0))</f>
        <v>0.15</v>
      </c>
      <c r="AS28" s="17">
        <f>IF(ISNA(VLOOKUP(A28,'Données projet'!$A$61:$I$81,6,0)),0%,VLOOKUP(A28,'Données projet'!$A$61:$I$81,6,0)*VLOOKUP('Données projet'!$B$10,Paramètres!$A$1:$I$89,7,0))</f>
        <v>0.15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2.7918526775349166</v>
      </c>
      <c r="AV28" s="23">
        <f>EXP(-LN(2)/25)*AV27+(1-EXP(-LN(2)/25))/(LN(2)/25)*Calculateur!AQ28*Calculateur!AS28*VLOOKUP('Données projet'!$B$10,Paramètres!$A$1:$I$89,3,0)*0.475*44/12</f>
        <v>8.0445501336240373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10.836402811158955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30</v>
      </c>
      <c r="BB28" s="13">
        <f>VLOOKUP(A28,'Données projet'!$A$87:$I$107,9,0)</f>
        <v>1.2</v>
      </c>
      <c r="BC28" s="13">
        <f t="array" ref="BC28">INDEX(BB:BB,MIN(IF(ISNUMBER(BB28:BB224),ROW(BB28:BB224),"")))</f>
        <v>1.2</v>
      </c>
      <c r="BD28" s="13">
        <f>IF('Données projet'!$A$88&gt;35,BD27+BC28-BL27,IF(A28&lt;'Données projet'!$A$88,$BA$205^A28,IF(A28='Données projet'!$A$88,'Données projet'!$B$88,BD27+BC28-BL27)))</f>
        <v>30</v>
      </c>
      <c r="BE28" s="14">
        <f>BD28*VLOOKUP('Données projet'!$B$11,Paramètres!$A$1:$I$89,3,0)*VLOOKUP('Données projet'!$B$11,Paramètres!$A$1:$I$89,5,0)</f>
        <v>30.42</v>
      </c>
      <c r="BF28" s="14">
        <f t="shared" si="37"/>
        <v>9.4204476947792024</v>
      </c>
      <c r="BG28" s="22">
        <f t="shared" si="7"/>
        <v>69.388779735073783</v>
      </c>
      <c r="BH28" s="62">
        <f t="shared" si="8"/>
        <v>324.05955541655646</v>
      </c>
      <c r="BI28" s="62">
        <f ca="1">AVERAGE(OFFSET($BH$3,0,0,'Données projet'!$E$11+1,1))-AVERAGE(OFFSET($H$3,0,0,'Données projet'!$E$11+1,1))</f>
        <v>329.96352570744875</v>
      </c>
      <c r="BJ28" s="62">
        <f t="shared" si="38"/>
        <v>170.12252063636961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6.5</v>
      </c>
      <c r="BY28" s="13">
        <f>IF('Données projet'!$A$114&gt;35,BY27+BX28-CG27,IF(A28&lt;'Données projet'!$A$114,$BV$205^A28,IF(A28='Données projet'!$A$114,'Données projet'!$B$114,BY27+BX28-CG27)))</f>
        <v>147.5</v>
      </c>
      <c r="BZ28" s="14">
        <f>BY28*VLOOKUP('Données projet'!$B$12,Paramètres!$A$1:$I$89,3,0)*VLOOKUP('Données projet'!$B$12,Paramètres!$A$1:$I$89,5,0)</f>
        <v>69.03</v>
      </c>
      <c r="CA28" s="14">
        <f t="shared" si="39"/>
        <v>19.432377104615718</v>
      </c>
      <c r="CB28" s="22">
        <f t="shared" si="10"/>
        <v>154.0719734572057</v>
      </c>
      <c r="CC28" s="62">
        <f t="shared" si="11"/>
        <v>408.7427491386884</v>
      </c>
      <c r="CD28" s="62">
        <f ca="1">AVERAGE(OFFSET($CC$3,0,0,'Données projet'!$E$12+1,1))-AVERAGE(OFFSET($H$3,0,0,'Données projet'!$E$12+1,1))</f>
        <v>276.21705775006376</v>
      </c>
      <c r="CE28" s="62">
        <f t="shared" si="40"/>
        <v>234.24947280606958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144</v>
      </c>
      <c r="CR28" s="13">
        <f>VLOOKUP(A28,'Données projet'!$A$139:$I$159,9,0)</f>
        <v>12.333333333333334</v>
      </c>
      <c r="CS28" s="13">
        <f t="array" ref="CS28">INDEX(CR:CR,MIN(IF(ISNUMBER(CR28:CR224),ROW(CR28:CR224),"")))</f>
        <v>12.333333333333334</v>
      </c>
      <c r="CT28" s="13">
        <f>IF('Données projet'!$A$140&gt;35,CT27+CS28-DB27,IF(A28&lt;'Données projet'!$A$140,$CQ$205^A28,IF(A28='Données projet'!$A$140,'Données projet'!$B$140,CT27+CS28-DB27)))</f>
        <v>144.00000000000003</v>
      </c>
      <c r="CU28" s="18">
        <f>CT28*VLOOKUP('Données projet'!$B$13,Paramètres!$A$1:$I$89,3,0)*VLOOKUP('Données projet'!$B$13,Paramètres!$A$1:$I$89,5,0)</f>
        <v>86.112000000000009</v>
      </c>
      <c r="CV28" s="14">
        <f t="shared" si="41"/>
        <v>23.625136642852297</v>
      </c>
      <c r="CW28" s="22">
        <f t="shared" si="13"/>
        <v>191.12551298630106</v>
      </c>
      <c r="CX28" s="62">
        <f t="shared" si="14"/>
        <v>445.79628866778376</v>
      </c>
      <c r="CY28" s="62">
        <f ca="1">AVERAGE(OFFSET($CX$3,0,0,'Données projet'!$E$13+1,1))-AVERAGE(OFFSET($H$3,0,0,'Données projet'!$E$13+1,1))</f>
        <v>376.32432344617206</v>
      </c>
      <c r="CZ28" s="62">
        <f t="shared" si="42"/>
        <v>302.77411534670466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17</v>
      </c>
      <c r="DC28" s="17">
        <f>IF(ISNA(VLOOKUP(A28,'Données projet'!$A$139:$I$159,5,0)),0%,VLOOKUP(A28,'Données projet'!$A$139:$I$159,5,0)*VLOOKUP('Données projet'!$B$13,Paramètres!$A$1:$I$89,7,0))</f>
        <v>0.13500000000000001</v>
      </c>
      <c r="DD28" s="17">
        <f>IF(ISNA(VLOOKUP(A28,'Données projet'!$A$139:$I$159,6,0)),0%,VLOOKUP(A28,'Données projet'!$A$139:$I$159,6,0)*VLOOKUP('Données projet'!$B$13,Paramètres!$A$1:$I$89,7,0))</f>
        <v>0.315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1.8205903242897794</v>
      </c>
      <c r="DG28" s="23">
        <f>EXP(-LN(2)/25)*DG27+(1-EXP(-LN(2)/25))/(LN(2)/25)*Calculateur!DB28*Calculateur!DD28*VLOOKUP('Données projet'!$B$13,Paramètres!$A$1:$I$89,3,0)*0.475*44/12</f>
        <v>4.231317921795422</v>
      </c>
      <c r="DH28" s="23">
        <f>EXP(-LN(2)/2)*DH27+(1-EXP(-LN(2)/2))/(LN(2)/2)*DB28*DE28*VLOOKUP('Données projet'!$B$13,Paramètres!$A$1:$I$89,3,0)*0.475*44/12</f>
        <v>3.8301141040377167</v>
      </c>
      <c r="DI28" s="24">
        <f t="shared" si="15"/>
        <v>9.8820223501229183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61.122332761616484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2.75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10.083333333333334</v>
      </c>
      <c r="H29" s="70">
        <f t="shared" si="1"/>
        <v>216.33333333333334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36.372959999999999</v>
      </c>
      <c r="P29" s="14">
        <f t="shared" si="33"/>
        <v>11.032046293563772</v>
      </c>
      <c r="Q29" s="22">
        <f t="shared" si="2"/>
        <v>82.563719294623567</v>
      </c>
      <c r="R29" s="62">
        <f t="shared" si="0"/>
        <v>339.0214120216782</v>
      </c>
      <c r="S29" s="62">
        <f ca="1">AVERAGE(OFFSET($R$3,0,0,'Données projet'!$E$9+1,1))-AVERAGE(OFFSET($H$3,0,0,'Données projet'!$E$9+1,1))</f>
        <v>338.33619350800484</v>
      </c>
      <c r="T29" s="62">
        <f t="shared" si="34"/>
        <v>173.80539144233424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6.8</v>
      </c>
      <c r="AI29" s="14">
        <f>IF('Données projet'!$A$62&gt;35,AI28+AH29-AQ28,IF(A29&lt;'Données projet'!$A$62,$AF$205^A29,IF(A29='Données projet'!$A$62,'Données projet'!$B$62,AI28+AH29-AQ28)))</f>
        <v>168.80000000000004</v>
      </c>
      <c r="AJ29" s="14">
        <f>AI29*VLOOKUP('Données projet'!$B$10,Paramètres!$A$1:$I$89,3,0)*VLOOKUP('Données projet'!$B$10,Paramètres!$A$1:$I$89,5,0)</f>
        <v>152.73024000000001</v>
      </c>
      <c r="AK29" s="14">
        <f t="shared" si="35"/>
        <v>39.198389597047516</v>
      </c>
      <c r="AL29" s="22">
        <f t="shared" si="4"/>
        <v>334.27569654819109</v>
      </c>
      <c r="AM29" s="62">
        <f t="shared" si="5"/>
        <v>590.73338927524571</v>
      </c>
      <c r="AN29" s="62">
        <f ca="1">AVERAGE(OFFSET($AM$3,0,0,'Données projet'!$E$10+1,1))-AVERAGE(OFFSET($H$3,0,0,'Données projet'!$E$10+1,1))</f>
        <v>308.01218908312546</v>
      </c>
      <c r="AO29" s="62">
        <f t="shared" si="36"/>
        <v>433.94915035190684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2.7371061493904465</v>
      </c>
      <c r="AV29" s="23">
        <f>EXP(-LN(2)/25)*AV28+(1-EXP(-LN(2)/25))/(LN(2)/25)*Calculateur!AQ29*Calculateur!AS29*VLOOKUP('Données projet'!$B$10,Paramètres!$A$1:$I$89,3,0)*0.475*44/12</f>
        <v>7.8245714871755823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10.561677636566028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4.8</v>
      </c>
      <c r="BD29" s="13">
        <f>IF('Données projet'!$A$88&gt;35,BD28+BC29-BL28,IF(A29&lt;'Données projet'!$A$88,$BA$205^A29,IF(A29='Données projet'!$A$88,'Données projet'!$B$88,BD28+BC29-BL28)))</f>
        <v>34.799999999999997</v>
      </c>
      <c r="BE29" s="14">
        <f>BD29*VLOOKUP('Données projet'!$B$11,Paramètres!$A$1:$I$89,3,0)*VLOOKUP('Données projet'!$B$11,Paramètres!$A$1:$I$89,5,0)</f>
        <v>35.287199999999999</v>
      </c>
      <c r="BF29" s="14">
        <f t="shared" si="37"/>
        <v>10.740552489323523</v>
      </c>
      <c r="BG29" s="22">
        <f t="shared" si="7"/>
        <v>80.165002252238452</v>
      </c>
      <c r="BH29" s="62">
        <f t="shared" si="8"/>
        <v>336.6226949792931</v>
      </c>
      <c r="BI29" s="62">
        <f ca="1">AVERAGE(OFFSET($BH$3,0,0,'Données projet'!$E$11+1,1))-AVERAGE(OFFSET($H$3,0,0,'Données projet'!$E$11+1,1))</f>
        <v>329.96352570744875</v>
      </c>
      <c r="BJ29" s="62">
        <f t="shared" si="38"/>
        <v>170.12252063636961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6.5</v>
      </c>
      <c r="BY29" s="13">
        <f>IF('Données projet'!$A$114&gt;35,BY28+BX29-CG28,IF(A29&lt;'Données projet'!$A$114,$BV$205^A29,IF(A29='Données projet'!$A$114,'Données projet'!$B$114,BY28+BX29-CG28)))</f>
        <v>154</v>
      </c>
      <c r="BZ29" s="14">
        <f>BY29*VLOOKUP('Données projet'!$B$12,Paramètres!$A$1:$I$89,3,0)*VLOOKUP('Données projet'!$B$12,Paramètres!$A$1:$I$89,5,0)</f>
        <v>72.072000000000003</v>
      </c>
      <c r="CA29" s="14">
        <f t="shared" si="39"/>
        <v>20.187131385147271</v>
      </c>
      <c r="CB29" s="22">
        <f t="shared" si="10"/>
        <v>160.68465382913149</v>
      </c>
      <c r="CC29" s="62">
        <f t="shared" si="11"/>
        <v>417.14234655618611</v>
      </c>
      <c r="CD29" s="62">
        <f ca="1">AVERAGE(OFFSET($CC$3,0,0,'Données projet'!$E$12+1,1))-AVERAGE(OFFSET($H$3,0,0,'Données projet'!$E$12+1,1))</f>
        <v>276.21705775006376</v>
      </c>
      <c r="CE29" s="62">
        <f t="shared" si="40"/>
        <v>234.24947280606958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13.4</v>
      </c>
      <c r="CT29" s="13">
        <f>IF('Données projet'!$A$140&gt;35,CT28+CS29-DB28,IF(A29&lt;'Données projet'!$A$140,$CQ$205^A29,IF(A29='Données projet'!$A$140,'Données projet'!$B$140,CT28+CS29-DB28)))</f>
        <v>140.40000000000003</v>
      </c>
      <c r="CU29" s="18">
        <f>CT29*VLOOKUP('Données projet'!$B$13,Paramètres!$A$1:$I$89,3,0)*VLOOKUP('Données projet'!$B$13,Paramètres!$A$1:$I$89,5,0)</f>
        <v>83.959200000000024</v>
      </c>
      <c r="CV29" s="14">
        <f t="shared" si="41"/>
        <v>23.102490880810642</v>
      </c>
      <c r="CW29" s="22">
        <f t="shared" si="13"/>
        <v>186.46577828407854</v>
      </c>
      <c r="CX29" s="62">
        <f t="shared" si="14"/>
        <v>442.92347101113319</v>
      </c>
      <c r="CY29" s="62">
        <f ca="1">AVERAGE(OFFSET($CX$3,0,0,'Données projet'!$E$13+1,1))-AVERAGE(OFFSET($H$3,0,0,'Données projet'!$E$13+1,1))</f>
        <v>376.32432344617206</v>
      </c>
      <c r="CZ29" s="62">
        <f t="shared" si="42"/>
        <v>302.77411534670466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1.7848896584809069</v>
      </c>
      <c r="DG29" s="23">
        <f>EXP(-LN(2)/25)*DG28+(1-EXP(-LN(2)/25))/(LN(2)/25)*Calculateur!DB29*Calculateur!DD29*VLOOKUP('Données projet'!$B$13,Paramètres!$A$1:$I$89,3,0)*0.475*44/12</f>
        <v>4.1156123107085874</v>
      </c>
      <c r="DH29" s="23">
        <f>EXP(-LN(2)/2)*DH28+(1-EXP(-LN(2)/2))/(LN(2)/2)*DB29*DE29*VLOOKUP('Données projet'!$B$13,Paramètres!$A$1:$I$89,3,0)*0.475*44/12</f>
        <v>2.7082996556833074</v>
      </c>
      <c r="DI29" s="24">
        <f t="shared" si="15"/>
        <v>8.6088016248728021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61.276340440711863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2.75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10.083333333333334</v>
      </c>
      <c r="H30" s="70">
        <f t="shared" si="1"/>
        <v>216.33333333333334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41.389919999999996</v>
      </c>
      <c r="P30" s="14">
        <f t="shared" si="33"/>
        <v>12.366309791717869</v>
      </c>
      <c r="Q30" s="22">
        <f t="shared" si="2"/>
        <v>93.625433553908593</v>
      </c>
      <c r="R30" s="62">
        <f t="shared" si="0"/>
        <v>351.86024713381852</v>
      </c>
      <c r="S30" s="62">
        <f ca="1">AVERAGE(OFFSET($R$3,0,0,'Données projet'!$E$9+1,1))-AVERAGE(OFFSET($H$3,0,0,'Données projet'!$E$9+1,1))</f>
        <v>338.33619350800484</v>
      </c>
      <c r="T30" s="62">
        <f t="shared" si="34"/>
        <v>173.80539144233424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6.8</v>
      </c>
      <c r="AI30" s="14">
        <f>IF('Données projet'!$A$62&gt;35,AI29+AH30-AQ29,IF(A30&lt;'Données projet'!$A$62,$AF$205^A30,IF(A30='Données projet'!$A$62,'Données projet'!$B$62,AI29+AH30-AQ29)))</f>
        <v>175.60000000000005</v>
      </c>
      <c r="AJ30" s="14">
        <f>AI30*VLOOKUP('Données projet'!$B$10,Paramètres!$A$1:$I$89,3,0)*VLOOKUP('Données projet'!$B$10,Paramètres!$A$1:$I$89,5,0)</f>
        <v>158.88288000000006</v>
      </c>
      <c r="AK30" s="14">
        <f t="shared" si="35"/>
        <v>40.590443217000178</v>
      </c>
      <c r="AL30" s="22">
        <f t="shared" si="4"/>
        <v>347.41603793627536</v>
      </c>
      <c r="AM30" s="62">
        <f t="shared" si="5"/>
        <v>605.6508515161853</v>
      </c>
      <c r="AN30" s="62">
        <f ca="1">AVERAGE(OFFSET($AM$3,0,0,'Données projet'!$E$10+1,1))-AVERAGE(OFFSET($H$3,0,0,'Données projet'!$E$10+1,1))</f>
        <v>308.01218908312546</v>
      </c>
      <c r="AO30" s="62">
        <f t="shared" si="36"/>
        <v>433.94915035190684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2.6834331672708047</v>
      </c>
      <c r="AV30" s="23">
        <f>EXP(-LN(2)/25)*AV29+(1-EXP(-LN(2)/25))/(LN(2)/25)*Calculateur!AQ30*Calculateur!AS30*VLOOKUP('Données projet'!$B$10,Paramètres!$A$1:$I$89,3,0)*0.475*44/12</f>
        <v>7.6106081683824351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10.29404133565324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4.8</v>
      </c>
      <c r="BD30" s="13">
        <f>IF('Données projet'!$A$88&gt;35,BD29+BC30-BL29,IF(A30&lt;'Données projet'!$A$88,$BA$205^A30,IF(A30='Données projet'!$A$88,'Données projet'!$B$88,BD29+BC30-BL29)))</f>
        <v>39.599999999999994</v>
      </c>
      <c r="BE30" s="14">
        <f>BD30*VLOOKUP('Données projet'!$B$11,Paramètres!$A$1:$I$89,3,0)*VLOOKUP('Données projet'!$B$11,Paramètres!$A$1:$I$89,5,0)</f>
        <v>40.154399999999995</v>
      </c>
      <c r="BF30" s="14">
        <f t="shared" si="37"/>
        <v>12.039561463286329</v>
      </c>
      <c r="BG30" s="22">
        <f t="shared" si="7"/>
        <v>90.90448288189036</v>
      </c>
      <c r="BH30" s="62">
        <f t="shared" si="8"/>
        <v>349.13929646180031</v>
      </c>
      <c r="BI30" s="62">
        <f ca="1">AVERAGE(OFFSET($BH$3,0,0,'Données projet'!$E$11+1,1))-AVERAGE(OFFSET($H$3,0,0,'Données projet'!$E$11+1,1))</f>
        <v>329.96352570744875</v>
      </c>
      <c r="BJ30" s="62">
        <f t="shared" si="38"/>
        <v>170.12252063636961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6.5</v>
      </c>
      <c r="BY30" s="13">
        <f>IF('Données projet'!$A$114&gt;35,BY29+BX30-CG29,IF(A30&lt;'Données projet'!$A$114,$BV$205^A30,IF(A30='Données projet'!$A$114,'Données projet'!$B$114,BY29+BX30-CG29)))</f>
        <v>160.5</v>
      </c>
      <c r="BZ30" s="14">
        <f>BY30*VLOOKUP('Données projet'!$B$12,Paramètres!$A$1:$I$89,3,0)*VLOOKUP('Données projet'!$B$12,Paramètres!$A$1:$I$89,5,0)</f>
        <v>75.114000000000004</v>
      </c>
      <c r="CA30" s="14">
        <f t="shared" si="39"/>
        <v>20.938185501492693</v>
      </c>
      <c r="CB30" s="22">
        <f t="shared" si="10"/>
        <v>167.2908897484331</v>
      </c>
      <c r="CC30" s="62">
        <f t="shared" si="11"/>
        <v>425.52570332834307</v>
      </c>
      <c r="CD30" s="62">
        <f ca="1">AVERAGE(OFFSET($CC$3,0,0,'Données projet'!$E$12+1,1))-AVERAGE(OFFSET($H$3,0,0,'Données projet'!$E$12+1,1))</f>
        <v>276.21705775006376</v>
      </c>
      <c r="CE30" s="62">
        <f t="shared" si="40"/>
        <v>234.24947280606958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13.4</v>
      </c>
      <c r="CT30" s="13">
        <f>IF('Données projet'!$A$140&gt;35,CT29+CS30-DB29,IF(A30&lt;'Données projet'!$A$140,$CQ$205^A30,IF(A30='Données projet'!$A$140,'Données projet'!$B$140,CT29+CS30-DB29)))</f>
        <v>153.80000000000004</v>
      </c>
      <c r="CU30" s="18">
        <f>CT30*VLOOKUP('Données projet'!$B$13,Paramètres!$A$1:$I$89,3,0)*VLOOKUP('Données projet'!$B$13,Paramètres!$A$1:$I$89,5,0)</f>
        <v>91.972400000000022</v>
      </c>
      <c r="CV30" s="14">
        <f t="shared" si="41"/>
        <v>25.040318527820091</v>
      </c>
      <c r="CW30" s="22">
        <f t="shared" si="13"/>
        <v>203.79715143595334</v>
      </c>
      <c r="CX30" s="62">
        <f t="shared" si="14"/>
        <v>462.03196501586331</v>
      </c>
      <c r="CY30" s="62">
        <f ca="1">AVERAGE(OFFSET($CX$3,0,0,'Données projet'!$E$13+1,1))-AVERAGE(OFFSET($H$3,0,0,'Données projet'!$E$13+1,1))</f>
        <v>376.32432344617206</v>
      </c>
      <c r="CZ30" s="62">
        <f t="shared" si="42"/>
        <v>302.77411534670466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1.7498890609532902</v>
      </c>
      <c r="DG30" s="23">
        <f>EXP(-LN(2)/25)*DG29+(1-EXP(-LN(2)/25))/(LN(2)/25)*Calculateur!DB30*Calculateur!DD30*VLOOKUP('Données projet'!$B$13,Paramètres!$A$1:$I$89,3,0)*0.475*44/12</f>
        <v>4.0030706756416157</v>
      </c>
      <c r="DH30" s="23">
        <f>EXP(-LN(2)/2)*DH29+(1-EXP(-LN(2)/2))/(LN(2)/2)*DB30*DE30*VLOOKUP('Données projet'!$B$13,Paramètres!$A$1:$I$89,3,0)*0.475*44/12</f>
        <v>1.9150570520188586</v>
      </c>
      <c r="DI30" s="24">
        <f t="shared" si="15"/>
        <v>7.6680167886137642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61.427676430884532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2.75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10.083333333333334</v>
      </c>
      <c r="H31" s="70">
        <f t="shared" si="1"/>
        <v>216.33333333333334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46.406880000000001</v>
      </c>
      <c r="P31" s="14">
        <f t="shared" si="33"/>
        <v>13.681831831168125</v>
      </c>
      <c r="Q31" s="22">
        <f t="shared" si="2"/>
        <v>104.65450643928448</v>
      </c>
      <c r="R31" s="62">
        <f t="shared" si="0"/>
        <v>364.6568146213757</v>
      </c>
      <c r="S31" s="62">
        <f ca="1">AVERAGE(OFFSET($R$3,0,0,'Données projet'!$E$9+1,1))-AVERAGE(OFFSET($H$3,0,0,'Données projet'!$E$9+1,1))</f>
        <v>338.33619350800484</v>
      </c>
      <c r="T31" s="62">
        <f t="shared" si="34"/>
        <v>173.80539144233424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6.8</v>
      </c>
      <c r="AI31" s="14">
        <f>IF('Données projet'!$A$62&gt;35,AI30+AH31-AQ30,IF(A31&lt;'Données projet'!$A$62,$AF$205^A31,IF(A31='Données projet'!$A$62,'Données projet'!$B$62,AI30+AH31-AQ30)))</f>
        <v>182.40000000000006</v>
      </c>
      <c r="AJ31" s="14">
        <f>AI31*VLOOKUP('Données projet'!$B$10,Paramètres!$A$1:$I$89,3,0)*VLOOKUP('Données projet'!$B$10,Paramètres!$A$1:$I$89,5,0)</f>
        <v>165.03552000000005</v>
      </c>
      <c r="AK31" s="14">
        <f t="shared" si="35"/>
        <v>41.976234598846517</v>
      </c>
      <c r="AL31" s="22">
        <f t="shared" si="4"/>
        <v>360.54547259299108</v>
      </c>
      <c r="AM31" s="62">
        <f t="shared" si="5"/>
        <v>620.54778077508229</v>
      </c>
      <c r="AN31" s="62">
        <f ca="1">AVERAGE(OFFSET($AM$3,0,0,'Données projet'!$E$10+1,1))-AVERAGE(OFFSET($H$3,0,0,'Données projet'!$E$10+1,1))</f>
        <v>308.01218908312546</v>
      </c>
      <c r="AO31" s="62">
        <f t="shared" si="36"/>
        <v>433.94915035190684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2.6308126795932423</v>
      </c>
      <c r="AV31" s="23">
        <f>EXP(-LN(2)/25)*AV30+(1-EXP(-LN(2)/25))/(LN(2)/25)*Calculateur!AQ31*Calculateur!AS31*VLOOKUP('Données projet'!$B$10,Paramètres!$A$1:$I$89,3,0)*0.475*44/12</f>
        <v>7.402495687793528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10.03330836738677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4.8</v>
      </c>
      <c r="BD31" s="13">
        <f>IF('Données projet'!$A$88&gt;35,BD30+BC31-BL30,IF(A31&lt;'Données projet'!$A$88,$BA$205^A31,IF(A31='Données projet'!$A$88,'Données projet'!$B$88,BD30+BC31-BL30)))</f>
        <v>44.399999999999991</v>
      </c>
      <c r="BE31" s="14">
        <f>BD31*VLOOKUP('Données projet'!$B$11,Paramètres!$A$1:$I$89,3,0)*VLOOKUP('Données projet'!$B$11,Paramètres!$A$1:$I$89,5,0)</f>
        <v>45.021599999999992</v>
      </c>
      <c r="BF31" s="14">
        <f t="shared" si="37"/>
        <v>13.320324173992205</v>
      </c>
      <c r="BG31" s="22">
        <f t="shared" si="7"/>
        <v>101.6121846030364</v>
      </c>
      <c r="BH31" s="62">
        <f t="shared" si="8"/>
        <v>361.6144927851276</v>
      </c>
      <c r="BI31" s="62">
        <f ca="1">AVERAGE(OFFSET($BH$3,0,0,'Données projet'!$E$11+1,1))-AVERAGE(OFFSET($H$3,0,0,'Données projet'!$E$11+1,1))</f>
        <v>329.96352570744875</v>
      </c>
      <c r="BJ31" s="62">
        <f t="shared" si="38"/>
        <v>170.12252063636961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6.5</v>
      </c>
      <c r="BY31" s="13">
        <f>IF('Données projet'!$A$114&gt;35,BY30+BX31-CG30,IF(A31&lt;'Données projet'!$A$114,$BV$205^A31,IF(A31='Données projet'!$A$114,'Données projet'!$B$114,BY30+BX31-CG30)))</f>
        <v>167</v>
      </c>
      <c r="BZ31" s="14">
        <f>BY31*VLOOKUP('Données projet'!$B$12,Paramètres!$A$1:$I$89,3,0)*VLOOKUP('Données projet'!$B$12,Paramètres!$A$1:$I$89,5,0)</f>
        <v>78.156000000000006</v>
      </c>
      <c r="CA31" s="14">
        <f t="shared" si="39"/>
        <v>21.685706446534809</v>
      </c>
      <c r="CB31" s="22">
        <f t="shared" si="10"/>
        <v>173.89097206104813</v>
      </c>
      <c r="CC31" s="62">
        <f t="shared" si="11"/>
        <v>433.89328024313932</v>
      </c>
      <c r="CD31" s="62">
        <f ca="1">AVERAGE(OFFSET($CC$3,0,0,'Données projet'!$E$12+1,1))-AVERAGE(OFFSET($H$3,0,0,'Données projet'!$E$12+1,1))</f>
        <v>276.21705775006376</v>
      </c>
      <c r="CE31" s="62">
        <f t="shared" si="40"/>
        <v>234.24947280606958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13.4</v>
      </c>
      <c r="CT31" s="13">
        <f>IF('Données projet'!$A$140&gt;35,CT30+CS31-DB30,IF(A31&lt;'Données projet'!$A$140,$CQ$205^A31,IF(A31='Données projet'!$A$140,'Données projet'!$B$140,CT30+CS31-DB30)))</f>
        <v>167.20000000000005</v>
      </c>
      <c r="CU31" s="18">
        <f>CT31*VLOOKUP('Données projet'!$B$13,Paramètres!$A$1:$I$89,3,0)*VLOOKUP('Données projet'!$B$13,Paramètres!$A$1:$I$89,5,0)</f>
        <v>99.985600000000034</v>
      </c>
      <c r="CV31" s="14">
        <f t="shared" si="41"/>
        <v>26.958566918169435</v>
      </c>
      <c r="CW31" s="22">
        <f t="shared" si="13"/>
        <v>221.09442404914515</v>
      </c>
      <c r="CX31" s="62">
        <f t="shared" si="14"/>
        <v>481.09673223123639</v>
      </c>
      <c r="CY31" s="62">
        <f ca="1">AVERAGE(OFFSET($CX$3,0,0,'Données projet'!$E$13+1,1))-AVERAGE(OFFSET($H$3,0,0,'Données projet'!$E$13+1,1))</f>
        <v>376.32432344617206</v>
      </c>
      <c r="CZ31" s="62">
        <f t="shared" si="42"/>
        <v>302.77411534670466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1.7155748037949337</v>
      </c>
      <c r="DG31" s="23">
        <f>EXP(-LN(2)/25)*DG30+(1-EXP(-LN(2)/25))/(LN(2)/25)*Calculateur!DB31*Calculateur!DD31*VLOOKUP('Données projet'!$B$13,Paramètres!$A$1:$I$89,3,0)*0.475*44/12</f>
        <v>3.8936064975038578</v>
      </c>
      <c r="DH31" s="23">
        <f>EXP(-LN(2)/2)*DH30+(1-EXP(-LN(2)/2))/(LN(2)/2)*DB31*DE31*VLOOKUP('Données projet'!$B$13,Paramètres!$A$1:$I$89,3,0)*0.475*44/12</f>
        <v>1.3541498278416539</v>
      </c>
      <c r="DI31" s="24">
        <f t="shared" si="15"/>
        <v>6.9633311291404461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61.576387079964277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2.75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10.083333333333334</v>
      </c>
      <c r="H32" s="70">
        <f t="shared" si="1"/>
        <v>216.33333333333334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51.423839999999991</v>
      </c>
      <c r="P32" s="14">
        <f t="shared" si="33"/>
        <v>14.980869486234537</v>
      </c>
      <c r="Q32" s="22">
        <f t="shared" si="2"/>
        <v>115.65486902185846</v>
      </c>
      <c r="R32" s="62">
        <f t="shared" si="0"/>
        <v>377.41521254938516</v>
      </c>
      <c r="S32" s="62">
        <f ca="1">AVERAGE(OFFSET($R$3,0,0,'Données projet'!$E$9+1,1))-AVERAGE(OFFSET($H$3,0,0,'Données projet'!$E$9+1,1))</f>
        <v>338.33619350800484</v>
      </c>
      <c r="T32" s="62">
        <f t="shared" si="34"/>
        <v>173.80539144233424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6.8</v>
      </c>
      <c r="AI32" s="14">
        <f>IF('Données projet'!$A$62&gt;35,AI31+AH32-AQ31,IF(A32&lt;'Données projet'!$A$62,$AF$205^A32,IF(A32='Données projet'!$A$62,'Données projet'!$B$62,AI31+AH32-AQ31)))</f>
        <v>189.20000000000007</v>
      </c>
      <c r="AJ32" s="14">
        <f>AI32*VLOOKUP('Données projet'!$B$10,Paramètres!$A$1:$I$89,3,0)*VLOOKUP('Données projet'!$B$10,Paramètres!$A$1:$I$89,5,0)</f>
        <v>171.18816000000007</v>
      </c>
      <c r="AK32" s="14">
        <f t="shared" si="35"/>
        <v>43.356023936000852</v>
      </c>
      <c r="AL32" s="22">
        <f t="shared" si="4"/>
        <v>373.66445368853493</v>
      </c>
      <c r="AM32" s="62">
        <f t="shared" si="5"/>
        <v>635.42479721606162</v>
      </c>
      <c r="AN32" s="62">
        <f ca="1">AVERAGE(OFFSET($AM$3,0,0,'Données projet'!$E$10+1,1))-AVERAGE(OFFSET($H$3,0,0,'Données projet'!$E$10+1,1))</f>
        <v>308.01218908312546</v>
      </c>
      <c r="AO32" s="62">
        <f t="shared" si="36"/>
        <v>433.94915035190684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2.5792240475837085</v>
      </c>
      <c r="AV32" s="23">
        <f>EXP(-LN(2)/25)*AV31+(1-EXP(-LN(2)/25))/(LN(2)/25)*Calculateur!AQ32*Calculateur!AS32*VLOOKUP('Données projet'!$B$10,Paramètres!$A$1:$I$89,3,0)*0.475*44/12</f>
        <v>7.2000740539304839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9.7792981015141933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4.8</v>
      </c>
      <c r="BD32" s="13">
        <f>IF('Données projet'!$A$88&gt;35,BD31+BC32-BL31,IF(A32&lt;'Données projet'!$A$88,$BA$205^A32,IF(A32='Données projet'!$A$88,'Données projet'!$B$88,BD31+BC32-BL31)))</f>
        <v>49.199999999999989</v>
      </c>
      <c r="BE32" s="14">
        <f>BD32*VLOOKUP('Données projet'!$B$11,Paramètres!$A$1:$I$89,3,0)*VLOOKUP('Données projet'!$B$11,Paramètres!$A$1:$I$89,5,0)</f>
        <v>49.888799999999989</v>
      </c>
      <c r="BF32" s="14">
        <f t="shared" si="37"/>
        <v>14.585038058304724</v>
      </c>
      <c r="BG32" s="22">
        <f t="shared" si="7"/>
        <v>112.29193461821403</v>
      </c>
      <c r="BH32" s="62">
        <f t="shared" si="8"/>
        <v>374.05227814574073</v>
      </c>
      <c r="BI32" s="62">
        <f ca="1">AVERAGE(OFFSET($BH$3,0,0,'Données projet'!$E$11+1,1))-AVERAGE(OFFSET($H$3,0,0,'Données projet'!$E$11+1,1))</f>
        <v>329.96352570744875</v>
      </c>
      <c r="BJ32" s="62">
        <f t="shared" si="38"/>
        <v>170.12252063636961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6.5</v>
      </c>
      <c r="BY32" s="13">
        <f>IF('Données projet'!$A$114&gt;35,BY31+BX32-CG31,IF(A32&lt;'Données projet'!$A$114,$BV$205^A32,IF(A32='Données projet'!$A$114,'Données projet'!$B$114,BY31+BX32-CG31)))</f>
        <v>173.5</v>
      </c>
      <c r="BZ32" s="14">
        <f>BY32*VLOOKUP('Données projet'!$B$12,Paramètres!$A$1:$I$89,3,0)*VLOOKUP('Données projet'!$B$12,Paramètres!$A$1:$I$89,5,0)</f>
        <v>81.198000000000008</v>
      </c>
      <c r="CA32" s="14">
        <f t="shared" si="39"/>
        <v>22.429847477648512</v>
      </c>
      <c r="CB32" s="22">
        <f t="shared" si="10"/>
        <v>180.48516769023783</v>
      </c>
      <c r="CC32" s="62">
        <f t="shared" si="11"/>
        <v>442.24551121776449</v>
      </c>
      <c r="CD32" s="62">
        <f ca="1">AVERAGE(OFFSET($CC$3,0,0,'Données projet'!$E$12+1,1))-AVERAGE(OFFSET($H$3,0,0,'Données projet'!$E$12+1,1))</f>
        <v>276.21705775006376</v>
      </c>
      <c r="CE32" s="62">
        <f t="shared" si="40"/>
        <v>234.24947280606958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13.4</v>
      </c>
      <c r="CT32" s="13">
        <f>IF('Données projet'!$A$140&gt;35,CT31+CS32-DB31,IF(A32&lt;'Données projet'!$A$140,$CQ$205^A32,IF(A32='Données projet'!$A$140,'Données projet'!$B$140,CT31+CS32-DB31)))</f>
        <v>180.60000000000005</v>
      </c>
      <c r="CU32" s="18">
        <f>CT32*VLOOKUP('Données projet'!$B$13,Paramètres!$A$1:$I$89,3,0)*VLOOKUP('Données projet'!$B$13,Paramètres!$A$1:$I$89,5,0)</f>
        <v>107.99880000000003</v>
      </c>
      <c r="CV32" s="14">
        <f t="shared" si="41"/>
        <v>28.85898360070161</v>
      </c>
      <c r="CW32" s="22">
        <f t="shared" si="13"/>
        <v>238.36063977122203</v>
      </c>
      <c r="CX32" s="62">
        <f t="shared" si="14"/>
        <v>500.12098329874868</v>
      </c>
      <c r="CY32" s="62">
        <f ca="1">AVERAGE(OFFSET($CX$3,0,0,'Données projet'!$E$13+1,1))-AVERAGE(OFFSET($H$3,0,0,'Données projet'!$E$13+1,1))</f>
        <v>376.32432344617206</v>
      </c>
      <c r="CZ32" s="62">
        <f t="shared" si="42"/>
        <v>302.77411534670466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1.6819334282898222</v>
      </c>
      <c r="DG32" s="23">
        <f>EXP(-LN(2)/25)*DG31+(1-EXP(-LN(2)/25))/(LN(2)/25)*Calculateur!DB32*Calculateur!DD32*VLOOKUP('Données projet'!$B$13,Paramètres!$A$1:$I$89,3,0)*0.475*44/12</f>
        <v>3.7871356230737478</v>
      </c>
      <c r="DH32" s="23">
        <f>EXP(-LN(2)/2)*DH31+(1-EXP(-LN(2)/2))/(LN(2)/2)*DB32*DE32*VLOOKUP('Données projet'!$B$13,Paramètres!$A$1:$I$89,3,0)*0.475*44/12</f>
        <v>0.9575285260094295</v>
      </c>
      <c r="DI32" s="24">
        <f t="shared" si="15"/>
        <v>6.4265975773730002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61.722517931749707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2.75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10.083333333333334</v>
      </c>
      <c r="H33" s="70">
        <f t="shared" si="1"/>
        <v>216.33333333333334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56.440799999999989</v>
      </c>
      <c r="P33" s="14">
        <f t="shared" si="33"/>
        <v>16.265214007173903</v>
      </c>
      <c r="Q33" s="22">
        <f t="shared" si="2"/>
        <v>126.62964106249451</v>
      </c>
      <c r="R33" s="62">
        <f t="shared" si="0"/>
        <v>390.13872477566758</v>
      </c>
      <c r="S33" s="62">
        <f ca="1">AVERAGE(OFFSET($R$3,0,0,'Données projet'!$E$9+1,1))-AVERAGE(OFFSET($H$3,0,0,'Données projet'!$E$9+1,1))</f>
        <v>338.33619350800484</v>
      </c>
      <c r="T33" s="62">
        <f t="shared" si="34"/>
        <v>173.80539144233424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196</v>
      </c>
      <c r="AG33" s="13">
        <f>VLOOKUP(A33,'Données projet'!$A$61:$I$81,9,0)</f>
        <v>6.8</v>
      </c>
      <c r="AH33" s="13">
        <f t="array" ref="AH33">INDEX(AG:AG,MIN(IF(ISNUMBER(AG33:AG229),ROW(AG33:AG229),"")))</f>
        <v>6.8</v>
      </c>
      <c r="AI33" s="14">
        <f>IF('Données projet'!$A$62&gt;35,AI32+AH33-AQ32,IF(A33&lt;'Données projet'!$A$62,$AF$205^A33,IF(A33='Données projet'!$A$62,'Données projet'!$B$62,AI32+AH33-AQ32)))</f>
        <v>196.00000000000009</v>
      </c>
      <c r="AJ33" s="14">
        <f>AI33*VLOOKUP('Données projet'!$B$10,Paramètres!$A$1:$I$89,3,0)*VLOOKUP('Données projet'!$B$10,Paramètres!$A$1:$I$89,5,0)</f>
        <v>177.34080000000006</v>
      </c>
      <c r="AK33" s="14">
        <f t="shared" si="35"/>
        <v>44.730051658603102</v>
      </c>
      <c r="AL33" s="22">
        <f t="shared" si="4"/>
        <v>386.77339997206712</v>
      </c>
      <c r="AM33" s="62">
        <f t="shared" si="5"/>
        <v>650.28248368524021</v>
      </c>
      <c r="AN33" s="62">
        <f ca="1">AVERAGE(OFFSET($AM$3,0,0,'Données projet'!$E$10+1,1))-AVERAGE(OFFSET($H$3,0,0,'Données projet'!$E$10+1,1))</f>
        <v>308.01218908312546</v>
      </c>
      <c r="AO33" s="62">
        <f t="shared" si="36"/>
        <v>433.94915035190684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9</v>
      </c>
      <c r="AR33" s="17">
        <f>IF(ISNA(VLOOKUP(A33,'Données projet'!$A$61:$I$81,5,0)),0%,VLOOKUP(A33,'Données projet'!$A$61:$I$81,5,0)*VLOOKUP('Données projet'!$B$10,Paramètres!$A$1:$I$89,7,0))</f>
        <v>0.21</v>
      </c>
      <c r="AS33" s="17">
        <f>IF(ISNA(VLOOKUP(A33,'Données projet'!$A$61:$I$81,6,0)),0%,VLOOKUP(A33,'Données projet'!$A$61:$I$81,6,0)*VLOOKUP('Données projet'!$B$10,Paramètres!$A$1:$I$89,7,0))</f>
        <v>0.09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4.4190809800505946</v>
      </c>
      <c r="AV33" s="23">
        <f>EXP(-LN(2)/25)*AV32+(1-EXP(-LN(2)/25))/(LN(2)/25)*Calculateur!AQ33*Calculateur!AS33*VLOOKUP('Données projet'!$B$10,Paramètres!$A$1:$I$89,3,0)*0.475*44/12</f>
        <v>7.8101836149147994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12.229264594965393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54</v>
      </c>
      <c r="BB33" s="13">
        <f>VLOOKUP(A33,'Données projet'!$A$87:$I$107,9,0)</f>
        <v>4.8</v>
      </c>
      <c r="BC33" s="13">
        <f t="array" ref="BC33">INDEX(BB:BB,MIN(IF(ISNUMBER(BB33:BB229),ROW(BB33:BB229),"")))</f>
        <v>4.8</v>
      </c>
      <c r="BD33" s="13">
        <f>IF('Données projet'!$A$88&gt;35,BD32+BC33-BL32,IF(A33&lt;'Données projet'!$A$88,$BA$205^A33,IF(A33='Données projet'!$A$88,'Données projet'!$B$88,BD32+BC33-BL32)))</f>
        <v>53.999999999999986</v>
      </c>
      <c r="BE33" s="14">
        <f>BD33*VLOOKUP('Données projet'!$B$11,Paramètres!$A$1:$I$89,3,0)*VLOOKUP('Données projet'!$B$11,Paramètres!$A$1:$I$89,5,0)</f>
        <v>54.755999999999993</v>
      </c>
      <c r="BF33" s="14">
        <f t="shared" si="37"/>
        <v>15.835447037242044</v>
      </c>
      <c r="BG33" s="22">
        <f t="shared" si="7"/>
        <v>122.94677025652987</v>
      </c>
      <c r="BH33" s="62">
        <f t="shared" si="8"/>
        <v>386.45585396970296</v>
      </c>
      <c r="BI33" s="62">
        <f ca="1">AVERAGE(OFFSET($BH$3,0,0,'Données projet'!$E$11+1,1))-AVERAGE(OFFSET($H$3,0,0,'Données projet'!$E$11+1,1))</f>
        <v>329.96352570744875</v>
      </c>
      <c r="BJ33" s="62">
        <f t="shared" si="38"/>
        <v>170.12252063636961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180</v>
      </c>
      <c r="BW33" s="13">
        <f>VLOOKUP(A33,'Données projet'!$A$113:$I$133,9,0)</f>
        <v>6.5</v>
      </c>
      <c r="BX33" s="13">
        <f t="array" ref="BX33">INDEX(BW:BW,MIN(IF(ISNUMBER(BW33:BW229),ROW(BW33:BW229),"")))</f>
        <v>6.5</v>
      </c>
      <c r="BY33" s="13">
        <f>IF('Données projet'!$A$114&gt;35,BY32+BX33-CG32,IF(A33&lt;'Données projet'!$A$114,$BV$205^A33,IF(A33='Données projet'!$A$114,'Données projet'!$B$114,BY32+BX33-CG32)))</f>
        <v>180</v>
      </c>
      <c r="BZ33" s="14">
        <f>BY33*VLOOKUP('Données projet'!$B$12,Paramètres!$A$1:$I$89,3,0)*VLOOKUP('Données projet'!$B$12,Paramètres!$A$1:$I$89,5,0)</f>
        <v>84.24</v>
      </c>
      <c r="CA33" s="14">
        <f t="shared" si="39"/>
        <v>23.170749718409468</v>
      </c>
      <c r="CB33" s="22">
        <f t="shared" si="10"/>
        <v>187.07372242622981</v>
      </c>
      <c r="CC33" s="62">
        <f t="shared" si="11"/>
        <v>450.58280613940292</v>
      </c>
      <c r="CD33" s="62">
        <f ca="1">AVERAGE(OFFSET($CC$3,0,0,'Données projet'!$E$12+1,1))-AVERAGE(OFFSET($H$3,0,0,'Données projet'!$E$12+1,1))</f>
        <v>276.21705775006376</v>
      </c>
      <c r="CE33" s="62">
        <f t="shared" si="40"/>
        <v>234.24947280606958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194</v>
      </c>
      <c r="CR33" s="13">
        <f>VLOOKUP(A33,'Données projet'!$A$139:$I$159,9,0)</f>
        <v>13.4</v>
      </c>
      <c r="CS33" s="13">
        <f t="array" ref="CS33">INDEX(CR:CR,MIN(IF(ISNUMBER(CR33:CR229),ROW(CR33:CR229),"")))</f>
        <v>13.4</v>
      </c>
      <c r="CT33" s="13">
        <f>IF('Données projet'!$A$140&gt;35,CT32+CS33-DB32,IF(A33&lt;'Données projet'!$A$140,$CQ$205^A33,IF(A33='Données projet'!$A$140,'Données projet'!$B$140,CT32+CS33-DB32)))</f>
        <v>194.00000000000006</v>
      </c>
      <c r="CU33" s="18">
        <f>CT33*VLOOKUP('Données projet'!$B$13,Paramètres!$A$1:$I$89,3,0)*VLOOKUP('Données projet'!$B$13,Paramètres!$A$1:$I$89,5,0)</f>
        <v>116.01200000000003</v>
      </c>
      <c r="CV33" s="14">
        <f t="shared" si="41"/>
        <v>30.743042086238173</v>
      </c>
      <c r="CW33" s="22">
        <f t="shared" si="13"/>
        <v>255.59836496686489</v>
      </c>
      <c r="CX33" s="62">
        <f t="shared" si="14"/>
        <v>519.10744868003803</v>
      </c>
      <c r="CY33" s="62">
        <f ca="1">AVERAGE(OFFSET($CX$3,0,0,'Données projet'!$E$13+1,1))-AVERAGE(OFFSET($H$3,0,0,'Données projet'!$E$13+1,1))</f>
        <v>376.32432344617206</v>
      </c>
      <c r="CZ33" s="62">
        <f t="shared" si="42"/>
        <v>302.77411534670466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34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1.6489517396391529</v>
      </c>
      <c r="DG33" s="23">
        <f>EXP(-LN(2)/25)*DG32+(1-EXP(-LN(2)/25))/(LN(2)/25)*Calculateur!DB33*Calculateur!DD33*VLOOKUP('Données projet'!$B$13,Paramètres!$A$1:$I$89,3,0)*0.475*44/12</f>
        <v>3.6835762003039894</v>
      </c>
      <c r="DH33" s="23">
        <f>EXP(-LN(2)/2)*DH32+(1-EXP(-LN(2)/2))/(LN(2)/2)*DB33*DE33*VLOOKUP('Données projet'!$B$13,Paramètres!$A$1:$I$89,3,0)*0.475*44/12</f>
        <v>0.67707491392082708</v>
      </c>
      <c r="DI33" s="24">
        <f t="shared" si="15"/>
        <v>6.0096028538639699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61.866113739956297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2.75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10.083333333333334</v>
      </c>
      <c r="H34" s="70">
        <f t="shared" si="1"/>
        <v>216.33333333333334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61.666799999999995</v>
      </c>
      <c r="P34" s="14">
        <f t="shared" si="33"/>
        <v>17.589013941157731</v>
      </c>
      <c r="Q34" s="22">
        <f t="shared" si="2"/>
        <v>138.03720928084971</v>
      </c>
      <c r="R34" s="62">
        <f t="shared" si="0"/>
        <v>402.06367704789938</v>
      </c>
      <c r="S34" s="62">
        <f ca="1">AVERAGE(OFFSET($R$3,0,0,'Données projet'!$E$9+1,1))-AVERAGE(OFFSET($H$3,0,0,'Données projet'!$E$9+1,1))</f>
        <v>338.33619350800484</v>
      </c>
      <c r="T34" s="62">
        <f t="shared" si="34"/>
        <v>173.80539144233424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5.8</v>
      </c>
      <c r="AI34" s="14">
        <f>IF('Données projet'!$A$62&gt;35,AI33+AH34-AQ33,IF(A34&lt;'Données projet'!$A$62,$AF$205^A34,IF(A34='Données projet'!$A$62,'Données projet'!$B$62,AI33+AH34-AQ33)))</f>
        <v>192.8000000000001</v>
      </c>
      <c r="AJ34" s="14">
        <f>AI34*VLOOKUP('Données projet'!$B$10,Paramètres!$A$1:$I$89,3,0)*VLOOKUP('Données projet'!$B$10,Paramètres!$A$1:$I$89,5,0)</f>
        <v>174.4454400000001</v>
      </c>
      <c r="AK34" s="14">
        <f t="shared" si="35"/>
        <v>44.084153549607706</v>
      </c>
      <c r="AL34" s="22">
        <f t="shared" si="4"/>
        <v>380.60570876556693</v>
      </c>
      <c r="AM34" s="62">
        <f t="shared" si="5"/>
        <v>644.63217653261654</v>
      </c>
      <c r="AN34" s="62">
        <f ca="1">AVERAGE(OFFSET($AM$3,0,0,'Données projet'!$E$10+1,1))-AVERAGE(OFFSET($H$3,0,0,'Données projet'!$E$10+1,1))</f>
        <v>308.01218908312546</v>
      </c>
      <c r="AO34" s="62">
        <f t="shared" si="36"/>
        <v>433.94915035190684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4.3324254974050547</v>
      </c>
      <c r="AV34" s="23">
        <f>EXP(-LN(2)/25)*AV33+(1-EXP(-LN(2)/25))/(LN(2)/25)*Calculateur!AQ34*Calculateur!AS34*VLOOKUP('Données projet'!$B$10,Paramètres!$A$1:$I$89,3,0)*0.475*44/12</f>
        <v>7.5966137332452481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11.929039230650304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5</v>
      </c>
      <c r="BD34" s="13">
        <f>IF('Données projet'!$A$88&gt;35,BD33+BC34-BL33,IF(A34&lt;'Données projet'!$A$88,$BA$205^A34,IF(A34='Données projet'!$A$88,'Données projet'!$B$88,BD33+BC34-BL33)))</f>
        <v>58.999999999999986</v>
      </c>
      <c r="BE34" s="14">
        <f>BD34*VLOOKUP('Données projet'!$B$11,Paramètres!$A$1:$I$89,3,0)*VLOOKUP('Données projet'!$B$11,Paramètres!$A$1:$I$89,5,0)</f>
        <v>59.825999999999993</v>
      </c>
      <c r="BF34" s="14">
        <f t="shared" si="37"/>
        <v>17.124268920142534</v>
      </c>
      <c r="BG34" s="22">
        <f t="shared" si="7"/>
        <v>134.02171836924822</v>
      </c>
      <c r="BH34" s="62">
        <f t="shared" si="8"/>
        <v>398.04818613629789</v>
      </c>
      <c r="BI34" s="62">
        <f ca="1">AVERAGE(OFFSET($BH$3,0,0,'Données projet'!$E$11+1,1))-AVERAGE(OFFSET($H$3,0,0,'Données projet'!$E$11+1,1))</f>
        <v>329.96352570744875</v>
      </c>
      <c r="BJ34" s="62">
        <f t="shared" si="38"/>
        <v>170.12252063636961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</v>
      </c>
      <c r="BY34" s="13">
        <f>IF('Données projet'!$A$114&gt;35,BY33+BX34-CG33,IF(A34&lt;'Données projet'!$A$114,$BV$205^A34,IF(A34='Données projet'!$A$114,'Données projet'!$B$114,BY33+BX34-CG33)))</f>
        <v>187</v>
      </c>
      <c r="BZ34" s="14">
        <f>BY34*VLOOKUP('Données projet'!$B$12,Paramètres!$A$1:$I$89,3,0)*VLOOKUP('Données projet'!$B$12,Paramètres!$A$1:$I$89,5,0)</f>
        <v>87.515999999999991</v>
      </c>
      <c r="CA34" s="14">
        <f t="shared" si="39"/>
        <v>23.965171662037644</v>
      </c>
      <c r="CB34" s="22">
        <f t="shared" si="10"/>
        <v>194.16304064471555</v>
      </c>
      <c r="CC34" s="62">
        <f t="shared" si="11"/>
        <v>458.18950841176525</v>
      </c>
      <c r="CD34" s="62">
        <f ca="1">AVERAGE(OFFSET($CC$3,0,0,'Données projet'!$E$12+1,1))-AVERAGE(OFFSET($H$3,0,0,'Données projet'!$E$12+1,1))</f>
        <v>276.21705775006376</v>
      </c>
      <c r="CE34" s="62">
        <f t="shared" si="40"/>
        <v>234.24947280606958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14.6</v>
      </c>
      <c r="CT34" s="13">
        <f>IF('Données projet'!$A$140&gt;35,CT33+CS34-DB33,IF(A34&lt;'Données projet'!$A$140,$CQ$205^A34,IF(A34='Données projet'!$A$140,'Données projet'!$B$140,CT33+CS34-DB33)))</f>
        <v>174.60000000000005</v>
      </c>
      <c r="CU34" s="18">
        <f>CT34*VLOOKUP('Données projet'!$B$13,Paramètres!$A$1:$I$89,3,0)*VLOOKUP('Données projet'!$B$13,Paramètres!$A$1:$I$89,5,0)</f>
        <v>104.41080000000004</v>
      </c>
      <c r="CV34" s="14">
        <f t="shared" si="41"/>
        <v>28.010155571424168</v>
      </c>
      <c r="CW34" s="22">
        <f t="shared" si="13"/>
        <v>230.63316428689714</v>
      </c>
      <c r="CX34" s="62">
        <f t="shared" si="14"/>
        <v>494.65963205394678</v>
      </c>
      <c r="CY34" s="62">
        <f ca="1">AVERAGE(OFFSET($CX$3,0,0,'Données projet'!$E$13+1,1))-AVERAGE(OFFSET($H$3,0,0,'Données projet'!$E$13+1,1))</f>
        <v>376.32432344617206</v>
      </c>
      <c r="CZ34" s="62">
        <f t="shared" si="42"/>
        <v>302.77411534670466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1.6166168017860796</v>
      </c>
      <c r="DG34" s="23">
        <f>EXP(-LN(2)/25)*DG33+(1-EXP(-LN(2)/25))/(LN(2)/25)*Calculateur!DB34*Calculateur!DD34*VLOOKUP('Données projet'!$B$13,Paramètres!$A$1:$I$89,3,0)*0.475*44/12</f>
        <v>3.5828486153958234</v>
      </c>
      <c r="DH34" s="23">
        <f>EXP(-LN(2)/2)*DH33+(1-EXP(-LN(2)/2))/(LN(2)/2)*DB34*DE34*VLOOKUP('Données projet'!$B$13,Paramètres!$A$1:$I$89,3,0)*0.475*44/12</f>
        <v>0.47876426300471481</v>
      </c>
      <c r="DI34" s="24">
        <f t="shared" si="15"/>
        <v>5.6782296801866181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62.007218481922635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2.75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10.083333333333334</v>
      </c>
      <c r="H35" s="70">
        <f t="shared" si="1"/>
        <v>216.33333333333334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66.892799999999994</v>
      </c>
      <c r="P35" s="14">
        <f t="shared" si="33"/>
        <v>18.899803142639634</v>
      </c>
      <c r="Q35" s="22">
        <f t="shared" ref="Q35:Q66" si="53">(O35+P35)*0.475*44/12</f>
        <v>149.42211714009736</v>
      </c>
      <c r="R35" s="62">
        <f t="shared" si="0"/>
        <v>413.95699350438622</v>
      </c>
      <c r="S35" s="62">
        <f ca="1">AVERAGE(OFFSET($R$3,0,0,'Données projet'!$E$9+1,1))-AVERAGE(OFFSET($H$3,0,0,'Données projet'!$E$9+1,1))</f>
        <v>338.33619350800484</v>
      </c>
      <c r="T35" s="62">
        <f t="shared" si="34"/>
        <v>173.80539144233424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5.8</v>
      </c>
      <c r="AI35" s="14">
        <f>IF('Données projet'!$A$62&gt;35,AI34+AH35-AQ34,IF(A35&lt;'Données projet'!$A$62,$AF$205^A35,IF(A35='Données projet'!$A$62,'Données projet'!$B$62,AI34+AH35-AQ34)))</f>
        <v>198.60000000000011</v>
      </c>
      <c r="AJ35" s="14">
        <f>AI35*VLOOKUP('Données projet'!$B$10,Paramètres!$A$1:$I$89,3,0)*VLOOKUP('Données projet'!$B$10,Paramètres!$A$1:$I$89,5,0)</f>
        <v>179.6932800000001</v>
      </c>
      <c r="AK35" s="14">
        <f t="shared" si="35"/>
        <v>45.253939845742352</v>
      </c>
      <c r="AL35" s="22">
        <f t="shared" si="4"/>
        <v>391.78307456466808</v>
      </c>
      <c r="AM35" s="62">
        <f t="shared" si="5"/>
        <v>656.31795092895698</v>
      </c>
      <c r="AN35" s="62">
        <f ca="1">AVERAGE(OFFSET($AM$3,0,0,'Données projet'!$E$10+1,1))-AVERAGE(OFFSET($H$3,0,0,'Données projet'!$E$10+1,1))</f>
        <v>308.01218908312546</v>
      </c>
      <c r="AO35" s="62">
        <f t="shared" si="36"/>
        <v>433.94915035190684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4.2474692759195678</v>
      </c>
      <c r="AV35" s="23">
        <f>EXP(-LN(2)/25)*AV34+(1-EXP(-LN(2)/25))/(LN(2)/25)*Calculateur!AQ35*Calculateur!AS35*VLOOKUP('Données projet'!$B$10,Paramètres!$A$1:$I$89,3,0)*0.475*44/12</f>
        <v>7.3888839312211028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11.636353207140671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5</v>
      </c>
      <c r="BD35" s="13">
        <f>IF('Données projet'!$A$88&gt;35,BD34+BC35-BL34,IF(A35&lt;'Données projet'!$A$88,$BA$205^A35,IF(A35='Données projet'!$A$88,'Données projet'!$B$88,BD34+BC35-BL34)))</f>
        <v>63.999999999999986</v>
      </c>
      <c r="BE35" s="14">
        <f>BD35*VLOOKUP('Données projet'!$B$11,Paramètres!$A$1:$I$89,3,0)*VLOOKUP('Données projet'!$B$11,Paramètres!$A$1:$I$89,5,0)</f>
        <v>64.895999999999987</v>
      </c>
      <c r="BF35" s="14">
        <f t="shared" si="37"/>
        <v>18.400423846102949</v>
      </c>
      <c r="BG35" s="22">
        <f t="shared" si="7"/>
        <v>145.07460486529592</v>
      </c>
      <c r="BH35" s="62">
        <f t="shared" si="8"/>
        <v>409.60948122958484</v>
      </c>
      <c r="BI35" s="62">
        <f ca="1">AVERAGE(OFFSET($BH$3,0,0,'Données projet'!$E$11+1,1))-AVERAGE(OFFSET($H$3,0,0,'Données projet'!$E$11+1,1))</f>
        <v>329.96352570744875</v>
      </c>
      <c r="BJ35" s="62">
        <f t="shared" si="38"/>
        <v>170.12252063636961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</v>
      </c>
      <c r="BY35" s="13">
        <f>IF('Données projet'!$A$114&gt;35,BY34+BX35-CG34,IF(A35&lt;'Données projet'!$A$114,$BV$205^A35,IF(A35='Données projet'!$A$114,'Données projet'!$B$114,BY34+BX35-CG34)))</f>
        <v>194</v>
      </c>
      <c r="BZ35" s="14">
        <f>BY35*VLOOKUP('Données projet'!$B$12,Paramètres!$A$1:$I$89,3,0)*VLOOKUP('Données projet'!$B$12,Paramètres!$A$1:$I$89,5,0)</f>
        <v>90.792000000000002</v>
      </c>
      <c r="CA35" s="14">
        <f t="shared" si="39"/>
        <v>24.756138813110173</v>
      </c>
      <c r="CB35" s="22">
        <f t="shared" si="10"/>
        <v>201.24634176616689</v>
      </c>
      <c r="CC35" s="62">
        <f t="shared" si="11"/>
        <v>465.78121813045578</v>
      </c>
      <c r="CD35" s="62">
        <f ca="1">AVERAGE(OFFSET($CC$3,0,0,'Données projet'!$E$12+1,1))-AVERAGE(OFFSET($H$3,0,0,'Données projet'!$E$12+1,1))</f>
        <v>276.21705775006376</v>
      </c>
      <c r="CE35" s="62">
        <f t="shared" si="40"/>
        <v>234.24947280606958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14.6</v>
      </c>
      <c r="CT35" s="13">
        <f>IF('Données projet'!$A$140&gt;35,CT34+CS35-DB34,IF(A35&lt;'Données projet'!$A$140,$CQ$205^A35,IF(A35='Données projet'!$A$140,'Données projet'!$B$140,CT34+CS35-DB34)))</f>
        <v>189.20000000000005</v>
      </c>
      <c r="CU35" s="18">
        <f>CT35*VLOOKUP('Données projet'!$B$13,Paramètres!$A$1:$I$89,3,0)*VLOOKUP('Données projet'!$B$13,Paramètres!$A$1:$I$89,5,0)</f>
        <v>113.14160000000004</v>
      </c>
      <c r="CV35" s="14">
        <f t="shared" si="41"/>
        <v>30.069952587742019</v>
      </c>
      <c r="CW35" s="22">
        <f t="shared" si="13"/>
        <v>249.42678742365072</v>
      </c>
      <c r="CX35" s="62">
        <f t="shared" si="14"/>
        <v>513.96166378793964</v>
      </c>
      <c r="CY35" s="62">
        <f ca="1">AVERAGE(OFFSET($CX$3,0,0,'Données projet'!$E$13+1,1))-AVERAGE(OFFSET($H$3,0,0,'Données projet'!$E$13+1,1))</f>
        <v>376.32432344617206</v>
      </c>
      <c r="CZ35" s="62">
        <f t="shared" si="42"/>
        <v>302.77411534670466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1.5849159323419404</v>
      </c>
      <c r="DG35" s="23">
        <f>EXP(-LN(2)/25)*DG34+(1-EXP(-LN(2)/25))/(LN(2)/25)*Calculateur!DB35*Calculateur!DD35*VLOOKUP('Données projet'!$B$13,Paramètres!$A$1:$I$89,3,0)*0.475*44/12</f>
        <v>3.4848754315940047</v>
      </c>
      <c r="DH35" s="23">
        <f>EXP(-LN(2)/2)*DH34+(1-EXP(-LN(2)/2))/(LN(2)/2)*DB35*DE35*VLOOKUP('Données projet'!$B$13,Paramètres!$A$1:$I$89,3,0)*0.475*44/12</f>
        <v>0.3385374569604136</v>
      </c>
      <c r="DI35" s="24">
        <f t="shared" si="15"/>
        <v>5.408328820896358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62.145875372078798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2.75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10.083333333333334</v>
      </c>
      <c r="H36" s="70">
        <f t="shared" si="1"/>
        <v>216.33333333333334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72.118799999999993</v>
      </c>
      <c r="P36" s="14">
        <f t="shared" si="33"/>
        <v>20.198713641862817</v>
      </c>
      <c r="Q36" s="22">
        <f t="shared" si="53"/>
        <v>160.78633625957769</v>
      </c>
      <c r="R36" s="62">
        <f t="shared" si="0"/>
        <v>425.82080146857516</v>
      </c>
      <c r="S36" s="62">
        <f ca="1">AVERAGE(OFFSET($R$3,0,0,'Données projet'!$E$9+1,1))-AVERAGE(OFFSET($H$3,0,0,'Données projet'!$E$9+1,1))</f>
        <v>338.33619350800484</v>
      </c>
      <c r="T36" s="62">
        <f t="shared" si="34"/>
        <v>173.80539144233424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5.8</v>
      </c>
      <c r="AI36" s="14">
        <f>IF('Données projet'!$A$62&gt;35,AI35+AH36-AQ35,IF(A36&lt;'Données projet'!$A$62,$AF$205^A36,IF(A36='Données projet'!$A$62,'Données projet'!$B$62,AI35+AH36-AQ35)))</f>
        <v>204.40000000000012</v>
      </c>
      <c r="AJ36" s="14">
        <f>AI36*VLOOKUP('Données projet'!$B$10,Paramètres!$A$1:$I$89,3,0)*VLOOKUP('Données projet'!$B$10,Paramètres!$A$1:$I$89,5,0)</f>
        <v>184.9411200000001</v>
      </c>
      <c r="AK36" s="14">
        <f t="shared" si="35"/>
        <v>46.419755730249477</v>
      </c>
      <c r="AL36" s="22">
        <f t="shared" si="4"/>
        <v>402.95352523018465</v>
      </c>
      <c r="AM36" s="62">
        <f t="shared" si="5"/>
        <v>667.98799043918211</v>
      </c>
      <c r="AN36" s="62">
        <f ca="1">AVERAGE(OFFSET($AM$3,0,0,'Données projet'!$E$10+1,1))-AVERAGE(OFFSET($H$3,0,0,'Données projet'!$E$10+1,1))</f>
        <v>308.01218908312546</v>
      </c>
      <c r="AO36" s="62">
        <f t="shared" si="36"/>
        <v>433.94915035190684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4.1641789941192329</v>
      </c>
      <c r="AV36" s="23">
        <f>EXP(-LN(2)/25)*AV35+(1-EXP(-LN(2)/25))/(LN(2)/25)*Calculateur!AQ36*Calculateur!AS36*VLOOKUP('Données projet'!$B$10,Paramètres!$A$1:$I$89,3,0)*0.475*44/12</f>
        <v>7.1868345115573433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11.351013505676576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</v>
      </c>
      <c r="BD36" s="13">
        <f>IF('Données projet'!$A$88&gt;35,BD35+BC36-BL35,IF(A36&lt;'Données projet'!$A$88,$BA$205^A36,IF(A36='Données projet'!$A$88,'Données projet'!$B$88,BD35+BC36-BL35)))</f>
        <v>68.999999999999986</v>
      </c>
      <c r="BE36" s="14">
        <f>BD36*VLOOKUP('Données projet'!$B$11,Paramètres!$A$1:$I$89,3,0)*VLOOKUP('Données projet'!$B$11,Paramètres!$A$1:$I$89,5,0)</f>
        <v>69.965999999999994</v>
      </c>
      <c r="BF36" s="14">
        <f t="shared" si="37"/>
        <v>19.665013934342461</v>
      </c>
      <c r="BG36" s="22">
        <f t="shared" si="7"/>
        <v>156.10734926897979</v>
      </c>
      <c r="BH36" s="62">
        <f t="shared" si="8"/>
        <v>421.14181447797728</v>
      </c>
      <c r="BI36" s="62">
        <f ca="1">AVERAGE(OFFSET($BH$3,0,0,'Données projet'!$E$11+1,1))-AVERAGE(OFFSET($H$3,0,0,'Données projet'!$E$11+1,1))</f>
        <v>329.96352570744875</v>
      </c>
      <c r="BJ36" s="62">
        <f t="shared" si="38"/>
        <v>170.12252063636961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</v>
      </c>
      <c r="BY36" s="13">
        <f>IF('Données projet'!$A$114&gt;35,BY35+BX36-CG35,IF(A36&lt;'Données projet'!$A$114,$BV$205^A36,IF(A36='Données projet'!$A$114,'Données projet'!$B$114,BY35+BX36-CG35)))</f>
        <v>201</v>
      </c>
      <c r="BZ36" s="14">
        <f>BY36*VLOOKUP('Données projet'!$B$12,Paramètres!$A$1:$I$89,3,0)*VLOOKUP('Données projet'!$B$12,Paramètres!$A$1:$I$89,5,0)</f>
        <v>94.067999999999998</v>
      </c>
      <c r="CA36" s="14">
        <f t="shared" si="39"/>
        <v>25.543790108694029</v>
      </c>
      <c r="CB36" s="22">
        <f t="shared" si="10"/>
        <v>208.32386777264207</v>
      </c>
      <c r="CC36" s="62">
        <f t="shared" si="11"/>
        <v>473.35833298163953</v>
      </c>
      <c r="CD36" s="62">
        <f ca="1">AVERAGE(OFFSET($CC$3,0,0,'Données projet'!$E$12+1,1))-AVERAGE(OFFSET($H$3,0,0,'Données projet'!$E$12+1,1))</f>
        <v>276.21705775006376</v>
      </c>
      <c r="CE36" s="62">
        <f t="shared" si="40"/>
        <v>234.24947280606958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14.6</v>
      </c>
      <c r="CT36" s="13">
        <f>IF('Données projet'!$A$140&gt;35,CT35+CS36-DB35,IF(A36&lt;'Données projet'!$A$140,$CQ$205^A36,IF(A36='Données projet'!$A$140,'Données projet'!$B$140,CT35+CS36-DB35)))</f>
        <v>203.80000000000004</v>
      </c>
      <c r="CU36" s="18">
        <f>CT36*VLOOKUP('Données projet'!$B$13,Paramètres!$A$1:$I$89,3,0)*VLOOKUP('Données projet'!$B$13,Paramètres!$A$1:$I$89,5,0)</f>
        <v>121.87240000000003</v>
      </c>
      <c r="CV36" s="14">
        <f t="shared" si="41"/>
        <v>32.111311550408985</v>
      </c>
      <c r="CW36" s="22">
        <f t="shared" si="13"/>
        <v>268.1882976169623</v>
      </c>
      <c r="CX36" s="62">
        <f t="shared" si="14"/>
        <v>533.22276282595976</v>
      </c>
      <c r="CY36" s="62">
        <f ca="1">AVERAGE(OFFSET($CX$3,0,0,'Données projet'!$E$13+1,1))-AVERAGE(OFFSET($H$3,0,0,'Données projet'!$E$13+1,1))</f>
        <v>376.32432344617206</v>
      </c>
      <c r="CZ36" s="62">
        <f t="shared" si="42"/>
        <v>302.77411534670466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1.5538366976119797</v>
      </c>
      <c r="DG36" s="23">
        <f>EXP(-LN(2)/25)*DG35+(1-EXP(-LN(2)/25))/(LN(2)/25)*Calculateur!DB36*Calculateur!DD36*VLOOKUP('Données projet'!$B$13,Paramètres!$A$1:$I$89,3,0)*0.475*44/12</f>
        <v>3.3895813296554325</v>
      </c>
      <c r="DH36" s="23">
        <f>EXP(-LN(2)/2)*DH35+(1-EXP(-LN(2)/2))/(LN(2)/2)*DB36*DE36*VLOOKUP('Données projet'!$B$13,Paramètres!$A$1:$I$89,3,0)*0.475*44/12</f>
        <v>0.23938213150235743</v>
      </c>
      <c r="DI36" s="24">
        <f t="shared" si="15"/>
        <v>5.1828001587697701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62.28212687518112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2.75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10.083333333333334</v>
      </c>
      <c r="H37" s="70">
        <f t="shared" si="1"/>
        <v>216.33333333333334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77.344799999999992</v>
      </c>
      <c r="P37" s="14">
        <f t="shared" si="33"/>
        <v>21.486704106300962</v>
      </c>
      <c r="Q37" s="22">
        <f t="shared" si="53"/>
        <v>172.13153631847419</v>
      </c>
      <c r="R37" s="62">
        <f t="shared" si="0"/>
        <v>437.65692362263781</v>
      </c>
      <c r="S37" s="62">
        <f ca="1">AVERAGE(OFFSET($R$3,0,0,'Données projet'!$E$9+1,1))-AVERAGE(OFFSET($H$3,0,0,'Données projet'!$E$9+1,1))</f>
        <v>338.33619350800484</v>
      </c>
      <c r="T37" s="62">
        <f t="shared" si="34"/>
        <v>173.80539144233424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5.8</v>
      </c>
      <c r="AI37" s="14">
        <f>IF('Données projet'!$A$62&gt;35,AI36+AH37-AQ36,IF(A37&lt;'Données projet'!$A$62,$AF$205^A37,IF(A37='Données projet'!$A$62,'Données projet'!$B$62,AI36+AH37-AQ36)))</f>
        <v>210.20000000000013</v>
      </c>
      <c r="AJ37" s="14">
        <f>AI37*VLOOKUP('Données projet'!$B$10,Paramètres!$A$1:$I$89,3,0)*VLOOKUP('Données projet'!$B$10,Paramètres!$A$1:$I$89,5,0)</f>
        <v>190.18896000000012</v>
      </c>
      <c r="AK37" s="14">
        <f t="shared" si="35"/>
        <v>47.581726807151739</v>
      </c>
      <c r="AL37" s="22">
        <f t="shared" si="4"/>
        <v>414.1172795224561</v>
      </c>
      <c r="AM37" s="62">
        <f t="shared" si="5"/>
        <v>679.64266682661969</v>
      </c>
      <c r="AN37" s="62">
        <f ca="1">AVERAGE(OFFSET($AM$3,0,0,'Données projet'!$E$10+1,1))-AVERAGE(OFFSET($H$3,0,0,'Données projet'!$E$10+1,1))</f>
        <v>308.01218908312546</v>
      </c>
      <c r="AO37" s="62">
        <f t="shared" si="36"/>
        <v>433.94915035190684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4.0825219839429474</v>
      </c>
      <c r="AV37" s="23">
        <f>EXP(-LN(2)/25)*AV36+(1-EXP(-LN(2)/25))/(LN(2)/25)*Calculateur!AQ37*Calculateur!AS37*VLOOKUP('Données projet'!$B$10,Paramètres!$A$1:$I$89,3,0)*0.475*44/12</f>
        <v>6.9903101438996069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11.072832127842554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</v>
      </c>
      <c r="BD37" s="13">
        <f>IF('Données projet'!$A$88&gt;35,BD36+BC37-BL36,IF(A37&lt;'Données projet'!$A$88,$BA$205^A37,IF(A37='Données projet'!$A$88,'Données projet'!$B$88,BD36+BC37-BL36)))</f>
        <v>73.999999999999986</v>
      </c>
      <c r="BE37" s="14">
        <f>BD37*VLOOKUP('Données projet'!$B$11,Paramètres!$A$1:$I$89,3,0)*VLOOKUP('Données projet'!$B$11,Paramètres!$A$1:$I$89,5,0)</f>
        <v>75.035999999999987</v>
      </c>
      <c r="BF37" s="14">
        <f t="shared" si="37"/>
        <v>20.918972521981534</v>
      </c>
      <c r="BG37" s="22">
        <f t="shared" si="7"/>
        <v>167.12157714245114</v>
      </c>
      <c r="BH37" s="62">
        <f t="shared" si="8"/>
        <v>432.64696444661473</v>
      </c>
      <c r="BI37" s="62">
        <f ca="1">AVERAGE(OFFSET($BH$3,0,0,'Données projet'!$E$11+1,1))-AVERAGE(OFFSET($H$3,0,0,'Données projet'!$E$11+1,1))</f>
        <v>329.96352570744875</v>
      </c>
      <c r="BJ37" s="62">
        <f t="shared" si="38"/>
        <v>170.12252063636961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</v>
      </c>
      <c r="BY37" s="13">
        <f>IF('Données projet'!$A$114&gt;35,BY36+BX37-CG36,IF(A37&lt;'Données projet'!$A$114,$BV$205^A37,IF(A37='Données projet'!$A$114,'Données projet'!$B$114,BY36+BX37-CG36)))</f>
        <v>208</v>
      </c>
      <c r="BZ37" s="14">
        <f>BY37*VLOOKUP('Données projet'!$B$12,Paramètres!$A$1:$I$89,3,0)*VLOOKUP('Données projet'!$B$12,Paramètres!$A$1:$I$89,5,0)</f>
        <v>97.343999999999994</v>
      </c>
      <c r="CA37" s="14">
        <f t="shared" si="39"/>
        <v>26.328254259866451</v>
      </c>
      <c r="CB37" s="22">
        <f t="shared" si="10"/>
        <v>215.39584283593408</v>
      </c>
      <c r="CC37" s="62">
        <f t="shared" si="11"/>
        <v>480.92123014009769</v>
      </c>
      <c r="CD37" s="62">
        <f ca="1">AVERAGE(OFFSET($CC$3,0,0,'Données projet'!$E$12+1,1))-AVERAGE(OFFSET($H$3,0,0,'Données projet'!$E$12+1,1))</f>
        <v>276.21705775006376</v>
      </c>
      <c r="CE37" s="62">
        <f t="shared" si="40"/>
        <v>234.24947280606958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14.6</v>
      </c>
      <c r="CT37" s="13">
        <f>IF('Données projet'!$A$140&gt;35,CT36+CS37-DB36,IF(A37&lt;'Données projet'!$A$140,$CQ$205^A37,IF(A37='Données projet'!$A$140,'Données projet'!$B$140,CT36+CS37-DB36)))</f>
        <v>218.40000000000003</v>
      </c>
      <c r="CU37" s="18">
        <f>CT37*VLOOKUP('Données projet'!$B$13,Paramètres!$A$1:$I$89,3,0)*VLOOKUP('Données projet'!$B$13,Paramètres!$A$1:$I$89,5,0)</f>
        <v>130.60320000000004</v>
      </c>
      <c r="CV37" s="14">
        <f t="shared" si="41"/>
        <v>34.135703567016428</v>
      </c>
      <c r="CW37" s="22">
        <f t="shared" si="13"/>
        <v>286.92025704588701</v>
      </c>
      <c r="CX37" s="62">
        <f t="shared" si="14"/>
        <v>552.44564435005054</v>
      </c>
      <c r="CY37" s="62">
        <f ca="1">AVERAGE(OFFSET($CX$3,0,0,'Données projet'!$E$13+1,1))-AVERAGE(OFFSET($H$3,0,0,'Données projet'!$E$13+1,1))</f>
        <v>376.32432344617206</v>
      </c>
      <c r="CZ37" s="62">
        <f t="shared" si="42"/>
        <v>302.77411534670466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1.5233669077186121</v>
      </c>
      <c r="DG37" s="23">
        <f>EXP(-LN(2)/25)*DG36+(1-EXP(-LN(2)/25))/(LN(2)/25)*Calculateur!DB37*Calculateur!DD37*VLOOKUP('Données projet'!$B$13,Paramètres!$A$1:$I$89,3,0)*0.475*44/12</f>
        <v>3.2968930499456697</v>
      </c>
      <c r="DH37" s="23">
        <f>EXP(-LN(2)/2)*DH36+(1-EXP(-LN(2)/2))/(LN(2)/2)*DB37*DE37*VLOOKUP('Données projet'!$B$13,Paramètres!$A$1:$I$89,3,0)*0.475*44/12</f>
        <v>0.16926872848020683</v>
      </c>
      <c r="DI37" s="24">
        <f t="shared" si="15"/>
        <v>4.9895286861444887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62.416014719317346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2.75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10.083333333333334</v>
      </c>
      <c r="H38" s="70">
        <f t="shared" si="1"/>
        <v>216.33333333333334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82.570799999999991</v>
      </c>
      <c r="P38" s="14">
        <f t="shared" si="33"/>
        <v>22.764596322636297</v>
      </c>
      <c r="Q38" s="22">
        <f t="shared" si="53"/>
        <v>183.4591485952582</v>
      </c>
      <c r="R38" s="62">
        <f t="shared" si="0"/>
        <v>449.46694159377421</v>
      </c>
      <c r="S38" s="62">
        <f ca="1">AVERAGE(OFFSET($R$3,0,0,'Données projet'!$E$9+1,1))-AVERAGE(OFFSET($H$3,0,0,'Données projet'!$E$9+1,1))</f>
        <v>338.33619350800484</v>
      </c>
      <c r="T38" s="62">
        <f t="shared" si="34"/>
        <v>173.80539144233424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216</v>
      </c>
      <c r="AG38" s="13">
        <f>VLOOKUP(A38,'Données projet'!$A$61:$I$81,9,0)</f>
        <v>5.8</v>
      </c>
      <c r="AH38" s="13">
        <f t="array" ref="AH38">INDEX(AG:AG,MIN(IF(ISNUMBER(AG38:AG234),ROW(AG38:AG234),"")))</f>
        <v>5.8</v>
      </c>
      <c r="AI38" s="14">
        <f>IF('Données projet'!$A$62&gt;35,AI37+AH38-AQ37,IF(A38&lt;'Données projet'!$A$62,$AF$205^A38,IF(A38='Données projet'!$A$62,'Données projet'!$B$62,AI37+AH38-AQ37)))</f>
        <v>216.00000000000014</v>
      </c>
      <c r="AJ38" s="14">
        <f>AI38*VLOOKUP('Données projet'!$B$10,Paramètres!$A$1:$I$89,3,0)*VLOOKUP('Données projet'!$B$10,Paramètres!$A$1:$I$89,5,0)</f>
        <v>195.43680000000012</v>
      </c>
      <c r="AK38" s="14">
        <f t="shared" si="35"/>
        <v>48.739971354487892</v>
      </c>
      <c r="AL38" s="22">
        <f t="shared" si="4"/>
        <v>425.27454344239999</v>
      </c>
      <c r="AM38" s="62">
        <f t="shared" si="5"/>
        <v>691.28233644091597</v>
      </c>
      <c r="AN38" s="62">
        <f ca="1">AVERAGE(OFFSET($AM$3,0,0,'Données projet'!$E$10+1,1))-AVERAGE(OFFSET($H$3,0,0,'Données projet'!$E$10+1,1))</f>
        <v>308.01218908312546</v>
      </c>
      <c r="AO38" s="62">
        <f t="shared" si="36"/>
        <v>433.94915035190684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7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4.0024662179303601</v>
      </c>
      <c r="AV38" s="23">
        <f>EXP(-LN(2)/25)*AV37+(1-EXP(-LN(2)/25))/(LN(2)/25)*Calculateur!AQ38*Calculateur!AS38*VLOOKUP('Données projet'!$B$10,Paramètres!$A$1:$I$89,3,0)*0.475*44/12</f>
        <v>6.7991597454102379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10.801625963340598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79</v>
      </c>
      <c r="BB38" s="13">
        <f>VLOOKUP(A38,'Données projet'!$A$87:$I$107,9,0)</f>
        <v>5</v>
      </c>
      <c r="BC38" s="13">
        <f t="array" ref="BC38">INDEX(BB:BB,MIN(IF(ISNUMBER(BB38:BB234),ROW(BB38:BB234),"")))</f>
        <v>5</v>
      </c>
      <c r="BD38" s="13">
        <f>IF('Données projet'!$A$88&gt;35,BD37+BC38-BL37,IF(A38&lt;'Données projet'!$A$88,$BA$205^A38,IF(A38='Données projet'!$A$88,'Données projet'!$B$88,BD37+BC38-BL37)))</f>
        <v>78.999999999999986</v>
      </c>
      <c r="BE38" s="14">
        <f>BD38*VLOOKUP('Données projet'!$B$11,Paramètres!$A$1:$I$89,3,0)*VLOOKUP('Données projet'!$B$11,Paramètres!$A$1:$I$89,5,0)</f>
        <v>80.105999999999995</v>
      </c>
      <c r="BF38" s="14">
        <f t="shared" si="37"/>
        <v>22.163099682076496</v>
      </c>
      <c r="BG38" s="22">
        <f t="shared" si="7"/>
        <v>178.11868194628323</v>
      </c>
      <c r="BH38" s="62">
        <f t="shared" si="8"/>
        <v>444.12647494479921</v>
      </c>
      <c r="BI38" s="62">
        <f ca="1">AVERAGE(OFFSET($BH$3,0,0,'Données projet'!$E$11+1,1))-AVERAGE(OFFSET($H$3,0,0,'Données projet'!$E$11+1,1))</f>
        <v>329.96352570744875</v>
      </c>
      <c r="BJ38" s="62">
        <f t="shared" si="38"/>
        <v>170.12252063636961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13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7</v>
      </c>
      <c r="BY38" s="13">
        <f>IF('Données projet'!$A$114&gt;35,BY37+BX38-CG37,IF(A38&lt;'Données projet'!$A$114,$BV$205^A38,IF(A38='Données projet'!$A$114,'Données projet'!$B$114,BY37+BX38-CG37)))</f>
        <v>215</v>
      </c>
      <c r="BZ38" s="14">
        <f>BY38*VLOOKUP('Données projet'!$B$12,Paramètres!$A$1:$I$89,3,0)*VLOOKUP('Données projet'!$B$12,Paramètres!$A$1:$I$89,5,0)</f>
        <v>100.61999999999999</v>
      </c>
      <c r="CA38" s="14">
        <f t="shared" si="39"/>
        <v>27.10965082293415</v>
      </c>
      <c r="CB38" s="22">
        <f t="shared" si="10"/>
        <v>222.46247518327695</v>
      </c>
      <c r="CC38" s="62">
        <f t="shared" si="11"/>
        <v>488.4702681817929</v>
      </c>
      <c r="CD38" s="62">
        <f ca="1">AVERAGE(OFFSET($CC$3,0,0,'Données projet'!$E$12+1,1))-AVERAGE(OFFSET($H$3,0,0,'Données projet'!$E$12+1,1))</f>
        <v>276.21705775006376</v>
      </c>
      <c r="CE38" s="62">
        <f t="shared" si="40"/>
        <v>234.24947280606958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233</v>
      </c>
      <c r="CR38" s="13">
        <f>VLOOKUP(A38,'Données projet'!$A$139:$I$159,9,0)</f>
        <v>14.6</v>
      </c>
      <c r="CS38" s="13">
        <f t="array" ref="CS38">INDEX(CR:CR,MIN(IF(ISNUMBER(CR38:CR234),ROW(CR38:CR234),"")))</f>
        <v>14.6</v>
      </c>
      <c r="CT38" s="13">
        <f>IF('Données projet'!$A$140&gt;35,CT37+CS38-DB37,IF(A38&lt;'Données projet'!$A$140,$CQ$205^A38,IF(A38='Données projet'!$A$140,'Données projet'!$B$140,CT37+CS38-DB37)))</f>
        <v>233.00000000000003</v>
      </c>
      <c r="CU38" s="18">
        <f>CT38*VLOOKUP('Données projet'!$B$13,Paramètres!$A$1:$I$89,3,0)*VLOOKUP('Données projet'!$B$13,Paramètres!$A$1:$I$89,5,0)</f>
        <v>139.33400000000003</v>
      </c>
      <c r="CV38" s="14">
        <f t="shared" si="41"/>
        <v>36.144391930570897</v>
      </c>
      <c r="CW38" s="22">
        <f t="shared" si="13"/>
        <v>305.62486594574438</v>
      </c>
      <c r="CX38" s="62">
        <f t="shared" si="14"/>
        <v>571.63265894426036</v>
      </c>
      <c r="CY38" s="62">
        <f ca="1">AVERAGE(OFFSET($CX$3,0,0,'Données projet'!$E$13+1,1))-AVERAGE(OFFSET($H$3,0,0,'Données projet'!$E$13+1,1))</f>
        <v>376.32432344617206</v>
      </c>
      <c r="CZ38" s="62">
        <f t="shared" si="42"/>
        <v>302.77411534670466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41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1.4934946118203167</v>
      </c>
      <c r="DG38" s="23">
        <f>EXP(-LN(2)/25)*DG37+(1-EXP(-LN(2)/25))/(LN(2)/25)*Calculateur!DB38*Calculateur!DD38*VLOOKUP('Données projet'!$B$13,Paramètres!$A$1:$I$89,3,0)*0.475*44/12</f>
        <v>3.2067393361188348</v>
      </c>
      <c r="DH38" s="23">
        <f>EXP(-LN(2)/2)*DH37+(1-EXP(-LN(2)/2))/(LN(2)/2)*DB38*DE38*VLOOKUP('Données projet'!$B$13,Paramètres!$A$1:$I$89,3,0)*0.475*44/12</f>
        <v>0.11969106575117874</v>
      </c>
      <c r="DI38" s="24">
        <f t="shared" si="15"/>
        <v>4.8199250136903311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62.547579908686174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2.75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10.083333333333334</v>
      </c>
      <c r="H39" s="70">
        <f t="shared" si="1"/>
        <v>216.33333333333334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74.627279999999999</v>
      </c>
      <c r="P39" s="14">
        <f t="shared" si="33"/>
        <v>20.81825843795977</v>
      </c>
      <c r="Q39" s="22">
        <f t="shared" si="53"/>
        <v>166.23431277944658</v>
      </c>
      <c r="R39" s="62">
        <f t="shared" si="0"/>
        <v>432.71614281201551</v>
      </c>
      <c r="S39" s="62">
        <f ca="1">AVERAGE(OFFSET($R$3,0,0,'Données projet'!$E$9+1,1))-AVERAGE(OFFSET($H$3,0,0,'Données projet'!$E$9+1,1))</f>
        <v>338.33619350800484</v>
      </c>
      <c r="T39" s="62">
        <f t="shared" si="34"/>
        <v>173.80539144233424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4.8</v>
      </c>
      <c r="AI39" s="14">
        <f>IF('Données projet'!$A$62&gt;35,AI38+AH39-AQ38,IF(A39&lt;'Données projet'!$A$62,$AF$205^A39,IF(A39='Données projet'!$A$62,'Données projet'!$B$62,AI38+AH39-AQ38)))</f>
        <v>213.80000000000015</v>
      </c>
      <c r="AJ39" s="14">
        <f>AI39*VLOOKUP('Données projet'!$B$10,Paramètres!$A$1:$I$89,3,0)*VLOOKUP('Données projet'!$B$10,Paramètres!$A$1:$I$89,5,0)</f>
        <v>193.44624000000013</v>
      </c>
      <c r="AK39" s="14">
        <f t="shared" si="35"/>
        <v>48.301068656218547</v>
      </c>
      <c r="AL39" s="22">
        <f t="shared" si="4"/>
        <v>421.04322924291415</v>
      </c>
      <c r="AM39" s="62">
        <f t="shared" si="5"/>
        <v>687.52505927548304</v>
      </c>
      <c r="AN39" s="62">
        <f ca="1">AVERAGE(OFFSET($AM$3,0,0,'Données projet'!$E$10+1,1))-AVERAGE(OFFSET($H$3,0,0,'Données projet'!$E$10+1,1))</f>
        <v>308.01218908312546</v>
      </c>
      <c r="AO39" s="62">
        <f t="shared" si="36"/>
        <v>433.94915035190684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3.9239802966600839</v>
      </c>
      <c r="AV39" s="23">
        <f>EXP(-LN(2)/25)*AV38+(1-EXP(-LN(2)/25))/(LN(2)/25)*Calculateur!AQ39*Calculateur!AS39*VLOOKUP('Données projet'!$B$10,Paramètres!$A$1:$I$89,3,0)*0.475*44/12</f>
        <v>6.6132363646197234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10.537216661279807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5.4</v>
      </c>
      <c r="BD39" s="13">
        <f>IF('Données projet'!$A$88&gt;35,BD38+BC39-BL38,IF(A39&lt;'Données projet'!$A$88,$BA$205^A39,IF(A39='Données projet'!$A$88,'Données projet'!$B$88,BD38+BC39-BL38)))</f>
        <v>71.399999999999991</v>
      </c>
      <c r="BE39" s="14">
        <f>BD39*VLOOKUP('Données projet'!$B$11,Paramètres!$A$1:$I$89,3,0)*VLOOKUP('Données projet'!$B$11,Paramètres!$A$1:$I$89,5,0)</f>
        <v>72.399599999999992</v>
      </c>
      <c r="BF39" s="14">
        <f t="shared" si="37"/>
        <v>20.268188832715463</v>
      </c>
      <c r="BG39" s="22">
        <f t="shared" si="7"/>
        <v>161.3963988836461</v>
      </c>
      <c r="BH39" s="62">
        <f t="shared" si="8"/>
        <v>427.87822891621499</v>
      </c>
      <c r="BI39" s="62">
        <f ca="1">AVERAGE(OFFSET($BH$3,0,0,'Données projet'!$E$11+1,1))-AVERAGE(OFFSET($H$3,0,0,'Données projet'!$E$11+1,1))</f>
        <v>329.96352570744875</v>
      </c>
      <c r="BJ39" s="62">
        <f t="shared" si="38"/>
        <v>170.12252063636961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</v>
      </c>
      <c r="BY39" s="13">
        <f>IF('Données projet'!$A$114&gt;35,BY38+BX39-CG38,IF(A39&lt;'Données projet'!$A$114,$BV$205^A39,IF(A39='Données projet'!$A$114,'Données projet'!$B$114,BY38+BX39-CG38)))</f>
        <v>222</v>
      </c>
      <c r="BZ39" s="14">
        <f>BY39*VLOOKUP('Données projet'!$B$12,Paramètres!$A$1:$I$89,3,0)*VLOOKUP('Données projet'!$B$12,Paramètres!$A$1:$I$89,5,0)</f>
        <v>103.896</v>
      </c>
      <c r="CA39" s="14">
        <f t="shared" si="39"/>
        <v>27.888091127225799</v>
      </c>
      <c r="CB39" s="22">
        <f t="shared" si="10"/>
        <v>229.52395871325157</v>
      </c>
      <c r="CC39" s="62">
        <f t="shared" si="11"/>
        <v>496.0057887458205</v>
      </c>
      <c r="CD39" s="62">
        <f ca="1">AVERAGE(OFFSET($CC$3,0,0,'Données projet'!$E$12+1,1))-AVERAGE(OFFSET($H$3,0,0,'Données projet'!$E$12+1,1))</f>
        <v>276.21705775006376</v>
      </c>
      <c r="CE39" s="62">
        <f t="shared" si="40"/>
        <v>234.24947280606958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14.4</v>
      </c>
      <c r="CT39" s="13">
        <f>IF('Données projet'!$A$140&gt;35,CT38+CS39-DB38,IF(A39&lt;'Données projet'!$A$140,$CQ$205^A39,IF(A39='Données projet'!$A$140,'Données projet'!$B$140,CT38+CS39-DB38)))</f>
        <v>206.40000000000003</v>
      </c>
      <c r="CU39" s="18">
        <f>CT39*VLOOKUP('Données projet'!$B$13,Paramètres!$A$1:$I$89,3,0)*VLOOKUP('Données projet'!$B$13,Paramètres!$A$1:$I$89,5,0)</f>
        <v>123.42720000000003</v>
      </c>
      <c r="CV39" s="14">
        <f t="shared" si="41"/>
        <v>32.473022671122074</v>
      </c>
      <c r="CW39" s="22">
        <f t="shared" si="13"/>
        <v>271.5262211522043</v>
      </c>
      <c r="CX39" s="62">
        <f t="shared" si="14"/>
        <v>538.00805118477319</v>
      </c>
      <c r="CY39" s="62">
        <f ca="1">AVERAGE(OFFSET($CX$3,0,0,'Données projet'!$E$13+1,1))-AVERAGE(OFFSET($H$3,0,0,'Données projet'!$E$13+1,1))</f>
        <v>376.32432344617206</v>
      </c>
      <c r="CZ39" s="62">
        <f t="shared" si="42"/>
        <v>302.77411534670466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1.4642080934242856</v>
      </c>
      <c r="DG39" s="23">
        <f>EXP(-LN(2)/25)*DG38+(1-EXP(-LN(2)/25))/(LN(2)/25)*Calculateur!DB39*Calculateur!DD39*VLOOKUP('Données projet'!$B$13,Paramètres!$A$1:$I$89,3,0)*0.475*44/12</f>
        <v>3.1190508803375727</v>
      </c>
      <c r="DH39" s="23">
        <f>EXP(-LN(2)/2)*DH38+(1-EXP(-LN(2)/2))/(LN(2)/2)*DB39*DE39*VLOOKUP('Données projet'!$B$13,Paramètres!$A$1:$I$89,3,0)*0.475*44/12</f>
        <v>8.4634364240103427E-2</v>
      </c>
      <c r="DI39" s="24">
        <f t="shared" si="15"/>
        <v>4.6678933380019618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62.676862736155165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2.75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10.083333333333334</v>
      </c>
      <c r="H40" s="70">
        <f t="shared" si="1"/>
        <v>216.33333333333334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80.271360000000001</v>
      </c>
      <c r="P40" s="14">
        <f t="shared" si="33"/>
        <v>22.203519977650487</v>
      </c>
      <c r="Q40" s="22">
        <f t="shared" si="53"/>
        <v>178.47708262774123</v>
      </c>
      <c r="R40" s="62">
        <f t="shared" si="0"/>
        <v>445.42472621161039</v>
      </c>
      <c r="S40" s="62">
        <f ca="1">AVERAGE(OFFSET($R$3,0,0,'Données projet'!$E$9+1,1))-AVERAGE(OFFSET($H$3,0,0,'Données projet'!$E$9+1,1))</f>
        <v>338.33619350800484</v>
      </c>
      <c r="T40" s="62">
        <f t="shared" si="34"/>
        <v>173.80539144233424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4.8</v>
      </c>
      <c r="AI40" s="14">
        <f>IF('Données projet'!$A$62&gt;35,AI39+AH40-AQ39,IF(A40&lt;'Données projet'!$A$62,$AF$205^A40,IF(A40='Données projet'!$A$62,'Données projet'!$B$62,AI39+AH40-AQ39)))</f>
        <v>218.60000000000016</v>
      </c>
      <c r="AJ40" s="14">
        <f>AI40*VLOOKUP('Données projet'!$B$10,Paramètres!$A$1:$I$89,3,0)*VLOOKUP('Données projet'!$B$10,Paramètres!$A$1:$I$89,5,0)</f>
        <v>197.78928000000013</v>
      </c>
      <c r="AK40" s="14">
        <f t="shared" si="35"/>
        <v>49.258004531609984</v>
      </c>
      <c r="AL40" s="22">
        <f t="shared" si="4"/>
        <v>430.2740205592209</v>
      </c>
      <c r="AM40" s="62">
        <f t="shared" si="5"/>
        <v>697.22166414309004</v>
      </c>
      <c r="AN40" s="62">
        <f ca="1">AVERAGE(OFFSET($AM$3,0,0,'Données projet'!$E$10+1,1))-AVERAGE(OFFSET($H$3,0,0,'Données projet'!$E$10+1,1))</f>
        <v>308.01218908312546</v>
      </c>
      <c r="AO40" s="62">
        <f t="shared" si="36"/>
        <v>433.94915035190684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3.8470334364342329</v>
      </c>
      <c r="AV40" s="23">
        <f>EXP(-LN(2)/25)*AV39+(1-EXP(-LN(2)/25))/(LN(2)/25)*Calculateur!AQ40*Calculateur!AS40*VLOOKUP('Données projet'!$B$10,Paramètres!$A$1:$I$89,3,0)*0.475*44/12</f>
        <v>6.4323970684542111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10.279430504888444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</v>
      </c>
      <c r="BD40" s="13">
        <f>IF('Données projet'!$A$88&gt;35,BD39+BC40-BL39,IF(A40&lt;'Données projet'!$A$88,$BA$205^A40,IF(A40='Données projet'!$A$88,'Données projet'!$B$88,BD39+BC40-BL39)))</f>
        <v>76.8</v>
      </c>
      <c r="BE40" s="14">
        <f>BD40*VLOOKUP('Données projet'!$B$11,Paramètres!$A$1:$I$89,3,0)*VLOOKUP('Données projet'!$B$11,Paramètres!$A$1:$I$89,5,0)</f>
        <v>77.875200000000007</v>
      </c>
      <c r="BF40" s="14">
        <f t="shared" si="37"/>
        <v>21.616848354491538</v>
      </c>
      <c r="BG40" s="22">
        <f t="shared" si="7"/>
        <v>173.28198421740612</v>
      </c>
      <c r="BH40" s="62">
        <f t="shared" si="8"/>
        <v>440.22962780127523</v>
      </c>
      <c r="BI40" s="62">
        <f ca="1">AVERAGE(OFFSET($BH$3,0,0,'Données projet'!$E$11+1,1))-AVERAGE(OFFSET($H$3,0,0,'Données projet'!$E$11+1,1))</f>
        <v>329.96352570744875</v>
      </c>
      <c r="BJ40" s="62">
        <f t="shared" si="38"/>
        <v>170.12252063636961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</v>
      </c>
      <c r="BY40" s="13">
        <f>IF('Données projet'!$A$114&gt;35,BY39+BX40-CG39,IF(A40&lt;'Données projet'!$A$114,$BV$205^A40,IF(A40='Données projet'!$A$114,'Données projet'!$B$114,BY39+BX40-CG39)))</f>
        <v>229</v>
      </c>
      <c r="BZ40" s="14">
        <f>BY40*VLOOKUP('Données projet'!$B$12,Paramètres!$A$1:$I$89,3,0)*VLOOKUP('Données projet'!$B$12,Paramètres!$A$1:$I$89,5,0)</f>
        <v>107.172</v>
      </c>
      <c r="CA40" s="14">
        <f t="shared" si="39"/>
        <v>28.663679082578788</v>
      </c>
      <c r="CB40" s="22">
        <f t="shared" si="10"/>
        <v>236.58047440215805</v>
      </c>
      <c r="CC40" s="62">
        <f t="shared" si="11"/>
        <v>503.52811798602715</v>
      </c>
      <c r="CD40" s="62">
        <f ca="1">AVERAGE(OFFSET($CC$3,0,0,'Données projet'!$E$12+1,1))-AVERAGE(OFFSET($H$3,0,0,'Données projet'!$E$12+1,1))</f>
        <v>276.21705775006376</v>
      </c>
      <c r="CE40" s="62">
        <f t="shared" si="40"/>
        <v>234.24947280606958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14.4</v>
      </c>
      <c r="CT40" s="13">
        <f>IF('Données projet'!$A$140&gt;35,CT39+CS40-DB39,IF(A40&lt;'Données projet'!$A$140,$CQ$205^A40,IF(A40='Données projet'!$A$140,'Données projet'!$B$140,CT39+CS40-DB39)))</f>
        <v>220.80000000000004</v>
      </c>
      <c r="CU40" s="18">
        <f>CT40*VLOOKUP('Données projet'!$B$13,Paramètres!$A$1:$I$89,3,0)*VLOOKUP('Données projet'!$B$13,Paramètres!$A$1:$I$89,5,0)</f>
        <v>132.03840000000005</v>
      </c>
      <c r="CV40" s="14">
        <f t="shared" si="41"/>
        <v>34.466946374534373</v>
      </c>
      <c r="CW40" s="22">
        <f t="shared" si="13"/>
        <v>289.99681160231415</v>
      </c>
      <c r="CX40" s="62">
        <f t="shared" si="14"/>
        <v>556.94445518618329</v>
      </c>
      <c r="CY40" s="62">
        <f ca="1">AVERAGE(OFFSET($CX$3,0,0,'Données projet'!$E$13+1,1))-AVERAGE(OFFSET($H$3,0,0,'Données projet'!$E$13+1,1))</f>
        <v>376.32432344617206</v>
      </c>
      <c r="CZ40" s="62">
        <f t="shared" si="42"/>
        <v>302.77411534670466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1.4354958657909882</v>
      </c>
      <c r="DG40" s="23">
        <f>EXP(-LN(2)/25)*DG39+(1-EXP(-LN(2)/25))/(LN(2)/25)*Calculateur!DB40*Calculateur!DD40*VLOOKUP('Données projet'!$B$13,Paramètres!$A$1:$I$89,3,0)*0.475*44/12</f>
        <v>3.0337602699909847</v>
      </c>
      <c r="DH40" s="23">
        <f>EXP(-LN(2)/2)*DH39+(1-EXP(-LN(2)/2))/(LN(2)/2)*DB40*DE40*VLOOKUP('Données projet'!$B$13,Paramètres!$A$1:$I$89,3,0)*0.475*44/12</f>
        <v>5.9845532875589379E-2</v>
      </c>
      <c r="DI40" s="24">
        <f t="shared" si="15"/>
        <v>4.529101668657562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62.803902795600663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2.75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10.083333333333334</v>
      </c>
      <c r="H41" s="70">
        <f t="shared" si="1"/>
        <v>216.33333333333334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85.915440000000018</v>
      </c>
      <c r="P41" s="14">
        <f t="shared" si="33"/>
        <v>23.577480461041315</v>
      </c>
      <c r="Q41" s="22">
        <f t="shared" si="53"/>
        <v>190.70016980298033</v>
      </c>
      <c r="R41" s="62">
        <f t="shared" si="0"/>
        <v>458.10554611443763</v>
      </c>
      <c r="S41" s="62">
        <f ca="1">AVERAGE(OFFSET($R$3,0,0,'Données projet'!$E$9+1,1))-AVERAGE(OFFSET($H$3,0,0,'Données projet'!$E$9+1,1))</f>
        <v>338.33619350800484</v>
      </c>
      <c r="T41" s="62">
        <f t="shared" si="34"/>
        <v>173.80539144233424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4.8</v>
      </c>
      <c r="AI41" s="14">
        <f>IF('Données projet'!$A$62&gt;35,AI40+AH41-AQ40,IF(A41&lt;'Données projet'!$A$62,$AF$205^A41,IF(A41='Données projet'!$A$62,'Données projet'!$B$62,AI40+AH41-AQ40)))</f>
        <v>223.40000000000018</v>
      </c>
      <c r="AJ41" s="14">
        <f>AI41*VLOOKUP('Données projet'!$B$10,Paramètres!$A$1:$I$89,3,0)*VLOOKUP('Données projet'!$B$10,Paramètres!$A$1:$I$89,5,0)</f>
        <v>202.13232000000013</v>
      </c>
      <c r="AK41" s="14">
        <f t="shared" si="35"/>
        <v>50.21249748895967</v>
      </c>
      <c r="AL41" s="22">
        <f t="shared" si="4"/>
        <v>439.50055712660497</v>
      </c>
      <c r="AM41" s="62">
        <f t="shared" si="5"/>
        <v>706.90593343806222</v>
      </c>
      <c r="AN41" s="62">
        <f ca="1">AVERAGE(OFFSET($AM$3,0,0,'Données projet'!$E$10+1,1))-AVERAGE(OFFSET($H$3,0,0,'Données projet'!$E$10+1,1))</f>
        <v>308.01218908312546</v>
      </c>
      <c r="AO41" s="62">
        <f t="shared" si="36"/>
        <v>433.94915035190684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3.7715954572044601</v>
      </c>
      <c r="AV41" s="23">
        <f>EXP(-LN(2)/25)*AV40+(1-EXP(-LN(2)/25))/(LN(2)/25)*Calculateur!AQ41*Calculateur!AS41*VLOOKUP('Données projet'!$B$10,Paramètres!$A$1:$I$89,3,0)*0.475*44/12</f>
        <v>6.25650283235227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10.028098289556731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</v>
      </c>
      <c r="BD41" s="13">
        <f>IF('Données projet'!$A$88&gt;35,BD40+BC41-BL40,IF(A41&lt;'Données projet'!$A$88,$BA$205^A41,IF(A41='Données projet'!$A$88,'Données projet'!$B$88,BD40+BC41-BL40)))</f>
        <v>82.2</v>
      </c>
      <c r="BE41" s="14">
        <f>BD41*VLOOKUP('Données projet'!$B$11,Paramètres!$A$1:$I$89,3,0)*VLOOKUP('Données projet'!$B$11,Paramètres!$A$1:$I$89,5,0)</f>
        <v>83.350800000000007</v>
      </c>
      <c r="BF41" s="14">
        <f t="shared" si="37"/>
        <v>22.954505421678146</v>
      </c>
      <c r="BG41" s="22">
        <f t="shared" si="7"/>
        <v>185.14840694275611</v>
      </c>
      <c r="BH41" s="62">
        <f t="shared" si="8"/>
        <v>452.55378325421339</v>
      </c>
      <c r="BI41" s="62">
        <f ca="1">AVERAGE(OFFSET($BH$3,0,0,'Données projet'!$E$11+1,1))-AVERAGE(OFFSET($H$3,0,0,'Données projet'!$E$11+1,1))</f>
        <v>329.96352570744875</v>
      </c>
      <c r="BJ41" s="62">
        <f t="shared" si="38"/>
        <v>170.12252063636961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</v>
      </c>
      <c r="BY41" s="13">
        <f>IF('Données projet'!$A$114&gt;35,BY40+BX41-CG40,IF(A41&lt;'Données projet'!$A$114,$BV$205^A41,IF(A41='Données projet'!$A$114,'Données projet'!$B$114,BY40+BX41-CG40)))</f>
        <v>236</v>
      </c>
      <c r="BZ41" s="14">
        <f>BY41*VLOOKUP('Données projet'!$B$12,Paramètres!$A$1:$I$89,3,0)*VLOOKUP('Données projet'!$B$12,Paramètres!$A$1:$I$89,5,0)</f>
        <v>110.44799999999999</v>
      </c>
      <c r="CA41" s="14">
        <f t="shared" si="39"/>
        <v>29.436511885319565</v>
      </c>
      <c r="CB41" s="22">
        <f t="shared" si="10"/>
        <v>243.63219153359822</v>
      </c>
      <c r="CC41" s="62">
        <f t="shared" si="11"/>
        <v>511.03756784505549</v>
      </c>
      <c r="CD41" s="62">
        <f ca="1">AVERAGE(OFFSET($CC$3,0,0,'Données projet'!$E$12+1,1))-AVERAGE(OFFSET($H$3,0,0,'Données projet'!$E$12+1,1))</f>
        <v>276.21705775006376</v>
      </c>
      <c r="CE41" s="62">
        <f t="shared" si="40"/>
        <v>234.24947280606958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14.4</v>
      </c>
      <c r="CT41" s="13">
        <f>IF('Données projet'!$A$140&gt;35,CT40+CS41-DB40,IF(A41&lt;'Données projet'!$A$140,$CQ$205^A41,IF(A41='Données projet'!$A$140,'Données projet'!$B$140,CT40+CS41-DB40)))</f>
        <v>235.20000000000005</v>
      </c>
      <c r="CU41" s="18">
        <f>CT41*VLOOKUP('Données projet'!$B$13,Paramètres!$A$1:$I$89,3,0)*VLOOKUP('Données projet'!$B$13,Paramètres!$A$1:$I$89,5,0)</f>
        <v>140.64960000000002</v>
      </c>
      <c r="CV41" s="14">
        <f t="shared" si="41"/>
        <v>36.445779615258601</v>
      </c>
      <c r="CW41" s="22">
        <f t="shared" si="13"/>
        <v>308.44111949657542</v>
      </c>
      <c r="CX41" s="62">
        <f t="shared" si="14"/>
        <v>575.84649580803273</v>
      </c>
      <c r="CY41" s="62">
        <f ca="1">AVERAGE(OFFSET($CX$3,0,0,'Données projet'!$E$13+1,1))-AVERAGE(OFFSET($H$3,0,0,'Données projet'!$E$13+1,1))</f>
        <v>376.32432344617206</v>
      </c>
      <c r="CZ41" s="62">
        <f t="shared" si="42"/>
        <v>302.77411534670466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1.4073466674288502</v>
      </c>
      <c r="DG41" s="23">
        <f>EXP(-LN(2)/25)*DG40+(1-EXP(-LN(2)/25))/(LN(2)/25)*Calculateur!DB41*Calculateur!DD41*VLOOKUP('Données projet'!$B$13,Paramètres!$A$1:$I$89,3,0)*0.475*44/12</f>
        <v>2.9508019358695625</v>
      </c>
      <c r="DH41" s="23">
        <f>EXP(-LN(2)/2)*DH40+(1-EXP(-LN(2)/2))/(LN(2)/2)*DB41*DE41*VLOOKUP('Données projet'!$B$13,Paramètres!$A$1:$I$89,3,0)*0.475*44/12</f>
        <v>4.231718212005172E-2</v>
      </c>
      <c r="DI41" s="24">
        <f t="shared" si="15"/>
        <v>4.400465785418465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62.928738994033814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2.75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10.083333333333334</v>
      </c>
      <c r="H42" s="70">
        <f t="shared" si="1"/>
        <v>216.33333333333334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91.55952000000002</v>
      </c>
      <c r="P42" s="14">
        <f t="shared" si="33"/>
        <v>24.94096677672054</v>
      </c>
      <c r="Q42" s="22">
        <f t="shared" si="53"/>
        <v>202.90501446945498</v>
      </c>
      <c r="R42" s="62">
        <f t="shared" si="0"/>
        <v>470.76018286901399</v>
      </c>
      <c r="S42" s="62">
        <f ca="1">AVERAGE(OFFSET($R$3,0,0,'Données projet'!$E$9+1,1))-AVERAGE(OFFSET($H$3,0,0,'Données projet'!$E$9+1,1))</f>
        <v>338.33619350800484</v>
      </c>
      <c r="T42" s="62">
        <f t="shared" si="34"/>
        <v>173.80539144233424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4.8</v>
      </c>
      <c r="AI42" s="14">
        <f>IF('Données projet'!$A$62&gt;35,AI41+AH42-AQ41,IF(A42&lt;'Données projet'!$A$62,$AF$205^A42,IF(A42='Données projet'!$A$62,'Données projet'!$B$62,AI41+AH42-AQ41)))</f>
        <v>228.20000000000019</v>
      </c>
      <c r="AJ42" s="14">
        <f>AI42*VLOOKUP('Données projet'!$B$10,Paramètres!$A$1:$I$89,3,0)*VLOOKUP('Données projet'!$B$10,Paramètres!$A$1:$I$89,5,0)</f>
        <v>206.47536000000017</v>
      </c>
      <c r="AK42" s="14">
        <f t="shared" si="35"/>
        <v>51.164606062687312</v>
      </c>
      <c r="AL42" s="22">
        <f t="shared" si="4"/>
        <v>448.72294089251392</v>
      </c>
      <c r="AM42" s="62">
        <f t="shared" si="5"/>
        <v>716.5781092920729</v>
      </c>
      <c r="AN42" s="62">
        <f ca="1">AVERAGE(OFFSET($AM$3,0,0,'Données projet'!$E$10+1,1))-AVERAGE(OFFSET($H$3,0,0,'Données projet'!$E$10+1,1))</f>
        <v>308.01218908312546</v>
      </c>
      <c r="AO42" s="62">
        <f t="shared" si="36"/>
        <v>433.94915035190684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3.6976367707347593</v>
      </c>
      <c r="AV42" s="23">
        <f>EXP(-LN(2)/25)*AV41+(1-EXP(-LN(2)/25))/(LN(2)/25)*Calculateur!AQ42*Calculateur!AS42*VLOOKUP('Données projet'!$B$10,Paramètres!$A$1:$I$89,3,0)*0.475*44/12</f>
        <v>6.0854184333864128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9.7830552041211725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</v>
      </c>
      <c r="BD42" s="13">
        <f>IF('Données projet'!$A$88&gt;35,BD41+BC42-BL41,IF(A42&lt;'Données projet'!$A$88,$BA$205^A42,IF(A42='Données projet'!$A$88,'Données projet'!$B$88,BD41+BC42-BL41)))</f>
        <v>87.600000000000009</v>
      </c>
      <c r="BE42" s="14">
        <f>BD42*VLOOKUP('Données projet'!$B$11,Paramètres!$A$1:$I$89,3,0)*VLOOKUP('Données projet'!$B$11,Paramètres!$A$1:$I$89,5,0)</f>
        <v>88.826400000000007</v>
      </c>
      <c r="BF42" s="14">
        <f t="shared" si="37"/>
        <v>24.28196507443278</v>
      </c>
      <c r="BG42" s="22">
        <f t="shared" si="7"/>
        <v>196.99706917130376</v>
      </c>
      <c r="BH42" s="62">
        <f t="shared" si="8"/>
        <v>464.85223757086271</v>
      </c>
      <c r="BI42" s="62">
        <f ca="1">AVERAGE(OFFSET($BH$3,0,0,'Données projet'!$E$11+1,1))-AVERAGE(OFFSET($H$3,0,0,'Données projet'!$E$11+1,1))</f>
        <v>329.96352570744875</v>
      </c>
      <c r="BJ42" s="62">
        <f t="shared" si="38"/>
        <v>170.12252063636961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</v>
      </c>
      <c r="BY42" s="13">
        <f>IF('Données projet'!$A$114&gt;35,BY41+BX42-CG41,IF(A42&lt;'Données projet'!$A$114,$BV$205^A42,IF(A42='Données projet'!$A$114,'Données projet'!$B$114,BY41+BX42-CG41)))</f>
        <v>243</v>
      </c>
      <c r="BZ42" s="14">
        <f>BY42*VLOOKUP('Données projet'!$B$12,Paramètres!$A$1:$I$89,3,0)*VLOOKUP('Données projet'!$B$12,Paramètres!$A$1:$I$89,5,0)</f>
        <v>113.72399999999999</v>
      </c>
      <c r="CA42" s="14">
        <f t="shared" si="39"/>
        <v>30.206680638130489</v>
      </c>
      <c r="CB42" s="22">
        <f t="shared" si="10"/>
        <v>250.67926877807722</v>
      </c>
      <c r="CC42" s="62">
        <f t="shared" si="11"/>
        <v>518.53443717763616</v>
      </c>
      <c r="CD42" s="62">
        <f ca="1">AVERAGE(OFFSET($CC$3,0,0,'Données projet'!$E$12+1,1))-AVERAGE(OFFSET($H$3,0,0,'Données projet'!$E$12+1,1))</f>
        <v>276.21705775006376</v>
      </c>
      <c r="CE42" s="62">
        <f t="shared" si="40"/>
        <v>234.24947280606958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14.4</v>
      </c>
      <c r="CT42" s="13">
        <f>IF('Données projet'!$A$140&gt;35,CT41+CS42-DB41,IF(A42&lt;'Données projet'!$A$140,$CQ$205^A42,IF(A42='Données projet'!$A$140,'Données projet'!$B$140,CT41+CS42-DB41)))</f>
        <v>249.60000000000005</v>
      </c>
      <c r="CU42" s="18">
        <f>CT42*VLOOKUP('Données projet'!$B$13,Paramètres!$A$1:$I$89,3,0)*VLOOKUP('Données projet'!$B$13,Paramètres!$A$1:$I$89,5,0)</f>
        <v>149.26080000000005</v>
      </c>
      <c r="CV42" s="14">
        <f t="shared" si="41"/>
        <v>38.410551499792909</v>
      </c>
      <c r="CW42" s="22">
        <f t="shared" si="13"/>
        <v>326.86093719547273</v>
      </c>
      <c r="CX42" s="62">
        <f t="shared" si="14"/>
        <v>594.71610559503165</v>
      </c>
      <c r="CY42" s="62">
        <f ca="1">AVERAGE(OFFSET($CX$3,0,0,'Données projet'!$E$13+1,1))-AVERAGE(OFFSET($H$3,0,0,'Données projet'!$E$13+1,1))</f>
        <v>376.32432344617206</v>
      </c>
      <c r="CZ42" s="62">
        <f t="shared" si="42"/>
        <v>302.77411534670466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1.379749457677278</v>
      </c>
      <c r="DG42" s="23">
        <f>EXP(-LN(2)/25)*DG41+(1-EXP(-LN(2)/25))/(LN(2)/25)*Calculateur!DB42*Calculateur!DD42*VLOOKUP('Données projet'!$B$13,Paramètres!$A$1:$I$89,3,0)*0.475*44/12</f>
        <v>2.8701121017572797</v>
      </c>
      <c r="DH42" s="23">
        <f>EXP(-LN(2)/2)*DH41+(1-EXP(-LN(2)/2))/(LN(2)/2)*DB42*DE42*VLOOKUP('Données projet'!$B$13,Paramètres!$A$1:$I$89,3,0)*0.475*44/12</f>
        <v>2.9922766437794696E-2</v>
      </c>
      <c r="DI42" s="24">
        <f t="shared" si="15"/>
        <v>4.2797843258723525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63.051409563516074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2.75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10.083333333333334</v>
      </c>
      <c r="H43" s="70">
        <f t="shared" si="1"/>
        <v>216.33333333333334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97.203600000000023</v>
      </c>
      <c r="P43" s="14">
        <f t="shared" si="33"/>
        <v>26.294698107005349</v>
      </c>
      <c r="Q43" s="22">
        <f t="shared" si="53"/>
        <v>215.09286920303433</v>
      </c>
      <c r="R43" s="62">
        <f t="shared" si="0"/>
        <v>483.39002680355077</v>
      </c>
      <c r="S43" s="62">
        <f ca="1">AVERAGE(OFFSET($R$3,0,0,'Données projet'!$E$9+1,1))-AVERAGE(OFFSET($H$3,0,0,'Données projet'!$E$9+1,1))</f>
        <v>338.33619350800484</v>
      </c>
      <c r="T43" s="62">
        <f t="shared" si="34"/>
        <v>173.80539144233424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233</v>
      </c>
      <c r="AG43" s="13">
        <f>VLOOKUP(A43,'Données projet'!$A$61:$I$81,9,0)</f>
        <v>4.8</v>
      </c>
      <c r="AH43" s="13">
        <f t="array" ref="AH43">INDEX(AG:AG,MIN(IF(ISNUMBER(AG43:AG239),ROW(AG43:AG239),"")))</f>
        <v>4.8</v>
      </c>
      <c r="AI43" s="14">
        <f>IF('Données projet'!$A$62&gt;35,AI42+AH43-AQ42,IF(A43&lt;'Données projet'!$A$62,$AF$205^A43,IF(A43='Données projet'!$A$62,'Données projet'!$B$62,AI42+AH43-AQ42)))</f>
        <v>233.0000000000002</v>
      </c>
      <c r="AJ43" s="14">
        <f>AI43*VLOOKUP('Données projet'!$B$10,Paramètres!$A$1:$I$89,3,0)*VLOOKUP('Données projet'!$B$10,Paramètres!$A$1:$I$89,5,0)</f>
        <v>210.81840000000017</v>
      </c>
      <c r="AK43" s="14">
        <f t="shared" si="35"/>
        <v>52.114386184062248</v>
      </c>
      <c r="AL43" s="22">
        <f t="shared" si="4"/>
        <v>457.94126927057533</v>
      </c>
      <c r="AM43" s="62">
        <f t="shared" si="5"/>
        <v>726.23842687109175</v>
      </c>
      <c r="AN43" s="62">
        <f ca="1">AVERAGE(OFFSET($AM$3,0,0,'Données projet'!$E$10+1,1))-AVERAGE(OFFSET($H$3,0,0,'Données projet'!$E$10+1,1))</f>
        <v>308.01218908312546</v>
      </c>
      <c r="AO43" s="62">
        <f t="shared" si="36"/>
        <v>433.94915035190684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6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3.6251283689963847</v>
      </c>
      <c r="AV43" s="23">
        <f>EXP(-LN(2)/25)*AV42+(1-EXP(-LN(2)/25))/(LN(2)/25)*Calculateur!AQ43*Calculateur!AS43*VLOOKUP('Données projet'!$B$10,Paramètres!$A$1:$I$89,3,0)*0.475*44/12</f>
        <v>5.9190123463072144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9.5441407153035982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93</v>
      </c>
      <c r="BB43" s="13">
        <f>VLOOKUP(A43,'Données projet'!$A$87:$I$107,9,0)</f>
        <v>5.4</v>
      </c>
      <c r="BC43" s="13">
        <f t="array" ref="BC43">INDEX(BB:BB,MIN(IF(ISNUMBER(BB43:BB239),ROW(BB43:BB239),"")))</f>
        <v>5.4</v>
      </c>
      <c r="BD43" s="13">
        <f>IF('Données projet'!$A$88&gt;35,BD42+BC43-BL42,IF(A43&lt;'Données projet'!$A$88,$BA$205^A43,IF(A43='Données projet'!$A$88,'Données projet'!$B$88,BD42+BC43-BL42)))</f>
        <v>93.000000000000014</v>
      </c>
      <c r="BE43" s="14">
        <f>BD43*VLOOKUP('Données projet'!$B$11,Paramètres!$A$1:$I$89,3,0)*VLOOKUP('Données projet'!$B$11,Paramètres!$A$1:$I$89,5,0)</f>
        <v>94.302000000000021</v>
      </c>
      <c r="BF43" s="14">
        <f t="shared" si="37"/>
        <v>25.599927492506424</v>
      </c>
      <c r="BG43" s="22">
        <f t="shared" si="7"/>
        <v>208.82919038278203</v>
      </c>
      <c r="BH43" s="62">
        <f t="shared" si="8"/>
        <v>477.12634798329844</v>
      </c>
      <c r="BI43" s="62">
        <f ca="1">AVERAGE(OFFSET($BH$3,0,0,'Données projet'!$E$11+1,1))-AVERAGE(OFFSET($H$3,0,0,'Données projet'!$E$11+1,1))</f>
        <v>329.96352570744875</v>
      </c>
      <c r="BJ43" s="62">
        <f t="shared" si="38"/>
        <v>170.12252063636961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250</v>
      </c>
      <c r="BW43" s="13">
        <f>VLOOKUP(A43,'Données projet'!$A$113:$I$133,9,0)</f>
        <v>7</v>
      </c>
      <c r="BX43" s="13">
        <f t="array" ref="BX43">INDEX(BW:BW,MIN(IF(ISNUMBER(BW43:BW239),ROW(BW43:BW239),"")))</f>
        <v>7</v>
      </c>
      <c r="BY43" s="13">
        <f>IF('Données projet'!$A$114&gt;35,BY42+BX43-CG42,IF(A43&lt;'Données projet'!$A$114,$BV$205^A43,IF(A43='Données projet'!$A$114,'Données projet'!$B$114,BY42+BX43-CG42)))</f>
        <v>250</v>
      </c>
      <c r="BZ43" s="14">
        <f>BY43*VLOOKUP('Données projet'!$B$12,Paramètres!$A$1:$I$89,3,0)*VLOOKUP('Données projet'!$B$12,Paramètres!$A$1:$I$89,5,0)</f>
        <v>117</v>
      </c>
      <c r="CA43" s="14">
        <f t="shared" si="39"/>
        <v>30.974270896484146</v>
      </c>
      <c r="CB43" s="22">
        <f t="shared" si="10"/>
        <v>257.72185514470988</v>
      </c>
      <c r="CC43" s="62">
        <f t="shared" si="11"/>
        <v>526.01901274522629</v>
      </c>
      <c r="CD43" s="62">
        <f ca="1">AVERAGE(OFFSET($CC$3,0,0,'Données projet'!$E$12+1,1))-AVERAGE(OFFSET($H$3,0,0,'Données projet'!$E$12+1,1))</f>
        <v>276.21705775006376</v>
      </c>
      <c r="CE43" s="62">
        <f t="shared" si="40"/>
        <v>234.24947280606958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63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264</v>
      </c>
      <c r="CR43" s="13">
        <f>VLOOKUP(A43,'Données projet'!$A$139:$I$159,9,0)</f>
        <v>14.4</v>
      </c>
      <c r="CS43" s="13">
        <f t="array" ref="CS43">INDEX(CR:CR,MIN(IF(ISNUMBER(CR43:CR239),ROW(CR43:CR239),"")))</f>
        <v>14.4</v>
      </c>
      <c r="CT43" s="13">
        <f>IF('Données projet'!$A$140&gt;35,CT42+CS43-DB42,IF(A43&lt;'Données projet'!$A$140,$CQ$205^A43,IF(A43='Données projet'!$A$140,'Données projet'!$B$140,CT42+CS43-DB42)))</f>
        <v>264.00000000000006</v>
      </c>
      <c r="CU43" s="18">
        <f>CT43*VLOOKUP('Données projet'!$B$13,Paramètres!$A$1:$I$89,3,0)*VLOOKUP('Données projet'!$B$13,Paramètres!$A$1:$I$89,5,0)</f>
        <v>157.87200000000004</v>
      </c>
      <c r="CV43" s="14">
        <f t="shared" si="41"/>
        <v>40.362165684361159</v>
      </c>
      <c r="CW43" s="22">
        <f t="shared" si="13"/>
        <v>345.25783856692902</v>
      </c>
      <c r="CX43" s="62">
        <f t="shared" si="14"/>
        <v>613.55499616744544</v>
      </c>
      <c r="CY43" s="62">
        <f ca="1">AVERAGE(OFFSET($CX$3,0,0,'Données projet'!$E$13+1,1))-AVERAGE(OFFSET($H$3,0,0,'Données projet'!$E$13+1,1))</f>
        <v>376.32432344617206</v>
      </c>
      <c r="CZ43" s="62">
        <f t="shared" si="42"/>
        <v>302.77411534670466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41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1.3526934123762981</v>
      </c>
      <c r="DG43" s="23">
        <f>EXP(-LN(2)/25)*DG42+(1-EXP(-LN(2)/25))/(LN(2)/25)*Calculateur!DB43*Calculateur!DD43*VLOOKUP('Données projet'!$B$13,Paramètres!$A$1:$I$89,3,0)*0.475*44/12</f>
        <v>2.791628735402091</v>
      </c>
      <c r="DH43" s="23">
        <f>EXP(-LN(2)/2)*DH42+(1-EXP(-LN(2)/2))/(LN(2)/2)*DB43*DE43*VLOOKUP('Données projet'!$B$13,Paramètres!$A$1:$I$89,3,0)*0.475*44/12</f>
        <v>2.1158591060025864E-2</v>
      </c>
      <c r="DI43" s="24">
        <f t="shared" si="15"/>
        <v>4.165480738838415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63.171952072868123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2.75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10.083333333333334</v>
      </c>
      <c r="H44" s="70">
        <f t="shared" si="1"/>
        <v>216.33333333333334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84.600000000000009</v>
      </c>
      <c r="O44" s="14">
        <f>N44*VLOOKUP('Données projet'!$B$9,Paramètres!$A$1:$I$89,3,0)*VLOOKUP('Données projet'!$B$9,Paramètres!$A$1:$I$89,5,0)</f>
        <v>88.423920000000024</v>
      </c>
      <c r="P44" s="14">
        <f t="shared" si="33"/>
        <v>24.184722491413467</v>
      </c>
      <c r="Q44" s="22">
        <f t="shared" si="53"/>
        <v>196.1267190058785</v>
      </c>
      <c r="R44" s="62">
        <f t="shared" si="0"/>
        <v>464.85819828285565</v>
      </c>
      <c r="S44" s="62">
        <f ca="1">AVERAGE(OFFSET($R$3,0,0,'Données projet'!$E$9+1,1))-AVERAGE(OFFSET($H$3,0,0,'Données projet'!$E$9+1,1))</f>
        <v>338.33619350800484</v>
      </c>
      <c r="T44" s="62">
        <f t="shared" si="34"/>
        <v>173.80539144233424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</v>
      </c>
      <c r="AI44" s="14">
        <f>IF('Données projet'!$A$62&gt;35,AI43+AH44-AQ43,IF(A44&lt;'Données projet'!$A$62,$AF$205^A44,IF(A44='Données projet'!$A$62,'Données projet'!$B$62,AI43+AH44-AQ43)))</f>
        <v>232.0000000000002</v>
      </c>
      <c r="AJ44" s="14">
        <f>AI44*VLOOKUP('Données projet'!$B$10,Paramètres!$A$1:$I$89,3,0)*VLOOKUP('Données projet'!$B$10,Paramètres!$A$1:$I$89,5,0)</f>
        <v>209.9136000000002</v>
      </c>
      <c r="AK44" s="14">
        <f t="shared" si="35"/>
        <v>51.916704672341361</v>
      </c>
      <c r="AL44" s="22">
        <f t="shared" si="4"/>
        <v>456.02111397099492</v>
      </c>
      <c r="AM44" s="62">
        <f t="shared" si="5"/>
        <v>724.75259324797207</v>
      </c>
      <c r="AN44" s="62">
        <f ca="1">AVERAGE(OFFSET($AM$3,0,0,'Données projet'!$E$10+1,1))-AVERAGE(OFFSET($H$3,0,0,'Données projet'!$E$10+1,1))</f>
        <v>308.01218908312546</v>
      </c>
      <c r="AO44" s="62">
        <f t="shared" si="36"/>
        <v>433.94915035190684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3.5540418127903415</v>
      </c>
      <c r="AV44" s="23">
        <f>EXP(-LN(2)/25)*AV43+(1-EXP(-LN(2)/25))/(LN(2)/25)*Calculateur!AQ44*Calculateur!AS44*VLOOKUP('Données projet'!$B$10,Paramètres!$A$1:$I$89,3,0)*0.475*44/12</f>
        <v>5.7571566424301128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9.3111984552204543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5.6</v>
      </c>
      <c r="BD44" s="13">
        <f>IF('Données projet'!$A$88&gt;35,BD43+BC44-BL43,IF(A44&lt;'Données projet'!$A$88,$BA$205^A44,IF(A44='Données projet'!$A$88,'Données projet'!$B$88,BD43+BC44-BL43)))</f>
        <v>84.600000000000009</v>
      </c>
      <c r="BE44" s="14">
        <f>BD44*VLOOKUP('Données projet'!$B$11,Paramètres!$A$1:$I$89,3,0)*VLOOKUP('Données projet'!$B$11,Paramètres!$A$1:$I$89,5,0)</f>
        <v>85.784400000000019</v>
      </c>
      <c r="BF44" s="14">
        <f t="shared" si="37"/>
        <v>23.545702623664209</v>
      </c>
      <c r="BG44" s="22">
        <f t="shared" si="7"/>
        <v>190.41659540288185</v>
      </c>
      <c r="BH44" s="62">
        <f t="shared" si="8"/>
        <v>459.14807467985901</v>
      </c>
      <c r="BI44" s="62">
        <f ca="1">AVERAGE(OFFSET($BH$3,0,0,'Données projet'!$E$11+1,1))-AVERAGE(OFFSET($H$3,0,0,'Données projet'!$E$11+1,1))</f>
        <v>329.96352570744875</v>
      </c>
      <c r="BJ44" s="62">
        <f t="shared" si="38"/>
        <v>170.12252063636961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</v>
      </c>
      <c r="BY44" s="13">
        <f>IF('Données projet'!$A$114&gt;35,BY43+BX44-CG43,IF(A44&lt;'Données projet'!$A$114,$BV$205^A44,IF(A44='Données projet'!$A$114,'Données projet'!$B$114,BY43+BX44-CG43)))</f>
        <v>194</v>
      </c>
      <c r="BZ44" s="14">
        <f>BY44*VLOOKUP('Données projet'!$B$12,Paramètres!$A$1:$I$89,3,0)*VLOOKUP('Données projet'!$B$12,Paramètres!$A$1:$I$89,5,0)</f>
        <v>90.792000000000002</v>
      </c>
      <c r="CA44" s="14">
        <f t="shared" si="39"/>
        <v>24.756138813110173</v>
      </c>
      <c r="CB44" s="22">
        <f t="shared" si="10"/>
        <v>201.24634176616689</v>
      </c>
      <c r="CC44" s="62">
        <f t="shared" si="11"/>
        <v>469.97782104314405</v>
      </c>
      <c r="CD44" s="62">
        <f ca="1">AVERAGE(OFFSET($CC$3,0,0,'Données projet'!$E$12+1,1))-AVERAGE(OFFSET($H$3,0,0,'Données projet'!$E$12+1,1))</f>
        <v>276.21705775006376</v>
      </c>
      <c r="CE44" s="62">
        <f t="shared" si="40"/>
        <v>234.24947280606958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16.600000000000001</v>
      </c>
      <c r="CT44" s="13">
        <f>IF('Données projet'!$A$140&gt;35,CT43+CS44-DB43,IF(A44&lt;'Données projet'!$A$140,$CQ$205^A44,IF(A44='Données projet'!$A$140,'Données projet'!$B$140,CT43+CS44-DB43)))</f>
        <v>239.60000000000008</v>
      </c>
      <c r="CU44" s="18">
        <f>CT44*VLOOKUP('Données projet'!$B$13,Paramètres!$A$1:$I$89,3,0)*VLOOKUP('Données projet'!$B$13,Paramètres!$A$1:$I$89,5,0)</f>
        <v>143.28080000000006</v>
      </c>
      <c r="CV44" s="14">
        <f t="shared" si="41"/>
        <v>37.047574465948976</v>
      </c>
      <c r="CW44" s="22">
        <f t="shared" si="13"/>
        <v>314.07191886152788</v>
      </c>
      <c r="CX44" s="62">
        <f t="shared" si="14"/>
        <v>582.80339813850503</v>
      </c>
      <c r="CY44" s="62">
        <f ca="1">AVERAGE(OFFSET($CX$3,0,0,'Données projet'!$E$13+1,1))-AVERAGE(OFFSET($H$3,0,0,'Données projet'!$E$13+1,1))</f>
        <v>376.32432344617206</v>
      </c>
      <c r="CZ44" s="62">
        <f t="shared" si="42"/>
        <v>302.77411534670466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1.3261679196211125</v>
      </c>
      <c r="DG44" s="23">
        <f>EXP(-LN(2)/25)*DG43+(1-EXP(-LN(2)/25))/(LN(2)/25)*Calculateur!DB44*Calculateur!DD44*VLOOKUP('Données projet'!$B$13,Paramètres!$A$1:$I$89,3,0)*0.475*44/12</f>
        <v>2.7152915008271461</v>
      </c>
      <c r="DH44" s="23">
        <f>EXP(-LN(2)/2)*DH43+(1-EXP(-LN(2)/2))/(LN(2)/2)*DB44*DE44*VLOOKUP('Données projet'!$B$13,Paramètres!$A$1:$I$89,3,0)*0.475*44/12</f>
        <v>1.496138321889735E-2</v>
      </c>
      <c r="DI44" s="24">
        <f t="shared" si="15"/>
        <v>4.0564208036671561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63.290403439175591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2.75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10.083333333333334</v>
      </c>
      <c r="H45" s="70">
        <f t="shared" si="1"/>
        <v>216.33333333333334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90.2</v>
      </c>
      <c r="O45" s="14">
        <f>N45*VLOOKUP('Données projet'!$B$9,Paramètres!$A$1:$I$89,3,0)*VLOOKUP('Données projet'!$B$9,Paramètres!$A$1:$I$89,5,0)</f>
        <v>94.277040000000014</v>
      </c>
      <c r="P45" s="14">
        <f t="shared" si="33"/>
        <v>25.593940278103194</v>
      </c>
      <c r="Q45" s="22">
        <f t="shared" si="53"/>
        <v>208.77529065102974</v>
      </c>
      <c r="R45" s="62">
        <f t="shared" si="0"/>
        <v>477.93355709437878</v>
      </c>
      <c r="S45" s="62">
        <f ca="1">AVERAGE(OFFSET($R$3,0,0,'Données projet'!$E$9+1,1))-AVERAGE(OFFSET($H$3,0,0,'Données projet'!$E$9+1,1))</f>
        <v>338.33619350800484</v>
      </c>
      <c r="T45" s="62">
        <f t="shared" si="34"/>
        <v>173.80539144233424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</v>
      </c>
      <c r="AI45" s="14">
        <f>IF('Données projet'!$A$62&gt;35,AI44+AH45-AQ44,IF(A45&lt;'Données projet'!$A$62,$AF$205^A45,IF(A45='Données projet'!$A$62,'Données projet'!$B$62,AI44+AH45-AQ44)))</f>
        <v>237.0000000000002</v>
      </c>
      <c r="AJ45" s="14">
        <f>AI45*VLOOKUP('Données projet'!$B$10,Paramètres!$A$1:$I$89,3,0)*VLOOKUP('Données projet'!$B$10,Paramètres!$A$1:$I$89,5,0)</f>
        <v>214.43760000000015</v>
      </c>
      <c r="AK45" s="14">
        <f t="shared" si="35"/>
        <v>52.904129603372425</v>
      </c>
      <c r="AL45" s="22">
        <f t="shared" si="4"/>
        <v>465.6201790592072</v>
      </c>
      <c r="AM45" s="62">
        <f t="shared" si="5"/>
        <v>734.77844550255622</v>
      </c>
      <c r="AN45" s="62">
        <f ca="1">AVERAGE(OFFSET($AM$3,0,0,'Données projet'!$E$10+1,1))-AVERAGE(OFFSET($H$3,0,0,'Données projet'!$E$10+1,1))</f>
        <v>308.01218908312546</v>
      </c>
      <c r="AO45" s="62">
        <f t="shared" si="36"/>
        <v>433.94915035190684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3.4843492205929811</v>
      </c>
      <c r="AV45" s="23">
        <f>EXP(-LN(2)/25)*AV44+(1-EXP(-LN(2)/25))/(LN(2)/25)*Calculateur!AQ45*Calculateur!AS45*VLOOKUP('Données projet'!$B$10,Paramètres!$A$1:$I$89,3,0)*0.475*44/12</f>
        <v>5.5997268912871521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9.0840761118801332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5.6</v>
      </c>
      <c r="BD45" s="13">
        <f>IF('Données projet'!$A$88&gt;35,BD44+BC45-BL44,IF(A45&lt;'Données projet'!$A$88,$BA$205^A45,IF(A45='Données projet'!$A$88,'Données projet'!$B$88,BD44+BC45-BL44)))</f>
        <v>90.2</v>
      </c>
      <c r="BE45" s="14">
        <f>BD45*VLOOKUP('Données projet'!$B$11,Paramètres!$A$1:$I$89,3,0)*VLOOKUP('Données projet'!$B$11,Paramètres!$A$1:$I$89,5,0)</f>
        <v>91.462800000000001</v>
      </c>
      <c r="BF45" s="14">
        <f t="shared" si="37"/>
        <v>24.917685409456144</v>
      </c>
      <c r="BG45" s="22">
        <f t="shared" si="7"/>
        <v>202.69601208813609</v>
      </c>
      <c r="BH45" s="62">
        <f t="shared" si="8"/>
        <v>471.85427853148519</v>
      </c>
      <c r="BI45" s="62">
        <f ca="1">AVERAGE(OFFSET($BH$3,0,0,'Données projet'!$E$11+1,1))-AVERAGE(OFFSET($H$3,0,0,'Données projet'!$E$11+1,1))</f>
        <v>329.96352570744875</v>
      </c>
      <c r="BJ45" s="62">
        <f t="shared" si="38"/>
        <v>170.12252063636961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</v>
      </c>
      <c r="BY45" s="13">
        <f>IF('Données projet'!$A$114&gt;35,BY44+BX45-CG44,IF(A45&lt;'Données projet'!$A$114,$BV$205^A45,IF(A45='Données projet'!$A$114,'Données projet'!$B$114,BY44+BX45-CG44)))</f>
        <v>201</v>
      </c>
      <c r="BZ45" s="14">
        <f>BY45*VLOOKUP('Données projet'!$B$12,Paramètres!$A$1:$I$89,3,0)*VLOOKUP('Données projet'!$B$12,Paramètres!$A$1:$I$89,5,0)</f>
        <v>94.067999999999998</v>
      </c>
      <c r="CA45" s="14">
        <f t="shared" si="39"/>
        <v>25.543790108694029</v>
      </c>
      <c r="CB45" s="22">
        <f t="shared" si="10"/>
        <v>208.32386777264207</v>
      </c>
      <c r="CC45" s="62">
        <f t="shared" si="11"/>
        <v>477.48213421599115</v>
      </c>
      <c r="CD45" s="62">
        <f ca="1">AVERAGE(OFFSET($CC$3,0,0,'Données projet'!$E$12+1,1))-AVERAGE(OFFSET($H$3,0,0,'Données projet'!$E$12+1,1))</f>
        <v>276.21705775006376</v>
      </c>
      <c r="CE45" s="62">
        <f t="shared" si="40"/>
        <v>234.24947280606958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16.600000000000001</v>
      </c>
      <c r="CT45" s="13">
        <f>IF('Données projet'!$A$140&gt;35,CT44+CS45-DB44,IF(A45&lt;'Données projet'!$A$140,$CQ$205^A45,IF(A45='Données projet'!$A$140,'Données projet'!$B$140,CT44+CS45-DB44)))</f>
        <v>256.2000000000001</v>
      </c>
      <c r="CU45" s="18">
        <f>CT45*VLOOKUP('Données projet'!$B$13,Paramètres!$A$1:$I$89,3,0)*VLOOKUP('Données projet'!$B$13,Paramètres!$A$1:$I$89,5,0)</f>
        <v>153.20760000000007</v>
      </c>
      <c r="CV45" s="14">
        <f t="shared" si="41"/>
        <v>39.306624169832133</v>
      </c>
      <c r="CW45" s="22">
        <f t="shared" si="13"/>
        <v>335.29560709579107</v>
      </c>
      <c r="CX45" s="62">
        <f t="shared" si="14"/>
        <v>604.4538735391402</v>
      </c>
      <c r="CY45" s="62">
        <f ca="1">AVERAGE(OFFSET($CX$3,0,0,'Données projet'!$E$13+1,1))-AVERAGE(OFFSET($H$3,0,0,'Données projet'!$E$13+1,1))</f>
        <v>376.32432344617206</v>
      </c>
      <c r="CZ45" s="62">
        <f t="shared" si="42"/>
        <v>302.77411534670466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1.3001625755999029</v>
      </c>
      <c r="DG45" s="23">
        <f>EXP(-LN(2)/25)*DG44+(1-EXP(-LN(2)/25))/(LN(2)/25)*Calculateur!DB45*Calculateur!DD45*VLOOKUP('Données projet'!$B$13,Paramètres!$A$1:$I$89,3,0)*0.475*44/12</f>
        <v>2.6410417119460536</v>
      </c>
      <c r="DH45" s="23">
        <f>EXP(-LN(2)/2)*DH44+(1-EXP(-LN(2)/2))/(LN(2)/2)*DB45*DE45*VLOOKUP('Données projet'!$B$13,Paramètres!$A$1:$I$89,3,0)*0.475*44/12</f>
        <v>1.0579295530012934E-2</v>
      </c>
      <c r="DI45" s="24">
        <f t="shared" si="15"/>
        <v>3.9517835830759696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63.406799939095208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2.75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10.083333333333334</v>
      </c>
      <c r="H46" s="70">
        <f t="shared" si="1"/>
        <v>216.33333333333334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95.8</v>
      </c>
      <c r="O46" s="14">
        <f>N46*VLOOKUP('Données projet'!$B$9,Paramètres!$A$1:$I$89,3,0)*VLOOKUP('Données projet'!$B$9,Paramètres!$A$1:$I$89,5,0)</f>
        <v>100.13016000000002</v>
      </c>
      <c r="P46" s="14">
        <f t="shared" si="33"/>
        <v>26.99300402561024</v>
      </c>
      <c r="Q46" s="22">
        <f t="shared" si="53"/>
        <v>221.40617734460454</v>
      </c>
      <c r="R46" s="62">
        <f t="shared" si="0"/>
        <v>490.98382715114218</v>
      </c>
      <c r="S46" s="62">
        <f ca="1">AVERAGE(OFFSET($R$3,0,0,'Données projet'!$E$9+1,1))-AVERAGE(OFFSET($H$3,0,0,'Données projet'!$E$9+1,1))</f>
        <v>338.33619350800484</v>
      </c>
      <c r="T46" s="62">
        <f t="shared" si="34"/>
        <v>173.80539144233424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</v>
      </c>
      <c r="AI46" s="14">
        <f>IF('Données projet'!$A$62&gt;35,AI45+AH46-AQ45,IF(A46&lt;'Données projet'!$A$62,$AF$205^A46,IF(A46='Données projet'!$A$62,'Données projet'!$B$62,AI45+AH46-AQ45)))</f>
        <v>242.0000000000002</v>
      </c>
      <c r="AJ46" s="14">
        <f>AI46*VLOOKUP('Données projet'!$B$10,Paramètres!$A$1:$I$89,3,0)*VLOOKUP('Données projet'!$B$10,Paramètres!$A$1:$I$89,5,0)</f>
        <v>218.96160000000017</v>
      </c>
      <c r="AK46" s="14">
        <f t="shared" si="35"/>
        <v>53.889132503707479</v>
      </c>
      <c r="AL46" s="22">
        <f t="shared" si="4"/>
        <v>475.2150257772908</v>
      </c>
      <c r="AM46" s="62">
        <f t="shared" si="5"/>
        <v>744.79267558382844</v>
      </c>
      <c r="AN46" s="62">
        <f ca="1">AVERAGE(OFFSET($AM$3,0,0,'Données projet'!$E$10+1,1))-AVERAGE(OFFSET($H$3,0,0,'Données projet'!$E$10+1,1))</f>
        <v>308.01218908312546</v>
      </c>
      <c r="AO46" s="62">
        <f t="shared" si="36"/>
        <v>433.94915035190684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3.4160232576203269</v>
      </c>
      <c r="AV46" s="23">
        <f>EXP(-LN(2)/25)*AV45+(1-EXP(-LN(2)/25))/(LN(2)/25)*Calculateur!AQ46*Calculateur!AS46*VLOOKUP('Données projet'!$B$10,Paramètres!$A$1:$I$89,3,0)*0.475*44/12</f>
        <v>5.446602064968066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8.8626253225883929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5.6</v>
      </c>
      <c r="BD46" s="13">
        <f>IF('Données projet'!$A$88&gt;35,BD45+BC46-BL45,IF(A46&lt;'Données projet'!$A$88,$BA$205^A46,IF(A46='Données projet'!$A$88,'Données projet'!$B$88,BD45+BC46-BL45)))</f>
        <v>95.8</v>
      </c>
      <c r="BE46" s="14">
        <f>BD46*VLOOKUP('Données projet'!$B$11,Paramètres!$A$1:$I$89,3,0)*VLOOKUP('Données projet'!$B$11,Paramètres!$A$1:$I$89,5,0)</f>
        <v>97.141200000000012</v>
      </c>
      <c r="BF46" s="14">
        <f t="shared" si="37"/>
        <v>26.279782450761708</v>
      </c>
      <c r="BG46" s="22">
        <f t="shared" si="7"/>
        <v>214.95821110174333</v>
      </c>
      <c r="BH46" s="62">
        <f t="shared" si="8"/>
        <v>484.53586090828094</v>
      </c>
      <c r="BI46" s="62">
        <f ca="1">AVERAGE(OFFSET($BH$3,0,0,'Données projet'!$E$11+1,1))-AVERAGE(OFFSET($H$3,0,0,'Données projet'!$E$11+1,1))</f>
        <v>329.96352570744875</v>
      </c>
      <c r="BJ46" s="62">
        <f t="shared" si="38"/>
        <v>170.12252063636961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</v>
      </c>
      <c r="BY46" s="13">
        <f>IF('Données projet'!$A$114&gt;35,BY45+BX46-CG45,IF(A46&lt;'Données projet'!$A$114,$BV$205^A46,IF(A46='Données projet'!$A$114,'Données projet'!$B$114,BY45+BX46-CG45)))</f>
        <v>208</v>
      </c>
      <c r="BZ46" s="14">
        <f>BY46*VLOOKUP('Données projet'!$B$12,Paramètres!$A$1:$I$89,3,0)*VLOOKUP('Données projet'!$B$12,Paramètres!$A$1:$I$89,5,0)</f>
        <v>97.343999999999994</v>
      </c>
      <c r="CA46" s="14">
        <f t="shared" si="39"/>
        <v>26.328254259866451</v>
      </c>
      <c r="CB46" s="22">
        <f t="shared" si="10"/>
        <v>215.39584283593408</v>
      </c>
      <c r="CC46" s="62">
        <f t="shared" si="11"/>
        <v>484.97349264247168</v>
      </c>
      <c r="CD46" s="62">
        <f ca="1">AVERAGE(OFFSET($CC$3,0,0,'Données projet'!$E$12+1,1))-AVERAGE(OFFSET($H$3,0,0,'Données projet'!$E$12+1,1))</f>
        <v>276.21705775006376</v>
      </c>
      <c r="CE46" s="62">
        <f t="shared" si="40"/>
        <v>234.24947280606958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16.600000000000001</v>
      </c>
      <c r="CT46" s="13">
        <f>IF('Données projet'!$A$140&gt;35,CT45+CS46-DB45,IF(A46&lt;'Données projet'!$A$140,$CQ$205^A46,IF(A46='Données projet'!$A$140,'Données projet'!$B$140,CT45+CS46-DB45)))</f>
        <v>272.80000000000013</v>
      </c>
      <c r="CU46" s="18">
        <f>CT46*VLOOKUP('Données projet'!$B$13,Paramètres!$A$1:$I$89,3,0)*VLOOKUP('Données projet'!$B$13,Paramètres!$A$1:$I$89,5,0)</f>
        <v>163.13440000000008</v>
      </c>
      <c r="CV46" s="14">
        <f t="shared" si="41"/>
        <v>41.548687845426002</v>
      </c>
      <c r="CW46" s="22">
        <f t="shared" si="13"/>
        <v>356.48971133078379</v>
      </c>
      <c r="CX46" s="62">
        <f t="shared" si="14"/>
        <v>626.06736113732143</v>
      </c>
      <c r="CY46" s="62">
        <f ca="1">AVERAGE(OFFSET($CX$3,0,0,'Données projet'!$E$13+1,1))-AVERAGE(OFFSET($H$3,0,0,'Données projet'!$E$13+1,1))</f>
        <v>376.32432344617206</v>
      </c>
      <c r="CZ46" s="62">
        <f t="shared" si="42"/>
        <v>302.77411534670466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1.2746671805132557</v>
      </c>
      <c r="DG46" s="23">
        <f>EXP(-LN(2)/25)*DG45+(1-EXP(-LN(2)/25))/(LN(2)/25)*Calculateur!DB46*Calculateur!DD46*VLOOKUP('Données projet'!$B$13,Paramètres!$A$1:$I$89,3,0)*0.475*44/12</f>
        <v>2.5688222874465412</v>
      </c>
      <c r="DH46" s="23">
        <f>EXP(-LN(2)/2)*DH45+(1-EXP(-LN(2)/2))/(LN(2)/2)*DB46*DE46*VLOOKUP('Données projet'!$B$13,Paramètres!$A$1:$I$89,3,0)*0.475*44/12</f>
        <v>7.4806916094486767E-3</v>
      </c>
      <c r="DI46" s="24">
        <f t="shared" si="15"/>
        <v>3.8509701595692456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63.521177219964805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2.75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10.083333333333334</v>
      </c>
      <c r="H47" s="70">
        <f t="shared" si="1"/>
        <v>216.33333333333334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101.39999999999999</v>
      </c>
      <c r="O47" s="14">
        <f>N47*VLOOKUP('Données projet'!$B$9,Paramètres!$A$1:$I$89,3,0)*VLOOKUP('Données projet'!$B$9,Paramètres!$A$1:$I$89,5,0)</f>
        <v>105.98328000000001</v>
      </c>
      <c r="P47" s="14">
        <f t="shared" si="33"/>
        <v>28.382574904673611</v>
      </c>
      <c r="Q47" s="22">
        <f t="shared" si="53"/>
        <v>234.02053062563991</v>
      </c>
      <c r="R47" s="62">
        <f t="shared" si="0"/>
        <v>504.01028843161544</v>
      </c>
      <c r="S47" s="62">
        <f ca="1">AVERAGE(OFFSET($R$3,0,0,'Données projet'!$E$9+1,1))-AVERAGE(OFFSET($H$3,0,0,'Données projet'!$E$9+1,1))</f>
        <v>338.33619350800484</v>
      </c>
      <c r="T47" s="62">
        <f t="shared" si="34"/>
        <v>173.80539144233424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</v>
      </c>
      <c r="AI47" s="14">
        <f>IF('Données projet'!$A$62&gt;35,AI46+AH47-AQ46,IF(A47&lt;'Données projet'!$A$62,$AF$205^A47,IF(A47='Données projet'!$A$62,'Données projet'!$B$62,AI46+AH47-AQ46)))</f>
        <v>247.0000000000002</v>
      </c>
      <c r="AJ47" s="14">
        <f>AI47*VLOOKUP('Données projet'!$B$10,Paramètres!$A$1:$I$89,3,0)*VLOOKUP('Données projet'!$B$10,Paramètres!$A$1:$I$89,5,0)</f>
        <v>223.48560000000018</v>
      </c>
      <c r="AK47" s="14">
        <f t="shared" si="35"/>
        <v>54.87176918107798</v>
      </c>
      <c r="AL47" s="22">
        <f t="shared" si="4"/>
        <v>484.80575132371115</v>
      </c>
      <c r="AM47" s="62">
        <f t="shared" si="5"/>
        <v>754.79550912968671</v>
      </c>
      <c r="AN47" s="62">
        <f ca="1">AVERAGE(OFFSET($AM$3,0,0,'Données projet'!$E$10+1,1))-AVERAGE(OFFSET($H$3,0,0,'Données projet'!$E$10+1,1))</f>
        <v>308.01218908312546</v>
      </c>
      <c r="AO47" s="62">
        <f t="shared" si="36"/>
        <v>433.94915035190684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3.349037125106844</v>
      </c>
      <c r="AV47" s="23">
        <f>EXP(-LN(2)/25)*AV46+(1-EXP(-LN(2)/25))/(LN(2)/25)*Calculateur!AQ47*Calculateur!AS47*VLOOKUP('Données projet'!$B$10,Paramètres!$A$1:$I$89,3,0)*0.475*44/12</f>
        <v>5.2976644450771602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8.6467015701840033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5.6</v>
      </c>
      <c r="BD47" s="13">
        <f>IF('Données projet'!$A$88&gt;35,BD46+BC47-BL46,IF(A47&lt;'Données projet'!$A$88,$BA$205^A47,IF(A47='Données projet'!$A$88,'Données projet'!$B$88,BD46+BC47-BL46)))</f>
        <v>101.39999999999999</v>
      </c>
      <c r="BE47" s="14">
        <f>BD47*VLOOKUP('Données projet'!$B$11,Paramètres!$A$1:$I$89,3,0)*VLOOKUP('Données projet'!$B$11,Paramètres!$A$1:$I$89,5,0)</f>
        <v>102.81959999999999</v>
      </c>
      <c r="BF47" s="14">
        <f t="shared" si="37"/>
        <v>27.632637448562328</v>
      </c>
      <c r="BG47" s="22">
        <f t="shared" si="7"/>
        <v>227.20431355624603</v>
      </c>
      <c r="BH47" s="62">
        <f t="shared" si="8"/>
        <v>497.19407136222162</v>
      </c>
      <c r="BI47" s="62">
        <f ca="1">AVERAGE(OFFSET($BH$3,0,0,'Données projet'!$E$11+1,1))-AVERAGE(OFFSET($H$3,0,0,'Données projet'!$E$11+1,1))</f>
        <v>329.96352570744875</v>
      </c>
      <c r="BJ47" s="62">
        <f t="shared" si="38"/>
        <v>170.12252063636961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7</v>
      </c>
      <c r="BY47" s="13">
        <f>IF('Données projet'!$A$114&gt;35,BY46+BX47-CG46,IF(A47&lt;'Données projet'!$A$114,$BV$205^A47,IF(A47='Données projet'!$A$114,'Données projet'!$B$114,BY46+BX47-CG46)))</f>
        <v>215</v>
      </c>
      <c r="BZ47" s="14">
        <f>BY47*VLOOKUP('Données projet'!$B$12,Paramètres!$A$1:$I$89,3,0)*VLOOKUP('Données projet'!$B$12,Paramètres!$A$1:$I$89,5,0)</f>
        <v>100.61999999999999</v>
      </c>
      <c r="CA47" s="14">
        <f t="shared" si="39"/>
        <v>27.10965082293415</v>
      </c>
      <c r="CB47" s="22">
        <f t="shared" si="10"/>
        <v>222.46247518327695</v>
      </c>
      <c r="CC47" s="62">
        <f t="shared" si="11"/>
        <v>492.45223298925248</v>
      </c>
      <c r="CD47" s="62">
        <f ca="1">AVERAGE(OFFSET($CC$3,0,0,'Données projet'!$E$12+1,1))-AVERAGE(OFFSET($H$3,0,0,'Données projet'!$E$12+1,1))</f>
        <v>276.21705775006376</v>
      </c>
      <c r="CE47" s="62">
        <f t="shared" si="40"/>
        <v>234.24947280606958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16.600000000000001</v>
      </c>
      <c r="CT47" s="13">
        <f>IF('Données projet'!$A$140&gt;35,CT46+CS47-DB46,IF(A47&lt;'Données projet'!$A$140,$CQ$205^A47,IF(A47='Données projet'!$A$140,'Données projet'!$B$140,CT46+CS47-DB46)))</f>
        <v>289.40000000000015</v>
      </c>
      <c r="CU47" s="18">
        <f>CT47*VLOOKUP('Données projet'!$B$13,Paramètres!$A$1:$I$89,3,0)*VLOOKUP('Données projet'!$B$13,Paramètres!$A$1:$I$89,5,0)</f>
        <v>173.0612000000001</v>
      </c>
      <c r="CV47" s="14">
        <f t="shared" si="41"/>
        <v>43.774916798471111</v>
      </c>
      <c r="CW47" s="22">
        <f t="shared" si="13"/>
        <v>377.65623675733735</v>
      </c>
      <c r="CX47" s="62">
        <f t="shared" si="14"/>
        <v>647.64599456331291</v>
      </c>
      <c r="CY47" s="62">
        <f ca="1">AVERAGE(OFFSET($CX$3,0,0,'Données projet'!$E$13+1,1))-AVERAGE(OFFSET($H$3,0,0,'Données projet'!$E$13+1,1))</f>
        <v>376.32432344617206</v>
      </c>
      <c r="CZ47" s="62">
        <f t="shared" si="42"/>
        <v>302.77411534670466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1.2496717345736021</v>
      </c>
      <c r="DG47" s="23">
        <f>EXP(-LN(2)/25)*DG46+(1-EXP(-LN(2)/25))/(LN(2)/25)*Calculateur!DB47*Calculateur!DD47*VLOOKUP('Données projet'!$B$13,Paramètres!$A$1:$I$89,3,0)*0.475*44/12</f>
        <v>2.4985777069078225</v>
      </c>
      <c r="DH47" s="23">
        <f>EXP(-LN(2)/2)*DH46+(1-EXP(-LN(2)/2))/(LN(2)/2)*DB47*DE47*VLOOKUP('Données projet'!$B$13,Paramètres!$A$1:$I$89,3,0)*0.475*44/12</f>
        <v>5.2896477650064676E-3</v>
      </c>
      <c r="DI47" s="24">
        <f t="shared" si="15"/>
        <v>3.7535390892464311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63.633570310720614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2.75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10.083333333333334</v>
      </c>
      <c r="H48" s="70">
        <f t="shared" si="1"/>
        <v>216.33333333333334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107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106.99999999999999</v>
      </c>
      <c r="O48" s="14">
        <f>N48*VLOOKUP('Données projet'!$B$9,Paramètres!$A$1:$I$89,3,0)*VLOOKUP('Données projet'!$B$9,Paramètres!$A$1:$I$89,5,0)</f>
        <v>111.8364</v>
      </c>
      <c r="P48" s="14">
        <f t="shared" si="33"/>
        <v>29.763236932758819</v>
      </c>
      <c r="Q48" s="22">
        <f t="shared" si="53"/>
        <v>246.61936765788826</v>
      </c>
      <c r="R48" s="62">
        <f t="shared" si="0"/>
        <v>517.01408431084701</v>
      </c>
      <c r="S48" s="62">
        <f ca="1">AVERAGE(OFFSET($R$3,0,0,'Données projet'!$E$9+1,1))-AVERAGE(OFFSET($H$3,0,0,'Données projet'!$E$9+1,1))</f>
        <v>338.33619350800484</v>
      </c>
      <c r="T48" s="62">
        <f t="shared" si="34"/>
        <v>173.80539144233424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14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252</v>
      </c>
      <c r="AG48" s="13">
        <f>VLOOKUP(A48,'Données projet'!$A$61:$I$81,9,0)</f>
        <v>5</v>
      </c>
      <c r="AH48" s="13">
        <f t="array" ref="AH48">INDEX(AG:AG,MIN(IF(ISNUMBER(AG48:AG244),ROW(AG48:AG244),"")))</f>
        <v>5</v>
      </c>
      <c r="AI48" s="14">
        <f>IF('Données projet'!$A$62&gt;35,AI47+AH48-AQ47,IF(A48&lt;'Données projet'!$A$62,$AF$205^A48,IF(A48='Données projet'!$A$62,'Données projet'!$B$62,AI47+AH48-AQ47)))</f>
        <v>252.0000000000002</v>
      </c>
      <c r="AJ48" s="14">
        <f>AI48*VLOOKUP('Données projet'!$B$10,Paramètres!$A$1:$I$89,3,0)*VLOOKUP('Données projet'!$B$10,Paramètres!$A$1:$I$89,5,0)</f>
        <v>228.00960000000018</v>
      </c>
      <c r="AK48" s="14">
        <f t="shared" si="35"/>
        <v>55.852093054619878</v>
      </c>
      <c r="AL48" s="22">
        <f t="shared" si="4"/>
        <v>494.39244873679655</v>
      </c>
      <c r="AM48" s="62">
        <f t="shared" si="5"/>
        <v>764.78716538975527</v>
      </c>
      <c r="AN48" s="62">
        <f ca="1">AVERAGE(OFFSET($AM$3,0,0,'Données projet'!$E$10+1,1))-AVERAGE(OFFSET($H$3,0,0,'Données projet'!$E$10+1,1))</f>
        <v>308.01218908312546</v>
      </c>
      <c r="AO48" s="62">
        <f t="shared" si="36"/>
        <v>433.94915035190684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252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3.2833645497944444</v>
      </c>
      <c r="AV48" s="23">
        <f>EXP(-LN(2)/25)*AV47+(1-EXP(-LN(2)/25))/(LN(2)/25)*Calculateur!AQ48*Calculateur!AS48*VLOOKUP('Données projet'!$B$10,Paramètres!$A$1:$I$89,3,0)*0.475*44/12</f>
        <v>5.15279953223446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8.4361640820289043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107</v>
      </c>
      <c r="BB48" s="13">
        <f>VLOOKUP(A48,'Données projet'!$A$87:$I$107,9,0)</f>
        <v>5.6</v>
      </c>
      <c r="BC48" s="13">
        <f t="array" ref="BC48">INDEX(BB:BB,MIN(IF(ISNUMBER(BB48:BB244),ROW(BB48:BB244),"")))</f>
        <v>5.6</v>
      </c>
      <c r="BD48" s="13">
        <f>IF('Données projet'!$A$88&gt;35,BD47+BC48-BL47,IF(A48&lt;'Données projet'!$A$88,$BA$205^A48,IF(A48='Données projet'!$A$88,'Données projet'!$B$88,BD47+BC48-BL47)))</f>
        <v>106.99999999999999</v>
      </c>
      <c r="BE48" s="14">
        <f>BD48*VLOOKUP('Données projet'!$B$11,Paramètres!$A$1:$I$89,3,0)*VLOOKUP('Données projet'!$B$11,Paramètres!$A$1:$I$89,5,0)</f>
        <v>108.498</v>
      </c>
      <c r="BF48" s="14">
        <f t="shared" si="37"/>
        <v>28.976818989145283</v>
      </c>
      <c r="BG48" s="22">
        <f t="shared" si="7"/>
        <v>239.43530973942802</v>
      </c>
      <c r="BH48" s="62">
        <f t="shared" si="8"/>
        <v>509.8300263923868</v>
      </c>
      <c r="BI48" s="62">
        <f ca="1">AVERAGE(OFFSET($BH$3,0,0,'Données projet'!$E$11+1,1))-AVERAGE(OFFSET($H$3,0,0,'Données projet'!$E$11+1,1))</f>
        <v>329.96352570744875</v>
      </c>
      <c r="BJ48" s="62">
        <f t="shared" si="38"/>
        <v>170.12252063636961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7</v>
      </c>
      <c r="BY48" s="13">
        <f>IF('Données projet'!$A$114&gt;35,BY47+BX48-CG47,IF(A48&lt;'Données projet'!$A$114,$BV$205^A48,IF(A48='Données projet'!$A$114,'Données projet'!$B$114,BY47+BX48-CG47)))</f>
        <v>222</v>
      </c>
      <c r="BZ48" s="14">
        <f>BY48*VLOOKUP('Données projet'!$B$12,Paramètres!$A$1:$I$89,3,0)*VLOOKUP('Données projet'!$B$12,Paramètres!$A$1:$I$89,5,0)</f>
        <v>103.896</v>
      </c>
      <c r="CA48" s="14">
        <f t="shared" si="39"/>
        <v>27.888091127225799</v>
      </c>
      <c r="CB48" s="22">
        <f t="shared" si="10"/>
        <v>229.52395871325157</v>
      </c>
      <c r="CC48" s="62">
        <f t="shared" si="11"/>
        <v>499.91867536621032</v>
      </c>
      <c r="CD48" s="62">
        <f ca="1">AVERAGE(OFFSET($CC$3,0,0,'Données projet'!$E$12+1,1))-AVERAGE(OFFSET($H$3,0,0,'Données projet'!$E$12+1,1))</f>
        <v>276.21705775006376</v>
      </c>
      <c r="CE48" s="62">
        <f t="shared" si="40"/>
        <v>234.24947280606958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306</v>
      </c>
      <c r="CR48" s="13">
        <f>VLOOKUP(A48,'Données projet'!$A$139:$I$159,9,0)</f>
        <v>16.600000000000001</v>
      </c>
      <c r="CS48" s="13">
        <f t="array" ref="CS48">INDEX(CR:CR,MIN(IF(ISNUMBER(CR48:CR244),ROW(CR48:CR244),"")))</f>
        <v>16.600000000000001</v>
      </c>
      <c r="CT48" s="13">
        <f>IF('Données projet'!$A$140&gt;35,CT47+CS48-DB47,IF(A48&lt;'Données projet'!$A$140,$CQ$205^A48,IF(A48='Données projet'!$A$140,'Données projet'!$B$140,CT47+CS48-DB47)))</f>
        <v>306.00000000000017</v>
      </c>
      <c r="CU48" s="18">
        <f>CT48*VLOOKUP('Données projet'!$B$13,Paramètres!$A$1:$I$89,3,0)*VLOOKUP('Données projet'!$B$13,Paramètres!$A$1:$I$89,5,0)</f>
        <v>182.98800000000011</v>
      </c>
      <c r="CV48" s="14">
        <f t="shared" si="41"/>
        <v>45.986322796524874</v>
      </c>
      <c r="CW48" s="22">
        <f t="shared" si="13"/>
        <v>398.79694553728103</v>
      </c>
      <c r="CX48" s="62">
        <f t="shared" si="14"/>
        <v>669.19166219023987</v>
      </c>
      <c r="CY48" s="62">
        <f ca="1">AVERAGE(OFFSET($CX$3,0,0,'Données projet'!$E$13+1,1))-AVERAGE(OFFSET($H$3,0,0,'Données projet'!$E$13+1,1))</f>
        <v>376.32432344617206</v>
      </c>
      <c r="CZ48" s="62">
        <f t="shared" si="42"/>
        <v>302.77411534670466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53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1.2251664340831085</v>
      </c>
      <c r="DG48" s="23">
        <f>EXP(-LN(2)/25)*DG47+(1-EXP(-LN(2)/25))/(LN(2)/25)*Calculateur!DB48*Calculateur!DD48*VLOOKUP('Données projet'!$B$13,Paramètres!$A$1:$I$89,3,0)*0.475*44/12</f>
        <v>2.4302539681179369</v>
      </c>
      <c r="DH48" s="23">
        <f>EXP(-LN(2)/2)*DH47+(1-EXP(-LN(2)/2))/(LN(2)/2)*DB48*DE48*VLOOKUP('Données projet'!$B$13,Paramètres!$A$1:$I$89,3,0)*0.475*44/12</f>
        <v>3.7403458047243388E-3</v>
      </c>
      <c r="DI48" s="24">
        <f t="shared" si="15"/>
        <v>3.6591607480057697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63.744013632625119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2.75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10.083333333333334</v>
      </c>
      <c r="H49" s="70">
        <f t="shared" si="1"/>
        <v>216.33333333333334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98.59999999999998</v>
      </c>
      <c r="O49" s="14">
        <f>N49*VLOOKUP('Données projet'!$B$9,Paramètres!$A$1:$I$89,3,0)*VLOOKUP('Données projet'!$B$9,Paramètres!$A$1:$I$89,5,0)</f>
        <v>103.05672</v>
      </c>
      <c r="P49" s="14">
        <f t="shared" si="33"/>
        <v>27.688937926000623</v>
      </c>
      <c r="Q49" s="22">
        <f t="shared" si="53"/>
        <v>227.71535422111776</v>
      </c>
      <c r="R49" s="62">
        <f t="shared" si="0"/>
        <v>498.50800459041687</v>
      </c>
      <c r="S49" s="62">
        <f ca="1">AVERAGE(OFFSET($R$3,0,0,'Données projet'!$E$9+1,1))-AVERAGE(OFFSET($H$3,0,0,'Données projet'!$E$9+1,1))</f>
        <v>338.33619350800484</v>
      </c>
      <c r="T49" s="62">
        <f t="shared" si="34"/>
        <v>173.80539144233424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1.9895196601282805E-13</v>
      </c>
      <c r="AJ49" s="14">
        <f>AI49*VLOOKUP('Données projet'!$B$10,Paramètres!$A$1:$I$89,3,0)*VLOOKUP('Données projet'!$B$10,Paramètres!$A$1:$I$89,5,0)</f>
        <v>1.8001173884840681E-13</v>
      </c>
      <c r="AK49" s="14">
        <f t="shared" si="35"/>
        <v>2.5254331426407198E-12</v>
      </c>
      <c r="AL49" s="22">
        <f t="shared" si="4"/>
        <v>4.7119831685935622E-12</v>
      </c>
      <c r="AM49" s="62">
        <f t="shared" si="5"/>
        <v>270.79265036930383</v>
      </c>
      <c r="AN49" s="62">
        <f ca="1">AVERAGE(OFFSET($AM$3,0,0,'Données projet'!$E$10+1,1))-AVERAGE(OFFSET($H$3,0,0,'Données projet'!$E$10+1,1))</f>
        <v>308.01218908312546</v>
      </c>
      <c r="AO49" s="62">
        <f t="shared" si="36"/>
        <v>433.94915035190684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3.2189797736276051</v>
      </c>
      <c r="AV49" s="23">
        <f>EXP(-LN(2)/25)*AV48+(1-EXP(-LN(2)/25))/(LN(2)/25)*Calculateur!AQ49*Calculateur!AS49*VLOOKUP('Données projet'!$B$10,Paramètres!$A$1:$I$89,3,0)*0.475*44/12</f>
        <v>5.0118959580515581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8.2308757316791628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98.59999999999998</v>
      </c>
      <c r="BE49" s="14">
        <f>BD49*VLOOKUP('Données projet'!$B$11,Paramètres!$A$1:$I$89,3,0)*VLOOKUP('Données projet'!$B$11,Paramètres!$A$1:$I$89,5,0)</f>
        <v>99.980399999999989</v>
      </c>
      <c r="BF49" s="14">
        <f t="shared" si="37"/>
        <v>26.957328065359373</v>
      </c>
      <c r="BG49" s="22">
        <f t="shared" si="7"/>
        <v>221.08320971383421</v>
      </c>
      <c r="BH49" s="62">
        <f t="shared" si="8"/>
        <v>491.87586008313332</v>
      </c>
      <c r="BI49" s="62">
        <f ca="1">AVERAGE(OFFSET($BH$3,0,0,'Données projet'!$E$11+1,1))-AVERAGE(OFFSET($H$3,0,0,'Données projet'!$E$11+1,1))</f>
        <v>329.96352570744875</v>
      </c>
      <c r="BJ49" s="62">
        <f t="shared" si="38"/>
        <v>170.12252063636961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</v>
      </c>
      <c r="BY49" s="13">
        <f>IF('Données projet'!$A$114&gt;35,BY48+BX49-CG48,IF(A49&lt;'Données projet'!$A$114,$BV$205^A49,IF(A49='Données projet'!$A$114,'Données projet'!$B$114,BY48+BX49-CG48)))</f>
        <v>229</v>
      </c>
      <c r="BZ49" s="14">
        <f>BY49*VLOOKUP('Données projet'!$B$12,Paramètres!$A$1:$I$89,3,0)*VLOOKUP('Données projet'!$B$12,Paramètres!$A$1:$I$89,5,0)</f>
        <v>107.172</v>
      </c>
      <c r="CA49" s="14">
        <f t="shared" si="39"/>
        <v>28.663679082578788</v>
      </c>
      <c r="CB49" s="22">
        <f t="shared" si="10"/>
        <v>236.58047440215805</v>
      </c>
      <c r="CC49" s="62">
        <f t="shared" si="11"/>
        <v>507.37312477145713</v>
      </c>
      <c r="CD49" s="62">
        <f ca="1">AVERAGE(OFFSET($CC$3,0,0,'Données projet'!$E$12+1,1))-AVERAGE(OFFSET($H$3,0,0,'Données projet'!$E$12+1,1))</f>
        <v>276.21705775006376</v>
      </c>
      <c r="CE49" s="62">
        <f t="shared" si="40"/>
        <v>234.24947280606958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17.399999999999999</v>
      </c>
      <c r="CT49" s="13">
        <f>IF('Données projet'!$A$140&gt;35,CT48+CS49-DB48,IF(A49&lt;'Données projet'!$A$140,$CQ$205^A49,IF(A49='Données projet'!$A$140,'Données projet'!$B$140,CT48+CS49-DB48)))</f>
        <v>270.40000000000015</v>
      </c>
      <c r="CU49" s="18">
        <f>CT49*VLOOKUP('Données projet'!$B$13,Paramètres!$A$1:$I$89,3,0)*VLOOKUP('Données projet'!$B$13,Paramètres!$A$1:$I$89,5,0)</f>
        <v>161.6992000000001</v>
      </c>
      <c r="CV49" s="14">
        <f t="shared" si="41"/>
        <v>41.225538754249229</v>
      </c>
      <c r="CW49" s="22">
        <f t="shared" si="13"/>
        <v>353.42725333031763</v>
      </c>
      <c r="CX49" s="62">
        <f t="shared" si="14"/>
        <v>624.21990369961668</v>
      </c>
      <c r="CY49" s="62">
        <f ca="1">AVERAGE(OFFSET($CX$3,0,0,'Données projet'!$E$13+1,1))-AVERAGE(OFFSET($H$3,0,0,'Données projet'!$E$13+1,1))</f>
        <v>376.32432344617206</v>
      </c>
      <c r="CZ49" s="62">
        <f t="shared" si="42"/>
        <v>302.77411534670466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1.2011416675884761</v>
      </c>
      <c r="DG49" s="23">
        <f>EXP(-LN(2)/25)*DG48+(1-EXP(-LN(2)/25))/(LN(2)/25)*Calculateur!DB49*Calculateur!DD49*VLOOKUP('Données projet'!$B$13,Paramètres!$A$1:$I$89,3,0)*0.475*44/12</f>
        <v>2.3637985455582502</v>
      </c>
      <c r="DH49" s="23">
        <f>EXP(-LN(2)/2)*DH48+(1-EXP(-LN(2)/2))/(LN(2)/2)*DB49*DE49*VLOOKUP('Données projet'!$B$13,Paramètres!$A$1:$I$89,3,0)*0.475*44/12</f>
        <v>2.6448238825032343E-3</v>
      </c>
      <c r="DI49" s="24">
        <f t="shared" si="15"/>
        <v>3.5675850370292292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63.852541009808853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2.75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10.083333333333334</v>
      </c>
      <c r="H50" s="70">
        <f t="shared" si="1"/>
        <v>216.33333333333334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104.19999999999997</v>
      </c>
      <c r="O50" s="14">
        <f>N50*VLOOKUP('Données projet'!$B$9,Paramètres!$A$1:$I$89,3,0)*VLOOKUP('Données projet'!$B$9,Paramètres!$A$1:$I$89,5,0)</f>
        <v>108.90983999999999</v>
      </c>
      <c r="P50" s="14">
        <f t="shared" si="33"/>
        <v>29.073985674771674</v>
      </c>
      <c r="Q50" s="22">
        <f t="shared" si="53"/>
        <v>240.32182971689394</v>
      </c>
      <c r="R50" s="62">
        <f t="shared" si="0"/>
        <v>511.50551054220142</v>
      </c>
      <c r="S50" s="62">
        <f ca="1">AVERAGE(OFFSET($R$3,0,0,'Données projet'!$E$9+1,1))-AVERAGE(OFFSET($H$3,0,0,'Données projet'!$E$9+1,1))</f>
        <v>338.33619350800484</v>
      </c>
      <c r="T50" s="62">
        <f t="shared" si="34"/>
        <v>173.80539144233424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1.9895196601282805E-13</v>
      </c>
      <c r="AJ50" s="14">
        <f>AI50*VLOOKUP('Données projet'!$B$10,Paramètres!$A$1:$I$89,3,0)*VLOOKUP('Données projet'!$B$10,Paramètres!$A$1:$I$89,5,0)</f>
        <v>1.8001173884840681E-13</v>
      </c>
      <c r="AK50" s="14">
        <f t="shared" si="35"/>
        <v>2.5254331426407198E-12</v>
      </c>
      <c r="AL50" s="22">
        <f t="shared" si="4"/>
        <v>4.7119831685935622E-12</v>
      </c>
      <c r="AM50" s="62">
        <f t="shared" si="5"/>
        <v>271.18368082531219</v>
      </c>
      <c r="AN50" s="62">
        <f ca="1">AVERAGE(OFFSET($AM$3,0,0,'Données projet'!$E$10+1,1))-AVERAGE(OFFSET($H$3,0,0,'Données projet'!$E$10+1,1))</f>
        <v>308.01218908312546</v>
      </c>
      <c r="AO50" s="62">
        <f t="shared" si="36"/>
        <v>433.94915035190684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3.1558575436505616</v>
      </c>
      <c r="AV50" s="23">
        <f>EXP(-LN(2)/25)*AV49+(1-EXP(-LN(2)/25))/(LN(2)/25)*Calculateur!AQ50*Calculateur!AS50*VLOOKUP('Données projet'!$B$10,Paramètres!$A$1:$I$89,3,0)*0.475*44/12</f>
        <v>4.8748453995144843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8.0307029431650463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104.19999999999997</v>
      </c>
      <c r="BE50" s="14">
        <f>BD50*VLOOKUP('Données projet'!$B$11,Paramètres!$A$1:$I$89,3,0)*VLOOKUP('Données projet'!$B$11,Paramètres!$A$1:$I$89,5,0)</f>
        <v>105.65879999999999</v>
      </c>
      <c r="BF50" s="14">
        <f t="shared" si="37"/>
        <v>28.305779445097851</v>
      </c>
      <c r="BG50" s="22">
        <f t="shared" si="7"/>
        <v>233.32164253354537</v>
      </c>
      <c r="BH50" s="62">
        <f t="shared" si="8"/>
        <v>504.50532335885282</v>
      </c>
      <c r="BI50" s="62">
        <f ca="1">AVERAGE(OFFSET($BH$3,0,0,'Données projet'!$E$11+1,1))-AVERAGE(OFFSET($H$3,0,0,'Données projet'!$E$11+1,1))</f>
        <v>329.96352570744875</v>
      </c>
      <c r="BJ50" s="62">
        <f t="shared" si="38"/>
        <v>170.12252063636961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</v>
      </c>
      <c r="BY50" s="13">
        <f>IF('Données projet'!$A$114&gt;35,BY49+BX50-CG49,IF(A50&lt;'Données projet'!$A$114,$BV$205^A50,IF(A50='Données projet'!$A$114,'Données projet'!$B$114,BY49+BX50-CG49)))</f>
        <v>236</v>
      </c>
      <c r="BZ50" s="14">
        <f>BY50*VLOOKUP('Données projet'!$B$12,Paramètres!$A$1:$I$89,3,0)*VLOOKUP('Données projet'!$B$12,Paramètres!$A$1:$I$89,5,0)</f>
        <v>110.44799999999999</v>
      </c>
      <c r="CA50" s="14">
        <f t="shared" si="39"/>
        <v>29.436511885319565</v>
      </c>
      <c r="CB50" s="22">
        <f t="shared" si="10"/>
        <v>243.63219153359822</v>
      </c>
      <c r="CC50" s="62">
        <f t="shared" si="11"/>
        <v>514.81587235890572</v>
      </c>
      <c r="CD50" s="62">
        <f ca="1">AVERAGE(OFFSET($CC$3,0,0,'Données projet'!$E$12+1,1))-AVERAGE(OFFSET($H$3,0,0,'Données projet'!$E$12+1,1))</f>
        <v>276.21705775006376</v>
      </c>
      <c r="CE50" s="62">
        <f t="shared" si="40"/>
        <v>234.24947280606958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17.399999999999999</v>
      </c>
      <c r="CT50" s="13">
        <f>IF('Données projet'!$A$140&gt;35,CT49+CS50-DB49,IF(A50&lt;'Données projet'!$A$140,$CQ$205^A50,IF(A50='Données projet'!$A$140,'Données projet'!$B$140,CT49+CS50-DB49)))</f>
        <v>287.80000000000013</v>
      </c>
      <c r="CU50" s="18">
        <f>CT50*VLOOKUP('Données projet'!$B$13,Paramètres!$A$1:$I$89,3,0)*VLOOKUP('Données projet'!$B$13,Paramètres!$A$1:$I$89,5,0)</f>
        <v>172.10440000000008</v>
      </c>
      <c r="CV50" s="14">
        <f t="shared" si="41"/>
        <v>43.561001176960559</v>
      </c>
      <c r="CW50" s="22">
        <f t="shared" si="13"/>
        <v>375.61724038320648</v>
      </c>
      <c r="CX50" s="62">
        <f t="shared" si="14"/>
        <v>646.80092120851396</v>
      </c>
      <c r="CY50" s="62">
        <f ca="1">AVERAGE(OFFSET($CX$3,0,0,'Données projet'!$E$13+1,1))-AVERAGE(OFFSET($H$3,0,0,'Données projet'!$E$13+1,1))</f>
        <v>376.32432344617206</v>
      </c>
      <c r="CZ50" s="62">
        <f t="shared" si="42"/>
        <v>302.77411534670466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1.1775880121111426</v>
      </c>
      <c r="DG50" s="23">
        <f>EXP(-LN(2)/25)*DG49+(1-EXP(-LN(2)/25))/(LN(2)/25)*Calculateur!DB50*Calculateur!DD50*VLOOKUP('Données projet'!$B$13,Paramètres!$A$1:$I$89,3,0)*0.475*44/12</f>
        <v>2.2991603500231967</v>
      </c>
      <c r="DH50" s="23">
        <f>EXP(-LN(2)/2)*DH49+(1-EXP(-LN(2)/2))/(LN(2)/2)*DB50*DE50*VLOOKUP('Données projet'!$B$13,Paramètres!$A$1:$I$89,3,0)*0.475*44/12</f>
        <v>1.8701729023621696E-3</v>
      </c>
      <c r="DI50" s="24">
        <f t="shared" si="15"/>
        <v>3.4786185350367012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63.959185679629314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2.75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10.083333333333334</v>
      </c>
      <c r="H51" s="70">
        <f t="shared" si="1"/>
        <v>216.33333333333334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109.79999999999997</v>
      </c>
      <c r="O51" s="14">
        <f>N51*VLOOKUP('Données projet'!$B$9,Paramètres!$A$1:$I$89,3,0)*VLOOKUP('Données projet'!$B$9,Paramètres!$A$1:$I$89,5,0)</f>
        <v>114.76295999999999</v>
      </c>
      <c r="P51" s="14">
        <f t="shared" si="33"/>
        <v>30.450391685635733</v>
      </c>
      <c r="Q51" s="22">
        <f t="shared" si="53"/>
        <v>252.91325418581553</v>
      </c>
      <c r="R51" s="62">
        <f t="shared" si="0"/>
        <v>524.48118196293274</v>
      </c>
      <c r="S51" s="62">
        <f ca="1">AVERAGE(OFFSET($R$3,0,0,'Données projet'!$E$9+1,1))-AVERAGE(OFFSET($H$3,0,0,'Données projet'!$E$9+1,1))</f>
        <v>338.33619350800484</v>
      </c>
      <c r="T51" s="62">
        <f t="shared" si="34"/>
        <v>173.80539144233424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1.9895196601282805E-13</v>
      </c>
      <c r="AJ51" s="14">
        <f>AI51*VLOOKUP('Données projet'!$B$10,Paramètres!$A$1:$I$89,3,0)*VLOOKUP('Données projet'!$B$10,Paramètres!$A$1:$I$89,5,0)</f>
        <v>1.8001173884840681E-13</v>
      </c>
      <c r="AK51" s="14">
        <f t="shared" si="35"/>
        <v>2.5254331426407198E-12</v>
      </c>
      <c r="AL51" s="22">
        <f t="shared" si="4"/>
        <v>4.7119831685935622E-12</v>
      </c>
      <c r="AM51" s="62">
        <f t="shared" si="5"/>
        <v>271.56792777712195</v>
      </c>
      <c r="AN51" s="62">
        <f ca="1">AVERAGE(OFFSET($AM$3,0,0,'Données projet'!$E$10+1,1))-AVERAGE(OFFSET($H$3,0,0,'Données projet'!$E$10+1,1))</f>
        <v>308.01218908312546</v>
      </c>
      <c r="AO51" s="62">
        <f t="shared" si="36"/>
        <v>433.94915035190684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3.0939731021026091</v>
      </c>
      <c r="AV51" s="23">
        <f>EXP(-LN(2)/25)*AV50+(1-EXP(-LN(2)/25))/(LN(2)/25)*Calculateur!AQ51*Calculateur!AS51*VLOOKUP('Données projet'!$B$10,Paramètres!$A$1:$I$89,3,0)*0.475*44/12</f>
        <v>4.7415424957077823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7.8355155978103914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109.79999999999997</v>
      </c>
      <c r="BE51" s="14">
        <f>BD51*VLOOKUP('Données projet'!$B$11,Paramètres!$A$1:$I$89,3,0)*VLOOKUP('Données projet'!$B$11,Paramètres!$A$1:$I$89,5,0)</f>
        <v>111.33719999999997</v>
      </c>
      <c r="BF51" s="14">
        <f t="shared" si="37"/>
        <v>29.645817422905317</v>
      </c>
      <c r="BG51" s="22">
        <f t="shared" si="7"/>
        <v>245.54542201156005</v>
      </c>
      <c r="BH51" s="62">
        <f t="shared" si="8"/>
        <v>517.11334978867728</v>
      </c>
      <c r="BI51" s="62">
        <f ca="1">AVERAGE(OFFSET($BH$3,0,0,'Données projet'!$E$11+1,1))-AVERAGE(OFFSET($H$3,0,0,'Données projet'!$E$11+1,1))</f>
        <v>329.96352570744875</v>
      </c>
      <c r="BJ51" s="62">
        <f t="shared" si="38"/>
        <v>170.12252063636961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</v>
      </c>
      <c r="BY51" s="13">
        <f>IF('Données projet'!$A$114&gt;35,BY50+BX51-CG50,IF(A51&lt;'Données projet'!$A$114,$BV$205^A51,IF(A51='Données projet'!$A$114,'Données projet'!$B$114,BY50+BX51-CG50)))</f>
        <v>243</v>
      </c>
      <c r="BZ51" s="14">
        <f>BY51*VLOOKUP('Données projet'!$B$12,Paramètres!$A$1:$I$89,3,0)*VLOOKUP('Données projet'!$B$12,Paramètres!$A$1:$I$89,5,0)</f>
        <v>113.72399999999999</v>
      </c>
      <c r="CA51" s="14">
        <f t="shared" si="39"/>
        <v>30.206680638130489</v>
      </c>
      <c r="CB51" s="22">
        <f t="shared" si="10"/>
        <v>250.67926877807722</v>
      </c>
      <c r="CC51" s="62">
        <f t="shared" si="11"/>
        <v>522.24719655519448</v>
      </c>
      <c r="CD51" s="62">
        <f ca="1">AVERAGE(OFFSET($CC$3,0,0,'Données projet'!$E$12+1,1))-AVERAGE(OFFSET($H$3,0,0,'Données projet'!$E$12+1,1))</f>
        <v>276.21705775006376</v>
      </c>
      <c r="CE51" s="62">
        <f t="shared" si="40"/>
        <v>234.24947280606958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17.399999999999999</v>
      </c>
      <c r="CT51" s="13">
        <f>IF('Données projet'!$A$140&gt;35,CT50+CS51-DB50,IF(A51&lt;'Données projet'!$A$140,$CQ$205^A51,IF(A51='Données projet'!$A$140,'Données projet'!$B$140,CT50+CS51-DB50)))</f>
        <v>305.2000000000001</v>
      </c>
      <c r="CU51" s="18">
        <f>CT51*VLOOKUP('Données projet'!$B$13,Paramètres!$A$1:$I$89,3,0)*VLOOKUP('Données projet'!$B$13,Paramètres!$A$1:$I$89,5,0)</f>
        <v>182.50960000000006</v>
      </c>
      <c r="CV51" s="14">
        <f t="shared" si="41"/>
        <v>45.880075205637056</v>
      </c>
      <c r="CW51" s="22">
        <f t="shared" si="13"/>
        <v>397.77868431648454</v>
      </c>
      <c r="CX51" s="62">
        <f t="shared" si="14"/>
        <v>669.34661209360183</v>
      </c>
      <c r="CY51" s="62">
        <f ca="1">AVERAGE(OFFSET($CX$3,0,0,'Données projet'!$E$13+1,1))-AVERAGE(OFFSET($H$3,0,0,'Données projet'!$E$13+1,1))</f>
        <v>376.32432344617206</v>
      </c>
      <c r="CZ51" s="62">
        <f t="shared" si="42"/>
        <v>302.77411534670466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1.1544962294514085</v>
      </c>
      <c r="DG51" s="23">
        <f>EXP(-LN(2)/25)*DG50+(1-EXP(-LN(2)/25))/(LN(2)/25)*Calculateur!DB51*Calculateur!DD51*VLOOKUP('Données projet'!$B$13,Paramètres!$A$1:$I$89,3,0)*0.475*44/12</f>
        <v>2.2362896893442246</v>
      </c>
      <c r="DH51" s="23">
        <f>EXP(-LN(2)/2)*DH50+(1-EXP(-LN(2)/2))/(LN(2)/2)*DB51*DE51*VLOOKUP('Données projet'!$B$13,Paramètres!$A$1:$I$89,3,0)*0.475*44/12</f>
        <v>1.3224119412516173E-3</v>
      </c>
      <c r="DI51" s="24">
        <f t="shared" si="15"/>
        <v>3.3921083307368849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64.063980302850155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2.75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10.083333333333334</v>
      </c>
      <c r="H52" s="70">
        <f t="shared" si="1"/>
        <v>216.33333333333334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115.39999999999996</v>
      </c>
      <c r="O52" s="14">
        <f>N52*VLOOKUP('Données projet'!$B$9,Paramètres!$A$1:$I$89,3,0)*VLOOKUP('Données projet'!$B$9,Paramètres!$A$1:$I$89,5,0)</f>
        <v>120.61607999999998</v>
      </c>
      <c r="P52" s="14">
        <f t="shared" si="33"/>
        <v>31.818646984184912</v>
      </c>
      <c r="Q52" s="22">
        <f t="shared" si="53"/>
        <v>265.49048283078872</v>
      </c>
      <c r="R52" s="62">
        <f t="shared" si="0"/>
        <v>537.4359917341493</v>
      </c>
      <c r="S52" s="62">
        <f ca="1">AVERAGE(OFFSET($R$3,0,0,'Données projet'!$E$9+1,1))-AVERAGE(OFFSET($H$3,0,0,'Données projet'!$E$9+1,1))</f>
        <v>338.33619350800484</v>
      </c>
      <c r="T52" s="62">
        <f t="shared" si="34"/>
        <v>173.80539144233424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1.9895196601282805E-13</v>
      </c>
      <c r="AJ52" s="14">
        <f>AI52*VLOOKUP('Données projet'!$B$10,Paramètres!$A$1:$I$89,3,0)*VLOOKUP('Données projet'!$B$10,Paramètres!$A$1:$I$89,5,0)</f>
        <v>1.8001173884840681E-13</v>
      </c>
      <c r="AK52" s="14">
        <f t="shared" si="35"/>
        <v>2.5254331426407198E-12</v>
      </c>
      <c r="AL52" s="22">
        <f t="shared" si="4"/>
        <v>4.7119831685935622E-12</v>
      </c>
      <c r="AM52" s="62">
        <f t="shared" si="5"/>
        <v>271.94550890336529</v>
      </c>
      <c r="AN52" s="62">
        <f ca="1">AVERAGE(OFFSET($AM$3,0,0,'Données projet'!$E$10+1,1))-AVERAGE(OFFSET($H$3,0,0,'Données projet'!$E$10+1,1))</f>
        <v>308.01218908312546</v>
      </c>
      <c r="AO52" s="62">
        <f t="shared" si="36"/>
        <v>433.94915035190684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3.0333021767076298</v>
      </c>
      <c r="AV52" s="23">
        <f>EXP(-LN(2)/25)*AV51+(1-EXP(-LN(2)/25))/(LN(2)/25)*Calculateur!AQ52*Calculateur!AS52*VLOOKUP('Données projet'!$B$10,Paramètres!$A$1:$I$89,3,0)*0.475*44/12</f>
        <v>4.6118847668157699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7.6451869435233997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115.39999999999996</v>
      </c>
      <c r="BE52" s="14">
        <f>BD52*VLOOKUP('Données projet'!$B$11,Paramètres!$A$1:$I$89,3,0)*VLOOKUP('Données projet'!$B$11,Paramètres!$A$1:$I$89,5,0)</f>
        <v>117.01559999999996</v>
      </c>
      <c r="BF52" s="14">
        <f t="shared" si="37"/>
        <v>30.977920050269788</v>
      </c>
      <c r="BG52" s="22">
        <f t="shared" si="7"/>
        <v>257.7553807542198</v>
      </c>
      <c r="BH52" s="62">
        <f t="shared" si="8"/>
        <v>529.70088965758032</v>
      </c>
      <c r="BI52" s="62">
        <f ca="1">AVERAGE(OFFSET($BH$3,0,0,'Données projet'!$E$11+1,1))-AVERAGE(OFFSET($H$3,0,0,'Données projet'!$E$11+1,1))</f>
        <v>329.96352570744875</v>
      </c>
      <c r="BJ52" s="62">
        <f t="shared" si="38"/>
        <v>170.12252063636961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</v>
      </c>
      <c r="BY52" s="13">
        <f>IF('Données projet'!$A$114&gt;35,BY51+BX52-CG51,IF(A52&lt;'Données projet'!$A$114,$BV$205^A52,IF(A52='Données projet'!$A$114,'Données projet'!$B$114,BY51+BX52-CG51)))</f>
        <v>250</v>
      </c>
      <c r="BZ52" s="14">
        <f>BY52*VLOOKUP('Données projet'!$B$12,Paramètres!$A$1:$I$89,3,0)*VLOOKUP('Données projet'!$B$12,Paramètres!$A$1:$I$89,5,0)</f>
        <v>117</v>
      </c>
      <c r="CA52" s="14">
        <f t="shared" si="39"/>
        <v>30.974270896484146</v>
      </c>
      <c r="CB52" s="22">
        <f t="shared" si="10"/>
        <v>257.72185514470988</v>
      </c>
      <c r="CC52" s="62">
        <f t="shared" si="11"/>
        <v>529.66736404807045</v>
      </c>
      <c r="CD52" s="62">
        <f ca="1">AVERAGE(OFFSET($CC$3,0,0,'Données projet'!$E$12+1,1))-AVERAGE(OFFSET($H$3,0,0,'Données projet'!$E$12+1,1))</f>
        <v>276.21705775006376</v>
      </c>
      <c r="CE52" s="62">
        <f t="shared" si="40"/>
        <v>234.24947280606958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17.399999999999999</v>
      </c>
      <c r="CT52" s="13">
        <f>IF('Données projet'!$A$140&gt;35,CT51+CS52-DB51,IF(A52&lt;'Données projet'!$A$140,$CQ$205^A52,IF(A52='Données projet'!$A$140,'Données projet'!$B$140,CT51+CS52-DB51)))</f>
        <v>322.60000000000008</v>
      </c>
      <c r="CU52" s="18">
        <f>CT52*VLOOKUP('Données projet'!$B$13,Paramètres!$A$1:$I$89,3,0)*VLOOKUP('Données projet'!$B$13,Paramètres!$A$1:$I$89,5,0)</f>
        <v>192.91480000000007</v>
      </c>
      <c r="CV52" s="14">
        <f t="shared" si="41"/>
        <v>48.18380163388656</v>
      </c>
      <c r="CW52" s="22">
        <f t="shared" si="13"/>
        <v>419.91339784568589</v>
      </c>
      <c r="CX52" s="62">
        <f t="shared" si="14"/>
        <v>691.85890674904647</v>
      </c>
      <c r="CY52" s="62">
        <f ca="1">AVERAGE(OFFSET($CX$3,0,0,'Données projet'!$E$13+1,1))-AVERAGE(OFFSET($H$3,0,0,'Données projet'!$E$13+1,1))</f>
        <v>376.32432344617206</v>
      </c>
      <c r="CZ52" s="62">
        <f t="shared" si="42"/>
        <v>302.77411534670466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1.1318572625650349</v>
      </c>
      <c r="DG52" s="23">
        <f>EXP(-LN(2)/25)*DG51+(1-EXP(-LN(2)/25))/(LN(2)/25)*Calculateur!DB52*Calculateur!DD52*VLOOKUP('Données projet'!$B$13,Paramètres!$A$1:$I$89,3,0)*0.475*44/12</f>
        <v>2.1751382301877431</v>
      </c>
      <c r="DH52" s="23">
        <f>EXP(-LN(2)/2)*DH51+(1-EXP(-LN(2)/2))/(LN(2)/2)*DB52*DE52*VLOOKUP('Données projet'!$B$13,Paramètres!$A$1:$I$89,3,0)*0.475*44/12</f>
        <v>9.3508645118108502E-4</v>
      </c>
      <c r="DI52" s="24">
        <f t="shared" si="15"/>
        <v>3.3079305792039588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64.166956973643792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2.75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10.083333333333334</v>
      </c>
      <c r="H53" s="70">
        <f t="shared" si="1"/>
        <v>216.33333333333334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120.99999999999996</v>
      </c>
      <c r="O53" s="14">
        <f>N53*VLOOKUP('Données projet'!$B$9,Paramètres!$A$1:$I$89,3,0)*VLOOKUP('Données projet'!$B$9,Paramètres!$A$1:$I$89,5,0)</f>
        <v>126.46919999999997</v>
      </c>
      <c r="P53" s="14">
        <f t="shared" si="33"/>
        <v>33.17919224765545</v>
      </c>
      <c r="Q53" s="22">
        <f t="shared" si="53"/>
        <v>278.05428316466646</v>
      </c>
      <c r="R53" s="62">
        <f t="shared" si="0"/>
        <v>550.37082300587508</v>
      </c>
      <c r="S53" s="62">
        <f ca="1">AVERAGE(OFFSET($R$3,0,0,'Données projet'!$E$9+1,1))-AVERAGE(OFFSET($H$3,0,0,'Données projet'!$E$9+1,1))</f>
        <v>338.33619350800484</v>
      </c>
      <c r="T53" s="62">
        <f t="shared" si="34"/>
        <v>173.80539144233424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14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1.9895196601282805E-13</v>
      </c>
      <c r="AJ53" s="14">
        <f>AI53*VLOOKUP('Données projet'!$B$10,Paramètres!$A$1:$I$89,3,0)*VLOOKUP('Données projet'!$B$10,Paramètres!$A$1:$I$89,5,0)</f>
        <v>1.8001173884840681E-13</v>
      </c>
      <c r="AK53" s="14">
        <f t="shared" si="35"/>
        <v>2.5254331426407198E-12</v>
      </c>
      <c r="AL53" s="22">
        <f t="shared" si="4"/>
        <v>4.7119831685935622E-12</v>
      </c>
      <c r="AM53" s="62">
        <f t="shared" si="5"/>
        <v>272.31653984121328</v>
      </c>
      <c r="AN53" s="62">
        <f ca="1">AVERAGE(OFFSET($AM$3,0,0,'Données projet'!$E$10+1,1))-AVERAGE(OFFSET($H$3,0,0,'Données projet'!$E$10+1,1))</f>
        <v>308.01218908312546</v>
      </c>
      <c r="AO53" s="62">
        <f t="shared" si="36"/>
        <v>433.94915035190684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2.9738209711540358</v>
      </c>
      <c r="AV53" s="23">
        <f>EXP(-LN(2)/25)*AV52+(1-EXP(-LN(2)/25))/(LN(2)/25)*Calculateur!AQ53*Calculateur!AS53*VLOOKUP('Données projet'!$B$10,Paramètres!$A$1:$I$89,3,0)*0.475*44/12</f>
        <v>4.4857725353387137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7.4595935064927499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121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120.99999999999996</v>
      </c>
      <c r="BE53" s="14">
        <f>BD53*VLOOKUP('Données projet'!$B$11,Paramètres!$A$1:$I$89,3,0)*VLOOKUP('Données projet'!$B$11,Paramètres!$A$1:$I$89,5,0)</f>
        <v>122.69399999999997</v>
      </c>
      <c r="BF53" s="14">
        <f t="shared" si="37"/>
        <v>32.302516360650685</v>
      </c>
      <c r="BG53" s="22">
        <f t="shared" si="7"/>
        <v>269.95226599479992</v>
      </c>
      <c r="BH53" s="62">
        <f t="shared" si="8"/>
        <v>542.26880583600848</v>
      </c>
      <c r="BI53" s="62">
        <f ca="1">AVERAGE(OFFSET($BH$3,0,0,'Données projet'!$E$11+1,1))-AVERAGE(OFFSET($H$3,0,0,'Données projet'!$E$11+1,1))</f>
        <v>329.96352570744875</v>
      </c>
      <c r="BJ53" s="62">
        <f t="shared" si="38"/>
        <v>170.12252063636961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257</v>
      </c>
      <c r="BW53" s="13">
        <f>VLOOKUP(A53,'Données projet'!$A$113:$I$133,9,0)</f>
        <v>7</v>
      </c>
      <c r="BX53" s="13">
        <f t="array" ref="BX53">INDEX(BW:BW,MIN(IF(ISNUMBER(BW53:BW249),ROW(BW53:BW249),"")))</f>
        <v>7</v>
      </c>
      <c r="BY53" s="13">
        <f>IF('Données projet'!$A$114&gt;35,BY52+BX53-CG52,IF(A53&lt;'Données projet'!$A$114,$BV$205^A53,IF(A53='Données projet'!$A$114,'Données projet'!$B$114,BY52+BX53-CG52)))</f>
        <v>257</v>
      </c>
      <c r="BZ53" s="14">
        <f>BY53*VLOOKUP('Données projet'!$B$12,Paramètres!$A$1:$I$89,3,0)*VLOOKUP('Données projet'!$B$12,Paramètres!$A$1:$I$89,5,0)</f>
        <v>120.276</v>
      </c>
      <c r="CA53" s="14">
        <f t="shared" si="39"/>
        <v>31.739363152156315</v>
      </c>
      <c r="CB53" s="22">
        <f t="shared" si="10"/>
        <v>264.76009082333889</v>
      </c>
      <c r="CC53" s="62">
        <f t="shared" si="11"/>
        <v>537.07663066454745</v>
      </c>
      <c r="CD53" s="62">
        <f ca="1">AVERAGE(OFFSET($CC$3,0,0,'Données projet'!$E$12+1,1))-AVERAGE(OFFSET($H$3,0,0,'Données projet'!$E$12+1,1))</f>
        <v>276.21705775006376</v>
      </c>
      <c r="CE53" s="62">
        <f t="shared" si="40"/>
        <v>234.24947280606958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340</v>
      </c>
      <c r="CR53" s="13">
        <f>VLOOKUP(A53,'Données projet'!$A$139:$I$159,9,0)</f>
        <v>17.399999999999999</v>
      </c>
      <c r="CS53" s="13">
        <f t="array" ref="CS53">INDEX(CR:CR,MIN(IF(ISNUMBER(CR53:CR249),ROW(CR53:CR249),"")))</f>
        <v>17.399999999999999</v>
      </c>
      <c r="CT53" s="13">
        <f>IF('Données projet'!$A$140&gt;35,CT52+CS53-DB52,IF(A53&lt;'Données projet'!$A$140,$CQ$205^A53,IF(A53='Données projet'!$A$140,'Données projet'!$B$140,CT52+CS53-DB52)))</f>
        <v>340.00000000000006</v>
      </c>
      <c r="CU53" s="18">
        <f>CT53*VLOOKUP('Données projet'!$B$13,Paramètres!$A$1:$I$89,3,0)*VLOOKUP('Données projet'!$B$13,Paramètres!$A$1:$I$89,5,0)</f>
        <v>203.32000000000005</v>
      </c>
      <c r="CV53" s="14">
        <f t="shared" si="41"/>
        <v>50.473102640215579</v>
      </c>
      <c r="CW53" s="22">
        <f t="shared" si="13"/>
        <v>442.02298709837555</v>
      </c>
      <c r="CX53" s="62">
        <f t="shared" si="14"/>
        <v>714.33952693958418</v>
      </c>
      <c r="CY53" s="62">
        <f ca="1">AVERAGE(OFFSET($CX$3,0,0,'Données projet'!$E$13+1,1))-AVERAGE(OFFSET($H$3,0,0,'Données projet'!$E$13+1,1))</f>
        <v>376.32432344617206</v>
      </c>
      <c r="CZ53" s="62">
        <f t="shared" si="42"/>
        <v>302.77411534670466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53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1.1096622320108969</v>
      </c>
      <c r="DG53" s="23">
        <f>EXP(-LN(2)/25)*DG52+(1-EXP(-LN(2)/25))/(LN(2)/25)*Calculateur!DB53*Calculateur!DD53*VLOOKUP('Données projet'!$B$13,Paramètres!$A$1:$I$89,3,0)*0.475*44/12</f>
        <v>2.115658960897711</v>
      </c>
      <c r="DH53" s="23">
        <f>EXP(-LN(2)/2)*DH52+(1-EXP(-LN(2)/2))/(LN(2)/2)*DB53*DE53*VLOOKUP('Données projet'!$B$13,Paramètres!$A$1:$I$89,3,0)*0.475*44/12</f>
        <v>6.6120597062580878E-4</v>
      </c>
      <c r="DI53" s="24">
        <f t="shared" si="15"/>
        <v>3.2259823988792338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64.268147229420521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2.75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10.083333333333334</v>
      </c>
      <c r="H54" s="70">
        <f t="shared" si="1"/>
        <v>216.33333333333334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112.59999999999995</v>
      </c>
      <c r="O54" s="14">
        <f>N54*VLOOKUP('Données projet'!$B$9,Paramètres!$A$1:$I$89,3,0)*VLOOKUP('Données projet'!$B$9,Paramètres!$A$1:$I$89,5,0)</f>
        <v>117.68951999999997</v>
      </c>
      <c r="P54" s="14">
        <f t="shared" si="33"/>
        <v>31.135509543838769</v>
      </c>
      <c r="Q54" s="22">
        <f t="shared" si="53"/>
        <v>259.20359312218585</v>
      </c>
      <c r="R54" s="62">
        <f t="shared" si="0"/>
        <v>531.88472734397158</v>
      </c>
      <c r="S54" s="62">
        <f ca="1">AVERAGE(OFFSET($R$3,0,0,'Données projet'!$E$9+1,1))-AVERAGE(OFFSET($H$3,0,0,'Données projet'!$E$9+1,1))</f>
        <v>338.33619350800484</v>
      </c>
      <c r="T54" s="62">
        <f t="shared" si="34"/>
        <v>173.80539144233424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1.9895196601282805E-13</v>
      </c>
      <c r="AJ54" s="14">
        <f>AI54*VLOOKUP('Données projet'!$B$10,Paramètres!$A$1:$I$89,3,0)*VLOOKUP('Données projet'!$B$10,Paramètres!$A$1:$I$89,5,0)</f>
        <v>1.8001173884840681E-13</v>
      </c>
      <c r="AK54" s="14">
        <f t="shared" si="35"/>
        <v>2.5254331426407198E-12</v>
      </c>
      <c r="AL54" s="22">
        <f t="shared" si="4"/>
        <v>4.7119831685935622E-12</v>
      </c>
      <c r="AM54" s="62">
        <f t="shared" si="5"/>
        <v>272.68113422179044</v>
      </c>
      <c r="AN54" s="62">
        <f ca="1">AVERAGE(OFFSET($AM$3,0,0,'Données projet'!$E$10+1,1))-AVERAGE(OFFSET($H$3,0,0,'Données projet'!$E$10+1,1))</f>
        <v>308.01218908312546</v>
      </c>
      <c r="AO54" s="62">
        <f t="shared" si="36"/>
        <v>433.94915035190684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2.9155061557613946</v>
      </c>
      <c r="AV54" s="23">
        <f>EXP(-LN(2)/25)*AV53+(1-EXP(-LN(2)/25))/(LN(2)/25)*Calculateur!AQ54*Calculateur!AS54*VLOOKUP('Données projet'!$B$10,Paramètres!$A$1:$I$89,3,0)*0.475*44/12</f>
        <v>4.3631088494633516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7.2786150052247462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112.59999999999995</v>
      </c>
      <c r="BE54" s="14">
        <f>BD54*VLOOKUP('Données projet'!$B$11,Paramètres!$A$1:$I$89,3,0)*VLOOKUP('Données projet'!$B$11,Paramètres!$A$1:$I$89,5,0)</f>
        <v>114.17639999999996</v>
      </c>
      <c r="BF54" s="14">
        <f t="shared" si="37"/>
        <v>30.312832781759997</v>
      </c>
      <c r="BG54" s="22">
        <f t="shared" si="7"/>
        <v>251.65208042823193</v>
      </c>
      <c r="BH54" s="62">
        <f t="shared" si="8"/>
        <v>524.33321465001768</v>
      </c>
      <c r="BI54" s="62">
        <f ca="1">AVERAGE(OFFSET($BH$3,0,0,'Données projet'!$E$11+1,1))-AVERAGE(OFFSET($H$3,0,0,'Données projet'!$E$11+1,1))</f>
        <v>329.96352570744875</v>
      </c>
      <c r="BJ54" s="62">
        <f t="shared" si="38"/>
        <v>170.12252063636961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265</v>
      </c>
      <c r="BZ54" s="14">
        <f>BY54*VLOOKUP('Données projet'!$B$12,Paramètres!$A$1:$I$89,3,0)*VLOOKUP('Données projet'!$B$12,Paramètres!$A$1:$I$89,5,0)</f>
        <v>124.02</v>
      </c>
      <c r="CA54" s="14">
        <f t="shared" si="39"/>
        <v>32.610792634958898</v>
      </c>
      <c r="CB54" s="22">
        <f t="shared" si="10"/>
        <v>272.79863050588671</v>
      </c>
      <c r="CC54" s="62">
        <f t="shared" si="11"/>
        <v>545.47976472767243</v>
      </c>
      <c r="CD54" s="62">
        <f ca="1">AVERAGE(OFFSET($CC$3,0,0,'Données projet'!$E$12+1,1))-AVERAGE(OFFSET($H$3,0,0,'Données projet'!$E$12+1,1))</f>
        <v>276.21705775006376</v>
      </c>
      <c r="CE54" s="62">
        <f t="shared" si="40"/>
        <v>234.24947280606958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17.625</v>
      </c>
      <c r="CT54" s="13">
        <f>IF('Données projet'!$A$140&gt;35,CT53+CS54-DB53,IF(A54&lt;'Données projet'!$A$140,$CQ$205^A54,IF(A54='Données projet'!$A$140,'Données projet'!$B$140,CT53+CS54-DB53)))</f>
        <v>304.62500000000006</v>
      </c>
      <c r="CU54" s="18">
        <f>CT54*VLOOKUP('Données projet'!$B$13,Paramètres!$A$1:$I$89,3,0)*VLOOKUP('Données projet'!$B$13,Paramètres!$A$1:$I$89,5,0)</f>
        <v>182.16575000000003</v>
      </c>
      <c r="CV54" s="14">
        <f t="shared" si="41"/>
        <v>45.803689728693968</v>
      </c>
      <c r="CW54" s="22">
        <f t="shared" si="13"/>
        <v>397.04677419414202</v>
      </c>
      <c r="CX54" s="62">
        <f t="shared" si="14"/>
        <v>669.72790841592769</v>
      </c>
      <c r="CY54" s="62">
        <f ca="1">AVERAGE(OFFSET($CX$3,0,0,'Données projet'!$E$13+1,1))-AVERAGE(OFFSET($H$3,0,0,'Données projet'!$E$13+1,1))</f>
        <v>376.32432344617206</v>
      </c>
      <c r="CZ54" s="62">
        <f t="shared" si="42"/>
        <v>302.77411534670466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1.0879024324682935</v>
      </c>
      <c r="DG54" s="23">
        <f>EXP(-LN(2)/25)*DG53+(1-EXP(-LN(2)/25))/(LN(2)/25)*Calculateur!DB54*Calculateur!DD54*VLOOKUP('Données projet'!$B$13,Paramètres!$A$1:$I$89,3,0)*0.475*44/12</f>
        <v>2.0578061553542937</v>
      </c>
      <c r="DH54" s="23">
        <f>EXP(-LN(2)/2)*DH53+(1-EXP(-LN(2)/2))/(LN(2)/2)*DB54*DE54*VLOOKUP('Données projet'!$B$13,Paramètres!$A$1:$I$89,3,0)*0.475*44/12</f>
        <v>4.6754322559054256E-4</v>
      </c>
      <c r="DI54" s="24">
        <f t="shared" si="15"/>
        <v>3.1461761310481777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64.367582060487024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2.75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10.083333333333334</v>
      </c>
      <c r="H55" s="70">
        <f t="shared" si="1"/>
        <v>216.33333333333334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118.19999999999995</v>
      </c>
      <c r="O55" s="14">
        <f>N55*VLOOKUP('Données projet'!$B$9,Paramètres!$A$1:$I$89,3,0)*VLOOKUP('Données projet'!$B$9,Paramètres!$A$1:$I$89,5,0)</f>
        <v>123.54263999999996</v>
      </c>
      <c r="P55" s="14">
        <f t="shared" si="33"/>
        <v>32.499857586578202</v>
      </c>
      <c r="Q55" s="22">
        <f t="shared" si="53"/>
        <v>271.77401662995698</v>
      </c>
      <c r="R55" s="62">
        <f t="shared" si="0"/>
        <v>544.81342033492786</v>
      </c>
      <c r="S55" s="62">
        <f ca="1">AVERAGE(OFFSET($R$3,0,0,'Données projet'!$E$9+1,1))-AVERAGE(OFFSET($H$3,0,0,'Données projet'!$E$9+1,1))</f>
        <v>338.33619350800484</v>
      </c>
      <c r="T55" s="62">
        <f t="shared" si="34"/>
        <v>173.80539144233424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1.9895196601282805E-13</v>
      </c>
      <c r="AJ55" s="14">
        <f>AI55*VLOOKUP('Données projet'!$B$10,Paramètres!$A$1:$I$89,3,0)*VLOOKUP('Données projet'!$B$10,Paramètres!$A$1:$I$89,5,0)</f>
        <v>1.8001173884840681E-13</v>
      </c>
      <c r="AK55" s="14">
        <f t="shared" si="35"/>
        <v>2.5254331426407198E-12</v>
      </c>
      <c r="AL55" s="22">
        <f t="shared" si="4"/>
        <v>4.7119831685935622E-12</v>
      </c>
      <c r="AM55" s="62">
        <f t="shared" si="5"/>
        <v>273.0394037049756</v>
      </c>
      <c r="AN55" s="62">
        <f ca="1">AVERAGE(OFFSET($AM$3,0,0,'Données projet'!$E$10+1,1))-AVERAGE(OFFSET($H$3,0,0,'Données projet'!$E$10+1,1))</f>
        <v>308.01218908312546</v>
      </c>
      <c r="AO55" s="62">
        <f t="shared" si="36"/>
        <v>433.94915035190684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2.8583348583300778</v>
      </c>
      <c r="AV55" s="23">
        <f>EXP(-LN(2)/25)*AV54+(1-EXP(-LN(2)/25))/(LN(2)/25)*Calculateur!AQ55*Calculateur!AS55*VLOOKUP('Données projet'!$B$10,Paramètres!$A$1:$I$89,3,0)*0.475*44/12</f>
        <v>4.2437994085288535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7.1021342668589309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118.19999999999995</v>
      </c>
      <c r="BE55" s="14">
        <f>BD55*VLOOKUP('Données projet'!$B$11,Paramètres!$A$1:$I$89,3,0)*VLOOKUP('Données projet'!$B$11,Paramètres!$A$1:$I$89,5,0)</f>
        <v>119.85479999999995</v>
      </c>
      <c r="BF55" s="14">
        <f t="shared" si="37"/>
        <v>31.641131392625841</v>
      </c>
      <c r="BG55" s="22">
        <f t="shared" si="7"/>
        <v>263.85541384215657</v>
      </c>
      <c r="BH55" s="62">
        <f t="shared" si="8"/>
        <v>536.89481754712745</v>
      </c>
      <c r="BI55" s="62">
        <f ca="1">AVERAGE(OFFSET($BH$3,0,0,'Données projet'!$E$11+1,1))-AVERAGE(OFFSET($H$3,0,0,'Données projet'!$E$11+1,1))</f>
        <v>329.96352570744875</v>
      </c>
      <c r="BJ55" s="62">
        <f t="shared" si="38"/>
        <v>170.12252063636961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273</v>
      </c>
      <c r="BZ55" s="14">
        <f>BY55*VLOOKUP('Données projet'!$B$12,Paramètres!$A$1:$I$89,3,0)*VLOOKUP('Données projet'!$B$12,Paramètres!$A$1:$I$89,5,0)</f>
        <v>127.76400000000001</v>
      </c>
      <c r="CA55" s="14">
        <f t="shared" si="39"/>
        <v>33.479164830670051</v>
      </c>
      <c r="CB55" s="22">
        <f t="shared" si="10"/>
        <v>280.83184541341694</v>
      </c>
      <c r="CC55" s="62">
        <f t="shared" si="11"/>
        <v>553.87124911838782</v>
      </c>
      <c r="CD55" s="62">
        <f ca="1">AVERAGE(OFFSET($CC$3,0,0,'Données projet'!$E$12+1,1))-AVERAGE(OFFSET($H$3,0,0,'Données projet'!$E$12+1,1))</f>
        <v>276.21705775006376</v>
      </c>
      <c r="CE55" s="62">
        <f t="shared" si="40"/>
        <v>234.24947280606958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17.625</v>
      </c>
      <c r="CT55" s="13">
        <f>IF('Données projet'!$A$140&gt;35,CT54+CS55-DB54,IF(A55&lt;'Données projet'!$A$140,$CQ$205^A55,IF(A55='Données projet'!$A$140,'Données projet'!$B$140,CT54+CS55-DB54)))</f>
        <v>322.25000000000006</v>
      </c>
      <c r="CU55" s="18">
        <f>CT55*VLOOKUP('Données projet'!$B$13,Paramètres!$A$1:$I$89,3,0)*VLOOKUP('Données projet'!$B$13,Paramètres!$A$1:$I$89,5,0)</f>
        <v>192.70550000000006</v>
      </c>
      <c r="CV55" s="14">
        <f t="shared" si="41"/>
        <v>48.137607387789963</v>
      </c>
      <c r="CW55" s="22">
        <f t="shared" si="13"/>
        <v>419.46841203373424</v>
      </c>
      <c r="CX55" s="62">
        <f t="shared" si="14"/>
        <v>692.50781573870518</v>
      </c>
      <c r="CY55" s="62">
        <f ca="1">AVERAGE(OFFSET($CX$3,0,0,'Données projet'!$E$13+1,1))-AVERAGE(OFFSET($H$3,0,0,'Données projet'!$E$13+1,1))</f>
        <v>376.32432344617206</v>
      </c>
      <c r="CZ55" s="62">
        <f t="shared" si="42"/>
        <v>302.77411534670466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1.0665693293225535</v>
      </c>
      <c r="DG55" s="23">
        <f>EXP(-LN(2)/25)*DG54+(1-EXP(-LN(2)/25))/(LN(2)/25)*Calculateur!DB55*Calculateur!DD55*VLOOKUP('Données projet'!$B$13,Paramètres!$A$1:$I$89,3,0)*0.475*44/12</f>
        <v>2.0015353378208078</v>
      </c>
      <c r="DH55" s="23">
        <f>EXP(-LN(2)/2)*DH54+(1-EXP(-LN(2)/2))/(LN(2)/2)*DB55*DE55*VLOOKUP('Données projet'!$B$13,Paramètres!$A$1:$I$89,3,0)*0.475*44/12</f>
        <v>3.3060298531290444E-4</v>
      </c>
      <c r="DI55" s="24">
        <f t="shared" si="15"/>
        <v>3.0684352701286741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64.465291919537506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2.75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10.083333333333334</v>
      </c>
      <c r="H56" s="70">
        <f t="shared" si="1"/>
        <v>216.33333333333334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123.79999999999994</v>
      </c>
      <c r="O56" s="14">
        <f>N56*VLOOKUP('Données projet'!$B$9,Paramètres!$A$1:$I$89,3,0)*VLOOKUP('Données projet'!$B$9,Paramètres!$A$1:$I$89,5,0)</f>
        <v>129.39575999999997</v>
      </c>
      <c r="P56" s="14">
        <f t="shared" si="33"/>
        <v>33.856699374099193</v>
      </c>
      <c r="Q56" s="22">
        <f t="shared" si="53"/>
        <v>284.33136674322265</v>
      </c>
      <c r="R56" s="62">
        <f t="shared" si="0"/>
        <v>557.72282475681595</v>
      </c>
      <c r="S56" s="62">
        <f ca="1">AVERAGE(OFFSET($R$3,0,0,'Données projet'!$E$9+1,1))-AVERAGE(OFFSET($H$3,0,0,'Données projet'!$E$9+1,1))</f>
        <v>338.33619350800484</v>
      </c>
      <c r="T56" s="62">
        <f t="shared" si="34"/>
        <v>173.80539144233424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1.9895196601282805E-13</v>
      </c>
      <c r="AJ56" s="14">
        <f>AI56*VLOOKUP('Données projet'!$B$10,Paramètres!$A$1:$I$89,3,0)*VLOOKUP('Données projet'!$B$10,Paramètres!$A$1:$I$89,5,0)</f>
        <v>1.8001173884840681E-13</v>
      </c>
      <c r="AK56" s="14">
        <f t="shared" si="35"/>
        <v>2.5254331426407198E-12</v>
      </c>
      <c r="AL56" s="22">
        <f t="shared" si="4"/>
        <v>4.7119831685935622E-12</v>
      </c>
      <c r="AM56" s="62">
        <f t="shared" si="5"/>
        <v>273.39145801359803</v>
      </c>
      <c r="AN56" s="62">
        <f ca="1">AVERAGE(OFFSET($AM$3,0,0,'Données projet'!$E$10+1,1))-AVERAGE(OFFSET($H$3,0,0,'Données projet'!$E$10+1,1))</f>
        <v>308.01218908312546</v>
      </c>
      <c r="AO56" s="62">
        <f t="shared" si="36"/>
        <v>433.94915035190684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2.8022846551703409</v>
      </c>
      <c r="AV56" s="23">
        <f>EXP(-LN(2)/25)*AV55+(1-EXP(-LN(2)/25))/(LN(2)/25)*Calculateur!AQ56*Calculateur!AS56*VLOOKUP('Données projet'!$B$10,Paramètres!$A$1:$I$89,3,0)*0.475*44/12</f>
        <v>4.1277524905309209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6.9300371457012613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123.79999999999994</v>
      </c>
      <c r="BE56" s="14">
        <f>BD56*VLOOKUP('Données projet'!$B$11,Paramètres!$A$1:$I$89,3,0)*VLOOKUP('Données projet'!$B$11,Paramètres!$A$1:$I$89,5,0)</f>
        <v>125.53319999999997</v>
      </c>
      <c r="BF56" s="14">
        <f t="shared" si="37"/>
        <v>32.962122082003134</v>
      </c>
      <c r="BG56" s="22">
        <f t="shared" si="7"/>
        <v>276.046019292822</v>
      </c>
      <c r="BH56" s="62">
        <f t="shared" si="8"/>
        <v>549.4374773064153</v>
      </c>
      <c r="BI56" s="62">
        <f ca="1">AVERAGE(OFFSET($BH$3,0,0,'Données projet'!$E$11+1,1))-AVERAGE(OFFSET($H$3,0,0,'Données projet'!$E$11+1,1))</f>
        <v>329.96352570744875</v>
      </c>
      <c r="BJ56" s="62">
        <f t="shared" si="38"/>
        <v>170.12252063636961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281</v>
      </c>
      <c r="BZ56" s="14">
        <f>BY56*VLOOKUP('Données projet'!$B$12,Paramètres!$A$1:$I$89,3,0)*VLOOKUP('Données projet'!$B$12,Paramètres!$A$1:$I$89,5,0)</f>
        <v>131.50800000000001</v>
      </c>
      <c r="CA56" s="14">
        <f t="shared" si="39"/>
        <v>34.344579617082509</v>
      </c>
      <c r="CB56" s="22">
        <f t="shared" si="10"/>
        <v>288.85990949975201</v>
      </c>
      <c r="CC56" s="62">
        <f t="shared" si="11"/>
        <v>562.25136751334526</v>
      </c>
      <c r="CD56" s="62">
        <f ca="1">AVERAGE(OFFSET($CC$3,0,0,'Données projet'!$E$12+1,1))-AVERAGE(OFFSET($H$3,0,0,'Données projet'!$E$12+1,1))</f>
        <v>276.21705775006376</v>
      </c>
      <c r="CE56" s="62">
        <f t="shared" si="40"/>
        <v>234.24947280606958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17.625</v>
      </c>
      <c r="CT56" s="13">
        <f>IF('Données projet'!$A$140&gt;35,CT55+CS56-DB55,IF(A56&lt;'Données projet'!$A$140,$CQ$205^A56,IF(A56='Données projet'!$A$140,'Données projet'!$B$140,CT55+CS56-DB55)))</f>
        <v>339.87500000000006</v>
      </c>
      <c r="CU56" s="18">
        <f>CT56*VLOOKUP('Données projet'!$B$13,Paramètres!$A$1:$I$89,3,0)*VLOOKUP('Données projet'!$B$13,Paramètres!$A$1:$I$89,5,0)</f>
        <v>203.24525000000006</v>
      </c>
      <c r="CV56" s="14">
        <f t="shared" si="41"/>
        <v>50.45670595349123</v>
      </c>
      <c r="CW56" s="22">
        <f t="shared" si="13"/>
        <v>441.86423995233059</v>
      </c>
      <c r="CX56" s="62">
        <f t="shared" si="14"/>
        <v>715.2556979659239</v>
      </c>
      <c r="CY56" s="62">
        <f ca="1">AVERAGE(OFFSET($CX$3,0,0,'Données projet'!$E$13+1,1))-AVERAGE(OFFSET($H$3,0,0,'Données projet'!$E$13+1,1))</f>
        <v>376.32432344617206</v>
      </c>
      <c r="CZ56" s="62">
        <f t="shared" si="42"/>
        <v>302.77411534670466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1.0456545553175933</v>
      </c>
      <c r="DG56" s="23">
        <f>EXP(-LN(2)/25)*DG55+(1-EXP(-LN(2)/25))/(LN(2)/25)*Calculateur!DB56*Calculateur!DD56*VLOOKUP('Données projet'!$B$13,Paramètres!$A$1:$I$89,3,0)*0.475*44/12</f>
        <v>1.9468032487519289</v>
      </c>
      <c r="DH56" s="23">
        <f>EXP(-LN(2)/2)*DH55+(1-EXP(-LN(2)/2))/(LN(2)/2)*DB56*DE56*VLOOKUP('Données projet'!$B$13,Paramètres!$A$1:$I$89,3,0)*0.475*44/12</f>
        <v>2.3377161279527134E-4</v>
      </c>
      <c r="DI56" s="24">
        <f t="shared" si="15"/>
        <v>2.9926915756823171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64.561306730979993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2.75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10.083333333333334</v>
      </c>
      <c r="H57" s="70">
        <f t="shared" si="1"/>
        <v>216.33333333333334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129.39999999999995</v>
      </c>
      <c r="O57" s="14">
        <f>N57*VLOOKUP('Données projet'!$B$9,Paramètres!$A$1:$I$89,3,0)*VLOOKUP('Données projet'!$B$9,Paramètres!$A$1:$I$89,5,0)</f>
        <v>135.24887999999996</v>
      </c>
      <c r="P57" s="14">
        <f t="shared" si="33"/>
        <v>35.206413236083414</v>
      </c>
      <c r="Q57" s="22">
        <f t="shared" si="53"/>
        <v>296.87630238617851</v>
      </c>
      <c r="R57" s="62">
        <f t="shared" si="0"/>
        <v>570.6137073532152</v>
      </c>
      <c r="S57" s="62">
        <f ca="1">AVERAGE(OFFSET($R$3,0,0,'Données projet'!$E$9+1,1))-AVERAGE(OFFSET($H$3,0,0,'Données projet'!$E$9+1,1))</f>
        <v>338.33619350800484</v>
      </c>
      <c r="T57" s="62">
        <f t="shared" si="34"/>
        <v>173.80539144233424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1.9895196601282805E-13</v>
      </c>
      <c r="AJ57" s="14">
        <f>AI57*VLOOKUP('Données projet'!$B$10,Paramètres!$A$1:$I$89,3,0)*VLOOKUP('Données projet'!$B$10,Paramètres!$A$1:$I$89,5,0)</f>
        <v>1.8001173884840681E-13</v>
      </c>
      <c r="AK57" s="14">
        <f t="shared" si="35"/>
        <v>2.5254331426407198E-12</v>
      </c>
      <c r="AL57" s="22">
        <f t="shared" si="4"/>
        <v>4.7119831685935622E-12</v>
      </c>
      <c r="AM57" s="62">
        <f t="shared" si="5"/>
        <v>273.73740496704136</v>
      </c>
      <c r="AN57" s="62">
        <f ca="1">AVERAGE(OFFSET($AM$3,0,0,'Données projet'!$E$10+1,1))-AVERAGE(OFFSET($H$3,0,0,'Données projet'!$E$10+1,1))</f>
        <v>308.01218908312546</v>
      </c>
      <c r="AO57" s="62">
        <f t="shared" si="36"/>
        <v>433.94915035190684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2.7473335623073183</v>
      </c>
      <c r="AV57" s="23">
        <f>EXP(-LN(2)/25)*AV56+(1-EXP(-LN(2)/25))/(LN(2)/25)*Calculateur!AQ57*Calculateur!AS57*VLOOKUP('Données projet'!$B$10,Paramètres!$A$1:$I$89,3,0)*0.475*44/12</f>
        <v>4.0148788816082837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6.7622124439156019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129.39999999999995</v>
      </c>
      <c r="BE57" s="14">
        <f>BD57*VLOOKUP('Données projet'!$B$11,Paramètres!$A$1:$I$89,3,0)*VLOOKUP('Données projet'!$B$11,Paramètres!$A$1:$I$89,5,0)</f>
        <v>131.21159999999995</v>
      </c>
      <c r="BF57" s="14">
        <f t="shared" si="37"/>
        <v>34.276173183172517</v>
      </c>
      <c r="BG57" s="22">
        <f t="shared" si="7"/>
        <v>288.22453829402536</v>
      </c>
      <c r="BH57" s="62">
        <f t="shared" si="8"/>
        <v>561.96194326106206</v>
      </c>
      <c r="BI57" s="62">
        <f ca="1">AVERAGE(OFFSET($BH$3,0,0,'Données projet'!$E$11+1,1))-AVERAGE(OFFSET($H$3,0,0,'Données projet'!$E$11+1,1))</f>
        <v>329.96352570744875</v>
      </c>
      <c r="BJ57" s="62">
        <f t="shared" si="38"/>
        <v>170.12252063636961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289</v>
      </c>
      <c r="BZ57" s="14">
        <f>BY57*VLOOKUP('Données projet'!$B$12,Paramètres!$A$1:$I$89,3,0)*VLOOKUP('Données projet'!$B$12,Paramètres!$A$1:$I$89,5,0)</f>
        <v>135.25199999999998</v>
      </c>
      <c r="CA57" s="14">
        <f t="shared" si="39"/>
        <v>35.207130861518152</v>
      </c>
      <c r="CB57" s="22">
        <f t="shared" si="10"/>
        <v>296.88298625047742</v>
      </c>
      <c r="CC57" s="62">
        <f t="shared" si="11"/>
        <v>570.620391217514</v>
      </c>
      <c r="CD57" s="62">
        <f ca="1">AVERAGE(OFFSET($CC$3,0,0,'Données projet'!$E$12+1,1))-AVERAGE(OFFSET($H$3,0,0,'Données projet'!$E$12+1,1))</f>
        <v>276.21705775006376</v>
      </c>
      <c r="CE57" s="62">
        <f t="shared" si="40"/>
        <v>234.24947280606958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17.625</v>
      </c>
      <c r="CT57" s="13">
        <f>IF('Données projet'!$A$140&gt;35,CT56+CS57-DB56,IF(A57&lt;'Données projet'!$A$140,$CQ$205^A57,IF(A57='Données projet'!$A$140,'Données projet'!$B$140,CT56+CS57-DB56)))</f>
        <v>357.50000000000006</v>
      </c>
      <c r="CU57" s="18">
        <f>CT57*VLOOKUP('Données projet'!$B$13,Paramètres!$A$1:$I$89,3,0)*VLOOKUP('Données projet'!$B$13,Paramètres!$A$1:$I$89,5,0)</f>
        <v>213.78500000000005</v>
      </c>
      <c r="CV57" s="14">
        <f t="shared" si="41"/>
        <v>52.761841557402377</v>
      </c>
      <c r="CW57" s="22">
        <f t="shared" si="13"/>
        <v>464.2357490458092</v>
      </c>
      <c r="CX57" s="62">
        <f t="shared" si="14"/>
        <v>737.97315401284584</v>
      </c>
      <c r="CY57" s="62">
        <f ca="1">AVERAGE(OFFSET($CX$3,0,0,'Données projet'!$E$13+1,1))-AVERAGE(OFFSET($H$3,0,0,'Données projet'!$E$13+1,1))</f>
        <v>376.32432344617206</v>
      </c>
      <c r="CZ57" s="62">
        <f t="shared" si="42"/>
        <v>302.77411534670466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1.0251499072741179</v>
      </c>
      <c r="DG57" s="23">
        <f>EXP(-LN(2)/25)*DG56+(1-EXP(-LN(2)/25))/(LN(2)/25)*Calculateur!DB57*Calculateur!DD57*VLOOKUP('Données projet'!$B$13,Paramètres!$A$1:$I$89,3,0)*0.475*44/12</f>
        <v>1.8935678115368739</v>
      </c>
      <c r="DH57" s="23">
        <f>EXP(-LN(2)/2)*DH56+(1-EXP(-LN(2)/2))/(LN(2)/2)*DB57*DE57*VLOOKUP('Données projet'!$B$13,Paramètres!$A$1:$I$89,3,0)*0.475*44/12</f>
        <v>1.6530149265645225E-4</v>
      </c>
      <c r="DI57" s="24">
        <f t="shared" si="15"/>
        <v>2.9188830203036487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64.655655900100896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2.75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10.083333333333334</v>
      </c>
      <c r="H58" s="70">
        <f t="shared" si="1"/>
        <v>216.33333333333334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135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134.99999999999994</v>
      </c>
      <c r="O58" s="14">
        <f>N58*VLOOKUP('Données projet'!$B$9,Paramètres!$A$1:$I$89,3,0)*VLOOKUP('Données projet'!$B$9,Paramètres!$A$1:$I$89,5,0)</f>
        <v>141.10199999999995</v>
      </c>
      <c r="P58" s="14">
        <f t="shared" si="33"/>
        <v>36.549342904663185</v>
      </c>
      <c r="Q58" s="22">
        <f t="shared" si="53"/>
        <v>309.4094222256216</v>
      </c>
      <c r="R58" s="62">
        <f t="shared" si="0"/>
        <v>583.48677273988085</v>
      </c>
      <c r="S58" s="62">
        <f ca="1">AVERAGE(OFFSET($R$3,0,0,'Données projet'!$E$9+1,1))-AVERAGE(OFFSET($H$3,0,0,'Données projet'!$E$9+1,1))</f>
        <v>338.33619350800484</v>
      </c>
      <c r="T58" s="62">
        <f t="shared" si="34"/>
        <v>173.80539144233424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1.9895196601282805E-13</v>
      </c>
      <c r="AJ58" s="14">
        <f>AI58*VLOOKUP('Données projet'!$B$10,Paramètres!$A$1:$I$89,3,0)*VLOOKUP('Données projet'!$B$10,Paramètres!$A$1:$I$89,5,0)</f>
        <v>1.8001173884840681E-13</v>
      </c>
      <c r="AK58" s="14">
        <f t="shared" si="35"/>
        <v>2.5254331426407198E-12</v>
      </c>
      <c r="AL58" s="22">
        <f t="shared" si="4"/>
        <v>4.7119831685935622E-12</v>
      </c>
      <c r="AM58" s="62">
        <f t="shared" si="5"/>
        <v>274.07735051426397</v>
      </c>
      <c r="AN58" s="62">
        <f ca="1">AVERAGE(OFFSET($AM$3,0,0,'Données projet'!$E$10+1,1))-AVERAGE(OFFSET($H$3,0,0,'Données projet'!$E$10+1,1))</f>
        <v>308.01218908312546</v>
      </c>
      <c r="AO58" s="62">
        <f t="shared" si="36"/>
        <v>433.94915035190684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2.6934600268584825</v>
      </c>
      <c r="AV58" s="23">
        <f>EXP(-LN(2)/25)*AV57+(1-EXP(-LN(2)/25))/(LN(2)/25)*Calculateur!AQ58*Calculateur!AS58*VLOOKUP('Données projet'!$B$10,Paramètres!$A$1:$I$89,3,0)*0.475*44/12</f>
        <v>3.905091807457401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6.5985518343158835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135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134.99999999999994</v>
      </c>
      <c r="BE58" s="14">
        <f>BD58*VLOOKUP('Données projet'!$B$11,Paramètres!$A$1:$I$89,3,0)*VLOOKUP('Données projet'!$B$11,Paramètres!$A$1:$I$89,5,0)</f>
        <v>136.88999999999996</v>
      </c>
      <c r="BF58" s="14">
        <f t="shared" si="37"/>
        <v>35.583619346017713</v>
      </c>
      <c r="BG58" s="22">
        <f t="shared" si="7"/>
        <v>300.3915536943141</v>
      </c>
      <c r="BH58" s="62">
        <f t="shared" si="8"/>
        <v>574.46890420857335</v>
      </c>
      <c r="BI58" s="62">
        <f ca="1">AVERAGE(OFFSET($BH$3,0,0,'Données projet'!$E$11+1,1))-AVERAGE(OFFSET($H$3,0,0,'Données projet'!$E$11+1,1))</f>
        <v>329.96352570744875</v>
      </c>
      <c r="BJ58" s="62">
        <f t="shared" si="38"/>
        <v>170.12252063636961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297</v>
      </c>
      <c r="BZ58" s="14">
        <f>BY58*VLOOKUP('Données projet'!$B$12,Paramètres!$A$1:$I$89,3,0)*VLOOKUP('Données projet'!$B$12,Paramètres!$A$1:$I$89,5,0)</f>
        <v>138.99600000000001</v>
      </c>
      <c r="CA58" s="14">
        <f t="shared" si="39"/>
        <v>36.066906938767758</v>
      </c>
      <c r="CB58" s="22">
        <f t="shared" si="10"/>
        <v>304.90122958502047</v>
      </c>
      <c r="CC58" s="62">
        <f t="shared" si="11"/>
        <v>578.97858009927972</v>
      </c>
      <c r="CD58" s="62">
        <f ca="1">AVERAGE(OFFSET($CC$3,0,0,'Données projet'!$E$12+1,1))-AVERAGE(OFFSET($H$3,0,0,'Données projet'!$E$12+1,1))</f>
        <v>276.21705775006376</v>
      </c>
      <c r="CE58" s="62">
        <f t="shared" si="40"/>
        <v>234.24947280606958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17.625</v>
      </c>
      <c r="CT58" s="13">
        <f>IF('Données projet'!$A$140&gt;35,CT57+CS58-DB57,IF(A58&lt;'Données projet'!$A$140,$CQ$205^A58,IF(A58='Données projet'!$A$140,'Données projet'!$B$140,CT57+CS58-DB57)))</f>
        <v>375.12500000000006</v>
      </c>
      <c r="CU58" s="18">
        <f>CT58*VLOOKUP('Données projet'!$B$13,Paramètres!$A$1:$I$89,3,0)*VLOOKUP('Données projet'!$B$13,Paramètres!$A$1:$I$89,5,0)</f>
        <v>224.32475000000005</v>
      </c>
      <c r="CV58" s="14">
        <f t="shared" si="41"/>
        <v>55.053781146410472</v>
      </c>
      <c r="CW58" s="22">
        <f t="shared" si="13"/>
        <v>486.58427507999835</v>
      </c>
      <c r="CX58" s="62">
        <f t="shared" si="14"/>
        <v>760.66162559425766</v>
      </c>
      <c r="CY58" s="62">
        <f ca="1">AVERAGE(OFFSET($CX$3,0,0,'Données projet'!$E$13+1,1))-AVERAGE(OFFSET($H$3,0,0,'Données projet'!$E$13+1,1))</f>
        <v>376.32432344617206</v>
      </c>
      <c r="CZ58" s="62">
        <f t="shared" si="42"/>
        <v>302.77411534670466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1.0050473428721747</v>
      </c>
      <c r="DG58" s="23">
        <f>EXP(-LN(2)/25)*DG57+(1-EXP(-LN(2)/25))/(LN(2)/25)*Calculateur!DB58*Calculateur!DD58*VLOOKUP('Données projet'!$B$13,Paramètres!$A$1:$I$89,3,0)*0.475*44/12</f>
        <v>1.8417881001519947</v>
      </c>
      <c r="DH58" s="23">
        <f>EXP(-LN(2)/2)*DH57+(1-EXP(-LN(2)/2))/(LN(2)/2)*DB58*DE58*VLOOKUP('Données projet'!$B$13,Paramètres!$A$1:$I$89,3,0)*0.475*44/12</f>
        <v>1.1688580639763568E-4</v>
      </c>
      <c r="DI58" s="24">
        <f t="shared" si="15"/>
        <v>2.8469523288305671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64.748368322070704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2.75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10.083333333333334</v>
      </c>
      <c r="H59" s="70">
        <f t="shared" si="1"/>
        <v>216.33333333333334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5.6</v>
      </c>
      <c r="N59" s="14">
        <f>IF('Données projet'!$A$36&gt;35,N58+M59-V58,IF(A59&lt;'Données projet'!$A$36,$K$205^A59,IF(A59='Données projet'!$A$36,'Données projet'!$B$36,N58+M59-V58)))</f>
        <v>126.59999999999994</v>
      </c>
      <c r="O59" s="14">
        <f>N59*VLOOKUP('Données projet'!$B$9,Paramètres!$A$1:$I$89,3,0)*VLOOKUP('Données projet'!$B$9,Paramètres!$A$1:$I$89,5,0)</f>
        <v>132.32231999999993</v>
      </c>
      <c r="P59" s="14">
        <f t="shared" si="33"/>
        <v>34.532425057968823</v>
      </c>
      <c r="Q59" s="22">
        <f t="shared" si="53"/>
        <v>290.60534764262889</v>
      </c>
      <c r="R59" s="62">
        <f t="shared" si="0"/>
        <v>565.01674640887086</v>
      </c>
      <c r="S59" s="62">
        <f ca="1">AVERAGE(OFFSET($R$3,0,0,'Données projet'!$E$9+1,1))-AVERAGE(OFFSET($H$3,0,0,'Données projet'!$E$9+1,1))</f>
        <v>338.33619350800484</v>
      </c>
      <c r="T59" s="62">
        <f t="shared" si="34"/>
        <v>173.80539144233424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1.9895196601282805E-13</v>
      </c>
      <c r="AJ59" s="14">
        <f>AI59*VLOOKUP('Données projet'!$B$10,Paramètres!$A$1:$I$89,3,0)*VLOOKUP('Données projet'!$B$10,Paramètres!$A$1:$I$89,5,0)</f>
        <v>1.8001173884840681E-13</v>
      </c>
      <c r="AK59" s="14">
        <f t="shared" si="35"/>
        <v>2.5254331426407198E-12</v>
      </c>
      <c r="AL59" s="22">
        <f t="shared" si="4"/>
        <v>4.7119831685935622E-12</v>
      </c>
      <c r="AM59" s="62">
        <f t="shared" si="5"/>
        <v>274.41139876624669</v>
      </c>
      <c r="AN59" s="62">
        <f ca="1">AVERAGE(OFFSET($AM$3,0,0,'Données projet'!$E$10+1,1))-AVERAGE(OFFSET($H$3,0,0,'Données projet'!$E$10+1,1))</f>
        <v>308.01218908312546</v>
      </c>
      <c r="AO59" s="62">
        <f t="shared" si="36"/>
        <v>433.94915035190684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2.6406429185801863</v>
      </c>
      <c r="AV59" s="23">
        <f>EXP(-LN(2)/25)*AV58+(1-EXP(-LN(2)/25))/(LN(2)/25)*Calculateur!AQ59*Calculateur!AS59*VLOOKUP('Données projet'!$B$10,Paramètres!$A$1:$I$89,3,0)*0.475*44/12</f>
        <v>3.7983068666226254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6.4389497852028121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5.6</v>
      </c>
      <c r="BD59" s="13">
        <f>IF('Données projet'!$A$88&gt;35,BD58+BC59-BL58,IF(A59&lt;'Données projet'!$A$88,$BA$205^A59,IF(A59='Données projet'!$A$88,'Données projet'!$B$88,BD58+BC59-BL58)))</f>
        <v>126.59999999999994</v>
      </c>
      <c r="BE59" s="14">
        <f>BD59*VLOOKUP('Données projet'!$B$11,Paramètres!$A$1:$I$89,3,0)*VLOOKUP('Données projet'!$B$11,Paramètres!$A$1:$I$89,5,0)</f>
        <v>128.37239999999994</v>
      </c>
      <c r="BF59" s="14">
        <f t="shared" si="37"/>
        <v>33.61999343087701</v>
      </c>
      <c r="BG59" s="22">
        <f t="shared" si="7"/>
        <v>282.13675189211068</v>
      </c>
      <c r="BH59" s="62">
        <f t="shared" si="8"/>
        <v>556.5481506583526</v>
      </c>
      <c r="BI59" s="62">
        <f ca="1">AVERAGE(OFFSET($BH$3,0,0,'Données projet'!$E$11+1,1))-AVERAGE(OFFSET($H$3,0,0,'Données projet'!$E$11+1,1))</f>
        <v>329.96352570744875</v>
      </c>
      <c r="BJ59" s="62">
        <f t="shared" si="38"/>
        <v>170.12252063636961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</v>
      </c>
      <c r="BY59" s="13">
        <f>IF('Données projet'!$A$114&gt;35,BY58+BX59-CG58,IF(A59&lt;'Données projet'!$A$114,$BV$205^A59,IF(A59='Données projet'!$A$114,'Données projet'!$B$114,BY58+BX59-CG58)))</f>
        <v>305</v>
      </c>
      <c r="BZ59" s="14">
        <f>BY59*VLOOKUP('Données projet'!$B$12,Paramètres!$A$1:$I$89,3,0)*VLOOKUP('Données projet'!$B$12,Paramètres!$A$1:$I$89,5,0)</f>
        <v>142.74</v>
      </c>
      <c r="CA59" s="14">
        <f t="shared" si="39"/>
        <v>36.923991191656064</v>
      </c>
      <c r="CB59" s="22">
        <f t="shared" si="10"/>
        <v>312.91478465880101</v>
      </c>
      <c r="CC59" s="62">
        <f t="shared" si="11"/>
        <v>587.32618342504293</v>
      </c>
      <c r="CD59" s="62">
        <f ca="1">AVERAGE(OFFSET($CC$3,0,0,'Données projet'!$E$12+1,1))-AVERAGE(OFFSET($H$3,0,0,'Données projet'!$E$12+1,1))</f>
        <v>276.21705775006376</v>
      </c>
      <c r="CE59" s="62">
        <f t="shared" si="40"/>
        <v>234.24947280606958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17.625</v>
      </c>
      <c r="CT59" s="13">
        <f>IF('Données projet'!$A$140&gt;35,CT58+CS59-DB58,IF(A59&lt;'Données projet'!$A$140,$CQ$205^A59,IF(A59='Données projet'!$A$140,'Données projet'!$B$140,CT58+CS59-DB58)))</f>
        <v>392.75000000000006</v>
      </c>
      <c r="CU59" s="18">
        <f>CT59*VLOOKUP('Données projet'!$B$13,Paramètres!$A$1:$I$89,3,0)*VLOOKUP('Données projet'!$B$13,Paramètres!$A$1:$I$89,5,0)</f>
        <v>234.86450000000002</v>
      </c>
      <c r="CV59" s="14">
        <f t="shared" si="41"/>
        <v>57.33321552572081</v>
      </c>
      <c r="CW59" s="22">
        <f t="shared" si="13"/>
        <v>508.9110212072971</v>
      </c>
      <c r="CX59" s="62">
        <f t="shared" si="14"/>
        <v>783.32241997353913</v>
      </c>
      <c r="CY59" s="62">
        <f ca="1">AVERAGE(OFFSET($CX$3,0,0,'Données projet'!$E$13+1,1))-AVERAGE(OFFSET($H$3,0,0,'Données projet'!$E$13+1,1))</f>
        <v>376.32432344617206</v>
      </c>
      <c r="CZ59" s="62">
        <f t="shared" si="42"/>
        <v>302.77411534670466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0.98533897749679999</v>
      </c>
      <c r="DG59" s="23">
        <f>EXP(-LN(2)/25)*DG58+(1-EXP(-LN(2)/25))/(LN(2)/25)*Calculateur!DB59*Calculateur!DD59*VLOOKUP('Données projet'!$B$13,Paramètres!$A$1:$I$89,3,0)*0.475*44/12</f>
        <v>1.7914243076979117</v>
      </c>
      <c r="DH59" s="23">
        <f>EXP(-LN(2)/2)*DH58+(1-EXP(-LN(2)/2))/(LN(2)/2)*DB59*DE59*VLOOKUP('Données projet'!$B$13,Paramètres!$A$1:$I$89,3,0)*0.475*44/12</f>
        <v>8.2650746328226138E-5</v>
      </c>
      <c r="DI59" s="24">
        <f t="shared" si="15"/>
        <v>2.77684593594104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64.839472390793262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2.75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10.083333333333334</v>
      </c>
      <c r="H60" s="70">
        <f t="shared" si="1"/>
        <v>216.33333333333334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5.6</v>
      </c>
      <c r="N60" s="14">
        <f>IF('Données projet'!$A$36&gt;35,N59+M60-V59,IF(A60&lt;'Données projet'!$A$36,$K$205^A60,IF(A60='Données projet'!$A$36,'Données projet'!$B$36,N59+M60-V59)))</f>
        <v>132.19999999999993</v>
      </c>
      <c r="O60" s="14">
        <f>N60*VLOOKUP('Données projet'!$B$9,Paramètres!$A$1:$I$89,3,0)*VLOOKUP('Données projet'!$B$9,Paramètres!$A$1:$I$89,5,0)</f>
        <v>138.17543999999992</v>
      </c>
      <c r="P60" s="14">
        <f t="shared" si="33"/>
        <v>35.87870583521984</v>
      </c>
      <c r="Q60" s="22">
        <f t="shared" si="53"/>
        <v>303.14430399634108</v>
      </c>
      <c r="R60" s="62">
        <f t="shared" si="0"/>
        <v>577.88395602421383</v>
      </c>
      <c r="S60" s="62">
        <f ca="1">AVERAGE(OFFSET($R$3,0,0,'Données projet'!$E$9+1,1))-AVERAGE(OFFSET($H$3,0,0,'Données projet'!$E$9+1,1))</f>
        <v>338.33619350800484</v>
      </c>
      <c r="T60" s="62">
        <f t="shared" si="34"/>
        <v>173.80539144233424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1.9895196601282805E-13</v>
      </c>
      <c r="AJ60" s="14">
        <f>AI60*VLOOKUP('Données projet'!$B$10,Paramètres!$A$1:$I$89,3,0)*VLOOKUP('Données projet'!$B$10,Paramètres!$A$1:$I$89,5,0)</f>
        <v>1.8001173884840681E-13</v>
      </c>
      <c r="AK60" s="14">
        <f t="shared" si="35"/>
        <v>2.5254331426407198E-12</v>
      </c>
      <c r="AL60" s="22">
        <f t="shared" si="4"/>
        <v>4.7119831685935622E-12</v>
      </c>
      <c r="AM60" s="62">
        <f t="shared" si="5"/>
        <v>274.73965202787747</v>
      </c>
      <c r="AN60" s="62">
        <f ca="1">AVERAGE(OFFSET($AM$3,0,0,'Données projet'!$E$10+1,1))-AVERAGE(OFFSET($H$3,0,0,'Données projet'!$E$10+1,1))</f>
        <v>308.01218908312546</v>
      </c>
      <c r="AO60" s="62">
        <f t="shared" si="36"/>
        <v>433.94915035190684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2.5888615215799722</v>
      </c>
      <c r="AV60" s="23">
        <f>EXP(-LN(2)/25)*AV59+(1-EXP(-LN(2)/25))/(LN(2)/25)*Calculateur!AQ60*Calculateur!AS60*VLOOKUP('Données projet'!$B$10,Paramètres!$A$1:$I$89,3,0)*0.475*44/12</f>
        <v>3.6944419656105527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6.2833034871905245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5.6</v>
      </c>
      <c r="BD60" s="13">
        <f>IF('Données projet'!$A$88&gt;35,BD59+BC60-BL59,IF(A60&lt;'Données projet'!$A$88,$BA$205^A60,IF(A60='Données projet'!$A$88,'Données projet'!$B$88,BD59+BC60-BL59)))</f>
        <v>132.19999999999993</v>
      </c>
      <c r="BE60" s="14">
        <f>BD60*VLOOKUP('Données projet'!$B$11,Paramètres!$A$1:$I$89,3,0)*VLOOKUP('Données projet'!$B$11,Paramètres!$A$1:$I$89,5,0)</f>
        <v>134.05079999999995</v>
      </c>
      <c r="BF60" s="14">
        <f t="shared" si="37"/>
        <v>34.930702157857986</v>
      </c>
      <c r="BG60" s="22">
        <f t="shared" si="7"/>
        <v>294.30944959160257</v>
      </c>
      <c r="BH60" s="62">
        <f t="shared" si="8"/>
        <v>569.04910161947532</v>
      </c>
      <c r="BI60" s="62">
        <f ca="1">AVERAGE(OFFSET($BH$3,0,0,'Données projet'!$E$11+1,1))-AVERAGE(OFFSET($H$3,0,0,'Données projet'!$E$11+1,1))</f>
        <v>329.96352570744875</v>
      </c>
      <c r="BJ60" s="62">
        <f t="shared" si="38"/>
        <v>170.12252063636961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</v>
      </c>
      <c r="BY60" s="13">
        <f>IF('Données projet'!$A$114&gt;35,BY59+BX60-CG59,IF(A60&lt;'Données projet'!$A$114,$BV$205^A60,IF(A60='Données projet'!$A$114,'Données projet'!$B$114,BY59+BX60-CG59)))</f>
        <v>313</v>
      </c>
      <c r="BZ60" s="14">
        <f>BY60*VLOOKUP('Données projet'!$B$12,Paramètres!$A$1:$I$89,3,0)*VLOOKUP('Données projet'!$B$12,Paramètres!$A$1:$I$89,5,0)</f>
        <v>146.48400000000001</v>
      </c>
      <c r="CA60" s="14">
        <f t="shared" si="39"/>
        <v>37.778462341926023</v>
      </c>
      <c r="CB60" s="22">
        <f t="shared" si="10"/>
        <v>320.9237885788545</v>
      </c>
      <c r="CC60" s="62">
        <f t="shared" si="11"/>
        <v>595.66344060672725</v>
      </c>
      <c r="CD60" s="62">
        <f ca="1">AVERAGE(OFFSET($CC$3,0,0,'Données projet'!$E$12+1,1))-AVERAGE(OFFSET($H$3,0,0,'Données projet'!$E$12+1,1))</f>
        <v>276.21705775006376</v>
      </c>
      <c r="CE60" s="62">
        <f t="shared" si="40"/>
        <v>234.24947280606958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17.625</v>
      </c>
      <c r="CT60" s="13">
        <f>IF('Données projet'!$A$140&gt;35,CT59+CS60-DB59,IF(A60&lt;'Données projet'!$A$140,$CQ$205^A60,IF(A60='Données projet'!$A$140,'Données projet'!$B$140,CT59+CS60-DB59)))</f>
        <v>410.37500000000006</v>
      </c>
      <c r="CU60" s="18">
        <f>CT60*VLOOKUP('Données projet'!$B$13,Paramètres!$A$1:$I$89,3,0)*VLOOKUP('Données projet'!$B$13,Paramètres!$A$1:$I$89,5,0)</f>
        <v>245.40425000000005</v>
      </c>
      <c r="CV60" s="14">
        <f t="shared" si="41"/>
        <v>59.60076999447687</v>
      </c>
      <c r="CW60" s="22">
        <f t="shared" si="13"/>
        <v>531.21707649038069</v>
      </c>
      <c r="CX60" s="62">
        <f t="shared" si="14"/>
        <v>805.95672851825339</v>
      </c>
      <c r="CY60" s="62">
        <f ca="1">AVERAGE(OFFSET($CX$3,0,0,'Données projet'!$E$13+1,1))-AVERAGE(OFFSET($H$3,0,0,'Données projet'!$E$13+1,1))</f>
        <v>376.32432344617206</v>
      </c>
      <c r="CZ60" s="62">
        <f t="shared" si="42"/>
        <v>302.77411534670466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0.96601708114552043</v>
      </c>
      <c r="DG60" s="23">
        <f>EXP(-LN(2)/25)*DG59+(1-EXP(-LN(2)/25))/(LN(2)/25)*Calculateur!DB60*Calculateur!DD60*VLOOKUP('Données projet'!$B$13,Paramètres!$A$1:$I$89,3,0)*0.475*44/12</f>
        <v>1.7424377157970024</v>
      </c>
      <c r="DH60" s="23">
        <f>EXP(-LN(2)/2)*DH59+(1-EXP(-LN(2)/2))/(LN(2)/2)*DB60*DE60*VLOOKUP('Données projet'!$B$13,Paramètres!$A$1:$I$89,3,0)*0.475*44/12</f>
        <v>5.8442903198817847E-5</v>
      </c>
      <c r="DI60" s="24">
        <f t="shared" si="15"/>
        <v>2.7085132398457215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64.928996007601654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2.75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10.083333333333334</v>
      </c>
      <c r="H61" s="70">
        <f t="shared" si="1"/>
        <v>216.33333333333334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5.6</v>
      </c>
      <c r="N61" s="14">
        <f>IF('Données projet'!$A$36&gt;35,N60+M61-V60,IF(A61&lt;'Données projet'!$A$36,$K$205^A61,IF(A61='Données projet'!$A$36,'Données projet'!$B$36,N60+M61-V60)))</f>
        <v>137.79999999999993</v>
      </c>
      <c r="O61" s="14">
        <f>N61*VLOOKUP('Données projet'!$B$9,Paramètres!$A$1:$I$89,3,0)*VLOOKUP('Données projet'!$B$9,Paramètres!$A$1:$I$89,5,0)</f>
        <v>144.02855999999994</v>
      </c>
      <c r="P61" s="14">
        <f t="shared" si="33"/>
        <v>37.218362737449134</v>
      </c>
      <c r="Q61" s="22">
        <f t="shared" si="53"/>
        <v>315.67172376772379</v>
      </c>
      <c r="R61" s="62">
        <f t="shared" si="0"/>
        <v>590.73393459700242</v>
      </c>
      <c r="S61" s="62">
        <f ca="1">AVERAGE(OFFSET($R$3,0,0,'Données projet'!$E$9+1,1))-AVERAGE(OFFSET($H$3,0,0,'Données projet'!$E$9+1,1))</f>
        <v>338.33619350800484</v>
      </c>
      <c r="T61" s="62">
        <f t="shared" si="34"/>
        <v>173.80539144233424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1.9895196601282805E-13</v>
      </c>
      <c r="AJ61" s="14">
        <f>AI61*VLOOKUP('Données projet'!$B$10,Paramètres!$A$1:$I$89,3,0)*VLOOKUP('Données projet'!$B$10,Paramètres!$A$1:$I$89,5,0)</f>
        <v>1.8001173884840681E-13</v>
      </c>
      <c r="AK61" s="14">
        <f t="shared" si="35"/>
        <v>2.5254331426407198E-12</v>
      </c>
      <c r="AL61" s="22">
        <f t="shared" si="4"/>
        <v>4.7119831685935622E-12</v>
      </c>
      <c r="AM61" s="62">
        <f t="shared" si="5"/>
        <v>275.06221082928334</v>
      </c>
      <c r="AN61" s="62">
        <f ca="1">AVERAGE(OFFSET($AM$3,0,0,'Données projet'!$E$10+1,1))-AVERAGE(OFFSET($H$3,0,0,'Données projet'!$E$10+1,1))</f>
        <v>308.01218908312546</v>
      </c>
      <c r="AO61" s="62">
        <f t="shared" si="36"/>
        <v>433.94915035190684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2.5380955261913991</v>
      </c>
      <c r="AV61" s="23">
        <f>EXP(-LN(2)/25)*AV60+(1-EXP(-LN(2)/25))/(LN(2)/25)*Calculateur!AQ61*Calculateur!AS61*VLOOKUP('Données projet'!$B$10,Paramètres!$A$1:$I$89,3,0)*0.475*44/12</f>
        <v>3.593417255778673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6.1315127819700717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5.6</v>
      </c>
      <c r="BD61" s="13">
        <f>IF('Données projet'!$A$88&gt;35,BD60+BC61-BL60,IF(A61&lt;'Données projet'!$A$88,$BA$205^A61,IF(A61='Données projet'!$A$88,'Données projet'!$B$88,BD60+BC61-BL60)))</f>
        <v>137.79999999999993</v>
      </c>
      <c r="BE61" s="14">
        <f>BD61*VLOOKUP('Données projet'!$B$11,Paramètres!$A$1:$I$89,3,0)*VLOOKUP('Données projet'!$B$11,Paramètres!$A$1:$I$89,5,0)</f>
        <v>139.72919999999993</v>
      </c>
      <c r="BF61" s="14">
        <f t="shared" si="37"/>
        <v>36.234962028891381</v>
      </c>
      <c r="BG61" s="22">
        <f t="shared" si="7"/>
        <v>306.47091553365232</v>
      </c>
      <c r="BH61" s="62">
        <f t="shared" si="8"/>
        <v>581.53312636293094</v>
      </c>
      <c r="BI61" s="62">
        <f ca="1">AVERAGE(OFFSET($BH$3,0,0,'Données projet'!$E$11+1,1))-AVERAGE(OFFSET($H$3,0,0,'Données projet'!$E$11+1,1))</f>
        <v>329.96352570744875</v>
      </c>
      <c r="BJ61" s="62">
        <f t="shared" si="38"/>
        <v>170.12252063636961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</v>
      </c>
      <c r="BY61" s="13">
        <f>IF('Données projet'!$A$114&gt;35,BY60+BX61-CG60,IF(A61&lt;'Données projet'!$A$114,$BV$205^A61,IF(A61='Données projet'!$A$114,'Données projet'!$B$114,BY60+BX61-CG60)))</f>
        <v>321</v>
      </c>
      <c r="BZ61" s="14">
        <f>BY61*VLOOKUP('Données projet'!$B$12,Paramètres!$A$1:$I$89,3,0)*VLOOKUP('Données projet'!$B$12,Paramètres!$A$1:$I$89,5,0)</f>
        <v>150.22800000000001</v>
      </c>
      <c r="CA61" s="14">
        <f t="shared" si="39"/>
        <v>38.630394857933659</v>
      </c>
      <c r="CB61" s="22">
        <f t="shared" si="10"/>
        <v>328.92837104423444</v>
      </c>
      <c r="CC61" s="62">
        <f t="shared" si="11"/>
        <v>603.99058187351307</v>
      </c>
      <c r="CD61" s="62">
        <f ca="1">AVERAGE(OFFSET($CC$3,0,0,'Données projet'!$E$12+1,1))-AVERAGE(OFFSET($H$3,0,0,'Données projet'!$E$12+1,1))</f>
        <v>276.21705775006376</v>
      </c>
      <c r="CE61" s="62">
        <f t="shared" si="40"/>
        <v>234.24947280606958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>
        <f>VLOOKUP(A61,'Données projet'!$A$139:$I$159,2,0)</f>
        <v>428</v>
      </c>
      <c r="CR61" s="13">
        <f>VLOOKUP(A61,'Données projet'!$A$139:$I$159,9,0)</f>
        <v>17.625</v>
      </c>
      <c r="CS61" s="13">
        <f t="array" ref="CS61">INDEX(CR:CR,MIN(IF(ISNUMBER(CR61:CR257),ROW(CR61:CR257),"")))</f>
        <v>17.625</v>
      </c>
      <c r="CT61" s="13">
        <f>IF('Données projet'!$A$140&gt;35,CT60+CS61-DB60,IF(A61&lt;'Données projet'!$A$140,$CQ$205^A61,IF(A61='Données projet'!$A$140,'Données projet'!$B$140,CT60+CS61-DB60)))</f>
        <v>428.00000000000006</v>
      </c>
      <c r="CU61" s="18">
        <f>CT61*VLOOKUP('Données projet'!$B$13,Paramètres!$A$1:$I$89,3,0)*VLOOKUP('Données projet'!$B$13,Paramètres!$A$1:$I$89,5,0)</f>
        <v>255.94400000000005</v>
      </c>
      <c r="CV61" s="14">
        <f t="shared" si="41"/>
        <v>61.857013102708898</v>
      </c>
      <c r="CW61" s="22">
        <f t="shared" si="13"/>
        <v>553.50343115388478</v>
      </c>
      <c r="CX61" s="62">
        <f t="shared" si="14"/>
        <v>828.56564198316346</v>
      </c>
      <c r="CY61" s="62">
        <f ca="1">AVERAGE(OFFSET($CX$3,0,0,'Données projet'!$E$13+1,1))-AVERAGE(OFFSET($H$3,0,0,'Données projet'!$E$13+1,1))</f>
        <v>376.32432344617206</v>
      </c>
      <c r="CZ61" s="62">
        <f t="shared" si="42"/>
        <v>302.77411534670466</v>
      </c>
      <c r="DA61" s="16">
        <f>IF(ISNA(VLOOKUP(A61,'Données projet'!$A$139:$I$159,3,0)),0,VLOOKUP(A61,'Données projet'!$A$139:$I$159,3,0))</f>
        <v>8</v>
      </c>
      <c r="DB61" s="16">
        <f>IF(ISNA(VLOOKUP(A61,'Données projet'!$A$139:$I$159,4,0)),0,VLOOKUP(A61,'Données projet'!$A$139:$I$159,4,0))</f>
        <v>78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0.94707407539649635</v>
      </c>
      <c r="DG61" s="23">
        <f>EXP(-LN(2)/25)*DG60+(1-EXP(-LN(2)/25))/(LN(2)/25)*Calculateur!DB61*Calculateur!DD61*VLOOKUP('Données projet'!$B$13,Paramètres!$A$1:$I$89,3,0)*0.475*44/12</f>
        <v>1.6947906648277162</v>
      </c>
      <c r="DH61" s="23">
        <f>EXP(-LN(2)/2)*DH60+(1-EXP(-LN(2)/2))/(LN(2)/2)*DB61*DE61*VLOOKUP('Données projet'!$B$13,Paramètres!$A$1:$I$89,3,0)*0.475*44/12</f>
        <v>4.1325373164113076E-5</v>
      </c>
      <c r="DI61" s="24">
        <f t="shared" si="15"/>
        <v>2.6419060655973765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65.01696658980326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2.75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10.083333333333334</v>
      </c>
      <c r="H62" s="70">
        <f t="shared" si="1"/>
        <v>216.33333333333334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5.6</v>
      </c>
      <c r="N62" s="14">
        <f>IF('Données projet'!$A$36&gt;35,N61+M62-V61,IF(A62&lt;'Données projet'!$A$36,$K$205^A62,IF(A62='Données projet'!$A$36,'Données projet'!$B$36,N61+M62-V61)))</f>
        <v>143.39999999999992</v>
      </c>
      <c r="O62" s="14">
        <f>N62*VLOOKUP('Données projet'!$B$9,Paramètres!$A$1:$I$89,3,0)*VLOOKUP('Données projet'!$B$9,Paramètres!$A$1:$I$89,5,0)</f>
        <v>149.88167999999993</v>
      </c>
      <c r="P62" s="14">
        <f t="shared" si="33"/>
        <v>38.551695741507764</v>
      </c>
      <c r="Q62" s="22">
        <f t="shared" si="53"/>
        <v>328.18812941645922</v>
      </c>
      <c r="R62" s="62">
        <f t="shared" si="0"/>
        <v>603.56730337307272</v>
      </c>
      <c r="S62" s="62">
        <f ca="1">AVERAGE(OFFSET($R$3,0,0,'Données projet'!$E$9+1,1))-AVERAGE(OFFSET($H$3,0,0,'Données projet'!$E$9+1,1))</f>
        <v>338.33619350800484</v>
      </c>
      <c r="T62" s="62">
        <f t="shared" si="34"/>
        <v>173.80539144233424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1.9895196601282805E-13</v>
      </c>
      <c r="AJ62" s="14">
        <f>AI62*VLOOKUP('Données projet'!$B$10,Paramètres!$A$1:$I$89,3,0)*VLOOKUP('Données projet'!$B$10,Paramètres!$A$1:$I$89,5,0)</f>
        <v>1.8001173884840681E-13</v>
      </c>
      <c r="AK62" s="14">
        <f t="shared" si="35"/>
        <v>2.5254331426407198E-12</v>
      </c>
      <c r="AL62" s="22">
        <f t="shared" si="4"/>
        <v>4.7119831685935622E-12</v>
      </c>
      <c r="AM62" s="62">
        <f t="shared" si="5"/>
        <v>275.37917395661822</v>
      </c>
      <c r="AN62" s="62">
        <f ca="1">AVERAGE(OFFSET($AM$3,0,0,'Données projet'!$E$10+1,1))-AVERAGE(OFFSET($H$3,0,0,'Données projet'!$E$10+1,1))</f>
        <v>308.01218908312546</v>
      </c>
      <c r="AO62" s="62">
        <f t="shared" si="36"/>
        <v>433.94915035190684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2.4883250210081962</v>
      </c>
      <c r="AV62" s="23">
        <f>EXP(-LN(2)/25)*AV61+(1-EXP(-LN(2)/25))/(LN(2)/25)*Calculateur!AQ62*Calculateur!AS62*VLOOKUP('Données projet'!$B$10,Paramètres!$A$1:$I$89,3,0)*0.475*44/12</f>
        <v>3.4951550719498043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5.9834800929580005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5.6</v>
      </c>
      <c r="BD62" s="13">
        <f>IF('Données projet'!$A$88&gt;35,BD61+BC62-BL61,IF(A62&lt;'Données projet'!$A$88,$BA$205^A62,IF(A62='Données projet'!$A$88,'Données projet'!$B$88,BD61+BC62-BL61)))</f>
        <v>143.39999999999992</v>
      </c>
      <c r="BE62" s="14">
        <f>BD62*VLOOKUP('Données projet'!$B$11,Paramètres!$A$1:$I$89,3,0)*VLOOKUP('Données projet'!$B$11,Paramètres!$A$1:$I$89,5,0)</f>
        <v>145.40759999999992</v>
      </c>
      <c r="BF62" s="14">
        <f t="shared" si="37"/>
        <v>37.533065094701904</v>
      </c>
      <c r="BG62" s="22">
        <f t="shared" si="7"/>
        <v>318.62165837327228</v>
      </c>
      <c r="BH62" s="62">
        <f t="shared" si="8"/>
        <v>594.00083232988572</v>
      </c>
      <c r="BI62" s="62">
        <f ca="1">AVERAGE(OFFSET($BH$3,0,0,'Données projet'!$E$11+1,1))-AVERAGE(OFFSET($H$3,0,0,'Données projet'!$E$11+1,1))</f>
        <v>329.96352570744875</v>
      </c>
      <c r="BJ62" s="62">
        <f t="shared" si="38"/>
        <v>170.12252063636961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</v>
      </c>
      <c r="BY62" s="13">
        <f>IF('Données projet'!$A$114&gt;35,BY61+BX62-CG61,IF(A62&lt;'Données projet'!$A$114,$BV$205^A62,IF(A62='Données projet'!$A$114,'Données projet'!$B$114,BY61+BX62-CG61)))</f>
        <v>329</v>
      </c>
      <c r="BZ62" s="14">
        <f>BY62*VLOOKUP('Données projet'!$B$12,Paramètres!$A$1:$I$89,3,0)*VLOOKUP('Données projet'!$B$12,Paramètres!$A$1:$I$89,5,0)</f>
        <v>153.97200000000001</v>
      </c>
      <c r="CA62" s="14">
        <f t="shared" si="39"/>
        <v>39.479859284656378</v>
      </c>
      <c r="CB62" s="22">
        <f t="shared" si="10"/>
        <v>336.92865492077652</v>
      </c>
      <c r="CC62" s="62">
        <f t="shared" si="11"/>
        <v>612.30782887738997</v>
      </c>
      <c r="CD62" s="62">
        <f ca="1">AVERAGE(OFFSET($CC$3,0,0,'Données projet'!$E$12+1,1))-AVERAGE(OFFSET($H$3,0,0,'Données projet'!$E$12+1,1))</f>
        <v>276.21705775006376</v>
      </c>
      <c r="CE62" s="62">
        <f t="shared" si="40"/>
        <v>234.24947280606958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16.625</v>
      </c>
      <c r="CT62" s="13">
        <f>IF('Données projet'!$A$140&gt;35,CT61+CS62-DB61,IF(A62&lt;'Données projet'!$A$140,$CQ$205^A62,IF(A62='Données projet'!$A$140,'Données projet'!$B$140,CT61+CS62-DB61)))</f>
        <v>366.62500000000006</v>
      </c>
      <c r="CU62" s="18">
        <f>CT62*VLOOKUP('Données projet'!$B$13,Paramètres!$A$1:$I$89,3,0)*VLOOKUP('Données projet'!$B$13,Paramètres!$A$1:$I$89,5,0)</f>
        <v>219.24175000000005</v>
      </c>
      <c r="CV62" s="14">
        <f t="shared" si="41"/>
        <v>53.950050729111297</v>
      </c>
      <c r="CW62" s="22">
        <f t="shared" si="13"/>
        <v>475.80905293653558</v>
      </c>
      <c r="CX62" s="62">
        <f t="shared" si="14"/>
        <v>751.18822689314902</v>
      </c>
      <c r="CY62" s="62">
        <f ca="1">AVERAGE(OFFSET($CX$3,0,0,'Données projet'!$E$13+1,1))-AVERAGE(OFFSET($H$3,0,0,'Données projet'!$E$13+1,1))</f>
        <v>376.32432344617206</v>
      </c>
      <c r="CZ62" s="62">
        <f t="shared" si="42"/>
        <v>302.77411534670466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0.92850253043611808</v>
      </c>
      <c r="DG62" s="23">
        <f>EXP(-LN(2)/25)*DG61+(1-EXP(-LN(2)/25))/(LN(2)/25)*Calculateur!DB62*Calculateur!DD62*VLOOKUP('Données projet'!$B$13,Paramètres!$A$1:$I$89,3,0)*0.475*44/12</f>
        <v>1.6484465249728348</v>
      </c>
      <c r="DH62" s="23">
        <f>EXP(-LN(2)/2)*DH61+(1-EXP(-LN(2)/2))/(LN(2)/2)*DB62*DE62*VLOOKUP('Données projet'!$B$13,Paramètres!$A$1:$I$89,3,0)*0.475*44/12</f>
        <v>2.9221451599408931E-5</v>
      </c>
      <c r="DI62" s="24">
        <f t="shared" si="15"/>
        <v>2.5769782768605523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65.103411079076409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2.75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10.083333333333334</v>
      </c>
      <c r="H63" s="70">
        <f t="shared" si="1"/>
        <v>216.33333333333334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149</v>
      </c>
      <c r="L63" s="13">
        <f>VLOOKUP(A63,'Données projet'!$A$35:$I$55,9,0)</f>
        <v>5.6</v>
      </c>
      <c r="M63" s="13">
        <f t="array" ref="M63">INDEX(L:L,MIN(IF(ISNUMBER(L63:L259),ROW(L63:L259),"")))</f>
        <v>5.6</v>
      </c>
      <c r="N63" s="14">
        <f>IF('Données projet'!$A$36&gt;35,N62+M63-V62,IF(A63&lt;'Données projet'!$A$36,$K$205^A63,IF(A63='Données projet'!$A$36,'Données projet'!$B$36,N62+M63-V62)))</f>
        <v>148.99999999999991</v>
      </c>
      <c r="O63" s="14">
        <f>N63*VLOOKUP('Données projet'!$B$9,Paramètres!$A$1:$I$89,3,0)*VLOOKUP('Données projet'!$B$9,Paramètres!$A$1:$I$89,5,0)</f>
        <v>155.73479999999995</v>
      </c>
      <c r="P63" s="14">
        <f t="shared" si="33"/>
        <v>39.878980068529806</v>
      </c>
      <c r="Q63" s="22">
        <f t="shared" si="53"/>
        <v>340.69400028602269</v>
      </c>
      <c r="R63" s="62">
        <f t="shared" si="0"/>
        <v>616.38463876833532</v>
      </c>
      <c r="S63" s="62">
        <f ca="1">AVERAGE(OFFSET($R$3,0,0,'Données projet'!$E$9+1,1))-AVERAGE(OFFSET($H$3,0,0,'Données projet'!$E$9+1,1))</f>
        <v>338.33619350800484</v>
      </c>
      <c r="T63" s="62">
        <f t="shared" si="34"/>
        <v>173.80539144233424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1.9895196601282805E-13</v>
      </c>
      <c r="AJ63" s="14">
        <f>AI63*VLOOKUP('Données projet'!$B$10,Paramètres!$A$1:$I$89,3,0)*VLOOKUP('Données projet'!$B$10,Paramètres!$A$1:$I$89,5,0)</f>
        <v>1.8001173884840681E-13</v>
      </c>
      <c r="AK63" s="14">
        <f t="shared" si="35"/>
        <v>2.5254331426407198E-12</v>
      </c>
      <c r="AL63" s="22">
        <f t="shared" si="4"/>
        <v>4.7119831685935622E-12</v>
      </c>
      <c r="AM63" s="62">
        <f t="shared" si="5"/>
        <v>275.69063848231735</v>
      </c>
      <c r="AN63" s="62">
        <f ca="1">AVERAGE(OFFSET($AM$3,0,0,'Données projet'!$E$10+1,1))-AVERAGE(OFFSET($H$3,0,0,'Données projet'!$E$10+1,1))</f>
        <v>308.01218908312546</v>
      </c>
      <c r="AO63" s="62">
        <f t="shared" si="36"/>
        <v>433.94915035190684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2.4395304850746249</v>
      </c>
      <c r="AV63" s="23">
        <f>EXP(-LN(2)/25)*AV62+(1-EXP(-LN(2)/25))/(LN(2)/25)*Calculateur!AQ63*Calculateur!AS63*VLOOKUP('Données projet'!$B$10,Paramètres!$A$1:$I$89,3,0)*0.475*44/12</f>
        <v>3.3995798727051199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5.8391103577797452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149</v>
      </c>
      <c r="BB63" s="13">
        <f>VLOOKUP(A63,'Données projet'!$A$87:$I$107,9,0)</f>
        <v>5.6</v>
      </c>
      <c r="BC63" s="13">
        <f t="array" ref="BC63">INDEX(BB:BB,MIN(IF(ISNUMBER(BB63:BB259),ROW(BB63:BB259),"")))</f>
        <v>5.6</v>
      </c>
      <c r="BD63" s="13">
        <f>IF('Données projet'!$A$88&gt;35,BD62+BC63-BL62,IF(A63&lt;'Données projet'!$A$88,$BA$205^A63,IF(A63='Données projet'!$A$88,'Données projet'!$B$88,BD62+BC63-BL62)))</f>
        <v>148.99999999999991</v>
      </c>
      <c r="BE63" s="14">
        <f>BD63*VLOOKUP('Données projet'!$B$11,Paramètres!$A$1:$I$89,3,0)*VLOOKUP('Données projet'!$B$11,Paramètres!$A$1:$I$89,5,0)</f>
        <v>151.08599999999993</v>
      </c>
      <c r="BF63" s="14">
        <f t="shared" si="37"/>
        <v>38.825279304404233</v>
      </c>
      <c r="BG63" s="22">
        <f t="shared" si="7"/>
        <v>330.76214478850392</v>
      </c>
      <c r="BH63" s="62">
        <f t="shared" si="8"/>
        <v>606.45278327081655</v>
      </c>
      <c r="BI63" s="62">
        <f ca="1">AVERAGE(OFFSET($BH$3,0,0,'Données projet'!$E$11+1,1))-AVERAGE(OFFSET($H$3,0,0,'Données projet'!$E$11+1,1))</f>
        <v>329.96352570744875</v>
      </c>
      <c r="BJ63" s="62">
        <f t="shared" si="38"/>
        <v>170.12252063636961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337</v>
      </c>
      <c r="BW63" s="13">
        <f>VLOOKUP(A63,'Données projet'!$A$113:$I$133,9,0)</f>
        <v>8</v>
      </c>
      <c r="BX63" s="13">
        <f t="array" ref="BX63">INDEX(BW:BW,MIN(IF(ISNUMBER(BW63:BW259),ROW(BW63:BW259),"")))</f>
        <v>8</v>
      </c>
      <c r="BY63" s="13">
        <f>IF('Données projet'!$A$114&gt;35,BY62+BX63-CG62,IF(A63&lt;'Données projet'!$A$114,$BV$205^A63,IF(A63='Données projet'!$A$114,'Données projet'!$B$114,BY62+BX63-CG62)))</f>
        <v>337</v>
      </c>
      <c r="BZ63" s="14">
        <f>BY63*VLOOKUP('Données projet'!$B$12,Paramètres!$A$1:$I$89,3,0)*VLOOKUP('Données projet'!$B$12,Paramètres!$A$1:$I$89,5,0)</f>
        <v>157.71600000000001</v>
      </c>
      <c r="CA63" s="14">
        <f t="shared" si="39"/>
        <v>40.326922540698838</v>
      </c>
      <c r="CB63" s="22">
        <f t="shared" si="10"/>
        <v>344.92475675838381</v>
      </c>
      <c r="CC63" s="62">
        <f t="shared" si="11"/>
        <v>620.61539524069644</v>
      </c>
      <c r="CD63" s="62">
        <f ca="1">AVERAGE(OFFSET($CC$3,0,0,'Données projet'!$E$12+1,1))-AVERAGE(OFFSET($H$3,0,0,'Données projet'!$E$12+1,1))</f>
        <v>276.21705775006376</v>
      </c>
      <c r="CE63" s="62">
        <f t="shared" si="40"/>
        <v>234.24947280606958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67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16.625</v>
      </c>
      <c r="CT63" s="13">
        <f>IF('Données projet'!$A$140&gt;35,CT62+CS63-DB62,IF(A63&lt;'Données projet'!$A$140,$CQ$205^A63,IF(A63='Données projet'!$A$140,'Données projet'!$B$140,CT62+CS63-DB62)))</f>
        <v>383.25000000000006</v>
      </c>
      <c r="CU63" s="18">
        <f>CT63*VLOOKUP('Données projet'!$B$13,Paramètres!$A$1:$I$89,3,0)*VLOOKUP('Données projet'!$B$13,Paramètres!$A$1:$I$89,5,0)</f>
        <v>229.18350000000007</v>
      </c>
      <c r="CV63" s="14">
        <f t="shared" si="41"/>
        <v>56.106098616839645</v>
      </c>
      <c r="CW63" s="22">
        <f t="shared" si="13"/>
        <v>496.87938425766248</v>
      </c>
      <c r="CX63" s="62">
        <f t="shared" si="14"/>
        <v>772.57002273997512</v>
      </c>
      <c r="CY63" s="62">
        <f ca="1">AVERAGE(OFFSET($CX$3,0,0,'Données projet'!$E$13+1,1))-AVERAGE(OFFSET($H$3,0,0,'Données projet'!$E$13+1,1))</f>
        <v>376.32432344617206</v>
      </c>
      <c r="CZ63" s="62">
        <f t="shared" si="42"/>
        <v>302.77411534670466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0.91029516214488881</v>
      </c>
      <c r="DG63" s="23">
        <f>EXP(-LN(2)/25)*DG62+(1-EXP(-LN(2)/25))/(LN(2)/25)*Calculateur!DB63*Calculateur!DD63*VLOOKUP('Données projet'!$B$13,Paramètres!$A$1:$I$89,3,0)*0.475*44/12</f>
        <v>1.6033696680594174</v>
      </c>
      <c r="DH63" s="23">
        <f>EXP(-LN(2)/2)*DH62+(1-EXP(-LN(2)/2))/(LN(2)/2)*DB63*DE63*VLOOKUP('Données projet'!$B$13,Paramètres!$A$1:$I$89,3,0)*0.475*44/12</f>
        <v>2.0662686582056541E-5</v>
      </c>
      <c r="DI63" s="24">
        <f t="shared" si="15"/>
        <v>2.5136854928908883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65.188355949721625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2.75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10.083333333333334</v>
      </c>
      <c r="H64" s="70">
        <f t="shared" si="1"/>
        <v>216.33333333333334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140.1999999999999</v>
      </c>
      <c r="O64" s="14">
        <f>N64*VLOOKUP('Données projet'!$B$9,Paramètres!$A$1:$I$89,3,0)*VLOOKUP('Données projet'!$B$9,Paramètres!$A$1:$I$89,5,0)</f>
        <v>146.53703999999991</v>
      </c>
      <c r="P64" s="14">
        <f t="shared" si="33"/>
        <v>37.790548942168961</v>
      </c>
      <c r="Q64" s="22">
        <f t="shared" si="53"/>
        <v>321.03721740761074</v>
      </c>
      <c r="R64" s="62">
        <f t="shared" si="0"/>
        <v>597.03391720243189</v>
      </c>
      <c r="S64" s="62">
        <f ca="1">AVERAGE(OFFSET($R$3,0,0,'Données projet'!$E$9+1,1))-AVERAGE(OFFSET($H$3,0,0,'Données projet'!$E$9+1,1))</f>
        <v>338.33619350800484</v>
      </c>
      <c r="T64" s="62">
        <f t="shared" si="34"/>
        <v>173.80539144233424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1.9895196601282805E-13</v>
      </c>
      <c r="AJ64" s="14">
        <f>AI64*VLOOKUP('Données projet'!$B$10,Paramètres!$A$1:$I$89,3,0)*VLOOKUP('Données projet'!$B$10,Paramètres!$A$1:$I$89,5,0)</f>
        <v>1.8001173884840681E-13</v>
      </c>
      <c r="AK64" s="14">
        <f t="shared" si="35"/>
        <v>2.5254331426407198E-12</v>
      </c>
      <c r="AL64" s="22">
        <f t="shared" si="4"/>
        <v>4.7119831685935622E-12</v>
      </c>
      <c r="AM64" s="62">
        <f t="shared" si="5"/>
        <v>275.99669979482582</v>
      </c>
      <c r="AN64" s="62">
        <f ca="1">AVERAGE(OFFSET($AM$3,0,0,'Données projet'!$E$10+1,1))-AVERAGE(OFFSET($H$3,0,0,'Données projet'!$E$10+1,1))</f>
        <v>308.01218908312546</v>
      </c>
      <c r="AO64" s="62">
        <f t="shared" si="36"/>
        <v>433.94915035190684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2.3916927802289827</v>
      </c>
      <c r="AV64" s="23">
        <f>EXP(-LN(2)/25)*AV63+(1-EXP(-LN(2)/25))/(LN(2)/25)*Calculateur!AQ64*Calculateur!AS64*VLOOKUP('Données projet'!$B$10,Paramètres!$A$1:$I$89,3,0)*0.475*44/12</f>
        <v>3.3066181823098626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5.6983109625388453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</v>
      </c>
      <c r="BD64" s="13">
        <f>IF('Données projet'!$A$88&gt;35,BD63+BC64-BL63,IF(A64&lt;'Données projet'!$A$88,$BA$205^A64,IF(A64='Données projet'!$A$88,'Données projet'!$B$88,BD63+BC64-BL63)))</f>
        <v>140.1999999999999</v>
      </c>
      <c r="BE64" s="14">
        <f>BD64*VLOOKUP('Données projet'!$B$11,Paramètres!$A$1:$I$89,3,0)*VLOOKUP('Données projet'!$B$11,Paramètres!$A$1:$I$89,5,0)</f>
        <v>142.16279999999992</v>
      </c>
      <c r="BF64" s="14">
        <f t="shared" si="37"/>
        <v>36.792029666383577</v>
      </c>
      <c r="BG64" s="22">
        <f t="shared" si="7"/>
        <v>311.67966166895121</v>
      </c>
      <c r="BH64" s="62">
        <f t="shared" si="8"/>
        <v>587.67636146377231</v>
      </c>
      <c r="BI64" s="62">
        <f ca="1">AVERAGE(OFFSET($BH$3,0,0,'Données projet'!$E$11+1,1))-AVERAGE(OFFSET($H$3,0,0,'Données projet'!$E$11+1,1))</f>
        <v>329.96352570744875</v>
      </c>
      <c r="BJ64" s="62">
        <f t="shared" si="38"/>
        <v>170.12252063636961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7.5</v>
      </c>
      <c r="BY64" s="13">
        <f>IF('Données projet'!$A$114&gt;35,BY63+BX64-CG63,IF(A64&lt;'Données projet'!$A$114,$BV$205^A64,IF(A64='Données projet'!$A$114,'Données projet'!$B$114,BY63+BX64-CG63)))</f>
        <v>277.5</v>
      </c>
      <c r="BZ64" s="14">
        <f>BY64*VLOOKUP('Données projet'!$B$12,Paramètres!$A$1:$I$89,3,0)*VLOOKUP('Données projet'!$B$12,Paramètres!$A$1:$I$89,5,0)</f>
        <v>129.87</v>
      </c>
      <c r="CA64" s="14">
        <f t="shared" si="39"/>
        <v>33.966318400312318</v>
      </c>
      <c r="CB64" s="22">
        <f t="shared" si="10"/>
        <v>285.34825454721067</v>
      </c>
      <c r="CC64" s="62">
        <f t="shared" si="11"/>
        <v>561.34495434203177</v>
      </c>
      <c r="CD64" s="62">
        <f ca="1">AVERAGE(OFFSET($CC$3,0,0,'Données projet'!$E$12+1,1))-AVERAGE(OFFSET($H$3,0,0,'Données projet'!$E$12+1,1))</f>
        <v>276.21705775006376</v>
      </c>
      <c r="CE64" s="62">
        <f t="shared" si="40"/>
        <v>234.24947280606958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16.625</v>
      </c>
      <c r="CT64" s="13">
        <f>IF('Données projet'!$A$140&gt;35,CT63+CS64-DB63,IF(A64&lt;'Données projet'!$A$140,$CQ$205^A64,IF(A64='Données projet'!$A$140,'Données projet'!$B$140,CT63+CS64-DB63)))</f>
        <v>399.87500000000006</v>
      </c>
      <c r="CU64" s="18">
        <f>CT64*VLOOKUP('Données projet'!$B$13,Paramètres!$A$1:$I$89,3,0)*VLOOKUP('Données projet'!$B$13,Paramètres!$A$1:$I$89,5,0)</f>
        <v>239.12525000000005</v>
      </c>
      <c r="CV64" s="14">
        <f t="shared" si="41"/>
        <v>58.251283780505084</v>
      </c>
      <c r="CW64" s="22">
        <f t="shared" si="13"/>
        <v>517.93079633437981</v>
      </c>
      <c r="CX64" s="62">
        <f t="shared" si="14"/>
        <v>793.9274961292009</v>
      </c>
      <c r="CY64" s="62">
        <f ca="1">AVERAGE(OFFSET($CX$3,0,0,'Données projet'!$E$13+1,1))-AVERAGE(OFFSET($H$3,0,0,'Données projet'!$E$13+1,1))</f>
        <v>376.32432344617206</v>
      </c>
      <c r="CZ64" s="62">
        <f t="shared" si="42"/>
        <v>302.77411534670466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0.89244482924045254</v>
      </c>
      <c r="DG64" s="23">
        <f>EXP(-LN(2)/25)*DG63+(1-EXP(-LN(2)/25))/(LN(2)/25)*Calculateur!DB64*Calculateur!DD64*VLOOKUP('Données projet'!$B$13,Paramètres!$A$1:$I$89,3,0)*0.475*44/12</f>
        <v>1.5595254401687864</v>
      </c>
      <c r="DH64" s="23">
        <f>EXP(-LN(2)/2)*DH63+(1-EXP(-LN(2)/2))/(LN(2)/2)*DB64*DE64*VLOOKUP('Données projet'!$B$13,Paramètres!$A$1:$I$89,3,0)*0.475*44/12</f>
        <v>1.4610725799704467E-5</v>
      </c>
      <c r="DI64" s="24">
        <f t="shared" si="15"/>
        <v>2.451984880135039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65.271827216769395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2.75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10.083333333333334</v>
      </c>
      <c r="H65" s="70">
        <f t="shared" si="1"/>
        <v>216.33333333333334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145.39999999999989</v>
      </c>
      <c r="O65" s="14">
        <f>N65*VLOOKUP('Données projet'!$B$9,Paramètres!$A$1:$I$89,3,0)*VLOOKUP('Données projet'!$B$9,Paramètres!$A$1:$I$89,5,0)</f>
        <v>151.97207999999989</v>
      </c>
      <c r="P65" s="14">
        <f t="shared" si="33"/>
        <v>39.02640662456627</v>
      </c>
      <c r="Q65" s="22">
        <f t="shared" si="53"/>
        <v>332.65569753778607</v>
      </c>
      <c r="R65" s="62">
        <f t="shared" si="0"/>
        <v>608.95314916559425</v>
      </c>
      <c r="S65" s="62">
        <f ca="1">AVERAGE(OFFSET($R$3,0,0,'Données projet'!$E$9+1,1))-AVERAGE(OFFSET($H$3,0,0,'Données projet'!$E$9+1,1))</f>
        <v>338.33619350800484</v>
      </c>
      <c r="T65" s="62">
        <f t="shared" si="34"/>
        <v>173.80539144233424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1.9895196601282805E-13</v>
      </c>
      <c r="AJ65" s="14">
        <f>AI65*VLOOKUP('Données projet'!$B$10,Paramètres!$A$1:$I$89,3,0)*VLOOKUP('Données projet'!$B$10,Paramètres!$A$1:$I$89,5,0)</f>
        <v>1.8001173884840681E-13</v>
      </c>
      <c r="AK65" s="14">
        <f t="shared" si="35"/>
        <v>2.5254331426407198E-12</v>
      </c>
      <c r="AL65" s="22">
        <f t="shared" si="4"/>
        <v>4.7119831685935622E-12</v>
      </c>
      <c r="AM65" s="62">
        <f t="shared" si="5"/>
        <v>276.2974516278129</v>
      </c>
      <c r="AN65" s="62">
        <f ca="1">AVERAGE(OFFSET($AM$3,0,0,'Données projet'!$E$10+1,1))-AVERAGE(OFFSET($H$3,0,0,'Données projet'!$E$10+1,1))</f>
        <v>308.01218908312546</v>
      </c>
      <c r="AO65" s="62">
        <f t="shared" si="36"/>
        <v>433.94915035190684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2.3447931435972449</v>
      </c>
      <c r="AV65" s="23">
        <f>EXP(-LN(2)/25)*AV64+(1-EXP(-LN(2)/25))/(LN(2)/25)*Calculateur!AQ65*Calculateur!AS65*VLOOKUP('Données projet'!$B$10,Paramètres!$A$1:$I$89,3,0)*0.475*44/12</f>
        <v>3.2161985342271064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5.5609916778243509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</v>
      </c>
      <c r="BD65" s="13">
        <f>IF('Données projet'!$A$88&gt;35,BD64+BC65-BL64,IF(A65&lt;'Données projet'!$A$88,$BA$205^A65,IF(A65='Données projet'!$A$88,'Données projet'!$B$88,BD64+BC65-BL64)))</f>
        <v>145.39999999999989</v>
      </c>
      <c r="BE65" s="14">
        <f>BD65*VLOOKUP('Données projet'!$B$11,Paramètres!$A$1:$I$89,3,0)*VLOOKUP('Données projet'!$B$11,Paramètres!$A$1:$I$89,5,0)</f>
        <v>147.43559999999991</v>
      </c>
      <c r="BF65" s="14">
        <f t="shared" si="37"/>
        <v>37.995232948340991</v>
      </c>
      <c r="BG65" s="22">
        <f t="shared" si="7"/>
        <v>322.95870071836038</v>
      </c>
      <c r="BH65" s="62">
        <f t="shared" si="8"/>
        <v>599.25615234616862</v>
      </c>
      <c r="BI65" s="62">
        <f ca="1">AVERAGE(OFFSET($BH$3,0,0,'Données projet'!$E$11+1,1))-AVERAGE(OFFSET($H$3,0,0,'Données projet'!$E$11+1,1))</f>
        <v>329.96352570744875</v>
      </c>
      <c r="BJ65" s="62">
        <f t="shared" si="38"/>
        <v>170.12252063636961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7.5</v>
      </c>
      <c r="BY65" s="13">
        <f>IF('Données projet'!$A$114&gt;35,BY64+BX65-CG64,IF(A65&lt;'Données projet'!$A$114,$BV$205^A65,IF(A65='Données projet'!$A$114,'Données projet'!$B$114,BY64+BX65-CG64)))</f>
        <v>285</v>
      </c>
      <c r="BZ65" s="14">
        <f>BY65*VLOOKUP('Données projet'!$B$12,Paramètres!$A$1:$I$89,3,0)*VLOOKUP('Données projet'!$B$12,Paramètres!$A$1:$I$89,5,0)</f>
        <v>133.38</v>
      </c>
      <c r="CA65" s="14">
        <f t="shared" si="39"/>
        <v>34.776207535548991</v>
      </c>
      <c r="CB65" s="22">
        <f t="shared" si="10"/>
        <v>292.8720614577478</v>
      </c>
      <c r="CC65" s="62">
        <f t="shared" si="11"/>
        <v>569.16951308555599</v>
      </c>
      <c r="CD65" s="62">
        <f ca="1">AVERAGE(OFFSET($CC$3,0,0,'Données projet'!$E$12+1,1))-AVERAGE(OFFSET($H$3,0,0,'Données projet'!$E$12+1,1))</f>
        <v>276.21705775006376</v>
      </c>
      <c r="CE65" s="62">
        <f t="shared" si="40"/>
        <v>234.24947280606958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16.625</v>
      </c>
      <c r="CT65" s="13">
        <f>IF('Données projet'!$A$140&gt;35,CT64+CS65-DB64,IF(A65&lt;'Données projet'!$A$140,$CQ$205^A65,IF(A65='Données projet'!$A$140,'Données projet'!$B$140,CT64+CS65-DB64)))</f>
        <v>416.50000000000006</v>
      </c>
      <c r="CU65" s="18">
        <f>CT65*VLOOKUP('Données projet'!$B$13,Paramètres!$A$1:$I$89,3,0)*VLOOKUP('Données projet'!$B$13,Paramètres!$A$1:$I$89,5,0)</f>
        <v>249.06700000000004</v>
      </c>
      <c r="CV65" s="14">
        <f t="shared" si="41"/>
        <v>60.386109489804014</v>
      </c>
      <c r="CW65" s="22">
        <f t="shared" si="13"/>
        <v>538.96416569474195</v>
      </c>
      <c r="CX65" s="62">
        <f t="shared" si="14"/>
        <v>815.26161732255014</v>
      </c>
      <c r="CY65" s="62">
        <f ca="1">AVERAGE(OFFSET($CX$3,0,0,'Données projet'!$E$13+1,1))-AVERAGE(OFFSET($H$3,0,0,'Données projet'!$E$13+1,1))</f>
        <v>376.32432344617206</v>
      </c>
      <c r="CZ65" s="62">
        <f t="shared" si="42"/>
        <v>302.77411534670466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0.87494453047664422</v>
      </c>
      <c r="DG65" s="23">
        <f>EXP(-LN(2)/25)*DG64+(1-EXP(-LN(2)/25))/(LN(2)/25)*Calculateur!DB65*Calculateur!DD65*VLOOKUP('Données projet'!$B$13,Paramètres!$A$1:$I$89,3,0)*0.475*44/12</f>
        <v>1.5168801349954923</v>
      </c>
      <c r="DH65" s="23">
        <f>EXP(-LN(2)/2)*DH64+(1-EXP(-LN(2)/2))/(LN(2)/2)*DB65*DE65*VLOOKUP('Données projet'!$B$13,Paramètres!$A$1:$I$89,3,0)*0.475*44/12</f>
        <v>1.0331343291028272E-5</v>
      </c>
      <c r="DI65" s="24">
        <f t="shared" si="15"/>
        <v>2.3918349968154278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65.353850443947692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2.75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10.083333333333334</v>
      </c>
      <c r="H66" s="70">
        <f t="shared" si="1"/>
        <v>216.33333333333334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150.59999999999988</v>
      </c>
      <c r="O66" s="14">
        <f>N66*VLOOKUP('Données projet'!$B$9,Paramètres!$A$1:$I$89,3,0)*VLOOKUP('Données projet'!$B$9,Paramètres!$A$1:$I$89,5,0)</f>
        <v>157.40711999999991</v>
      </c>
      <c r="P66" s="14">
        <f t="shared" si="33"/>
        <v>40.257129140302396</v>
      </c>
      <c r="Q66" s="22">
        <f t="shared" si="53"/>
        <v>344.26523391935984</v>
      </c>
      <c r="R66" s="62">
        <f t="shared" si="0"/>
        <v>620.85822000823327</v>
      </c>
      <c r="S66" s="62">
        <f ca="1">AVERAGE(OFFSET($R$3,0,0,'Données projet'!$E$9+1,1))-AVERAGE(OFFSET($H$3,0,0,'Données projet'!$E$9+1,1))</f>
        <v>338.33619350800484</v>
      </c>
      <c r="T66" s="62">
        <f t="shared" si="34"/>
        <v>173.80539144233424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1.9895196601282805E-13</v>
      </c>
      <c r="AJ66" s="14">
        <f>AI66*VLOOKUP('Données projet'!$B$10,Paramètres!$A$1:$I$89,3,0)*VLOOKUP('Données projet'!$B$10,Paramètres!$A$1:$I$89,5,0)</f>
        <v>1.8001173884840681E-13</v>
      </c>
      <c r="AK66" s="14">
        <f t="shared" si="35"/>
        <v>2.5254331426407198E-12</v>
      </c>
      <c r="AL66" s="22">
        <f t="shared" si="4"/>
        <v>4.7119831685935622E-12</v>
      </c>
      <c r="AM66" s="62">
        <f t="shared" si="5"/>
        <v>276.59298608887809</v>
      </c>
      <c r="AN66" s="62">
        <f ca="1">AVERAGE(OFFSET($AM$3,0,0,'Données projet'!$E$10+1,1))-AVERAGE(OFFSET($H$3,0,0,'Données projet'!$E$10+1,1))</f>
        <v>308.01218908312546</v>
      </c>
      <c r="AO66" s="62">
        <f t="shared" si="36"/>
        <v>433.94915035190684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2.2988131802339016</v>
      </c>
      <c r="AV66" s="23">
        <f>EXP(-LN(2)/25)*AV65+(1-EXP(-LN(2)/25))/(LN(2)/25)*Calculateur!AQ66*Calculateur!AS66*VLOOKUP('Données projet'!$B$10,Paramètres!$A$1:$I$89,3,0)*0.475*44/12</f>
        <v>3.1282514161761359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5.4270645964100375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</v>
      </c>
      <c r="BD66" s="13">
        <f>IF('Données projet'!$A$88&gt;35,BD65+BC66-BL65,IF(A66&lt;'Données projet'!$A$88,$BA$205^A66,IF(A66='Données projet'!$A$88,'Données projet'!$B$88,BD65+BC66-BL65)))</f>
        <v>150.59999999999988</v>
      </c>
      <c r="BE66" s="14">
        <f>BD66*VLOOKUP('Données projet'!$B$11,Paramètres!$A$1:$I$89,3,0)*VLOOKUP('Données projet'!$B$11,Paramètres!$A$1:$I$89,5,0)</f>
        <v>152.7083999999999</v>
      </c>
      <c r="BF66" s="14">
        <f t="shared" si="37"/>
        <v>39.193436747373994</v>
      </c>
      <c r="BG66" s="22">
        <f t="shared" si="7"/>
        <v>334.22903233500955</v>
      </c>
      <c r="BH66" s="62">
        <f t="shared" si="8"/>
        <v>610.82201842388292</v>
      </c>
      <c r="BI66" s="62">
        <f ca="1">AVERAGE(OFFSET($BH$3,0,0,'Données projet'!$E$11+1,1))-AVERAGE(OFFSET($H$3,0,0,'Données projet'!$E$11+1,1))</f>
        <v>329.96352570744875</v>
      </c>
      <c r="BJ66" s="62">
        <f t="shared" si="38"/>
        <v>170.12252063636961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7.5</v>
      </c>
      <c r="BY66" s="13">
        <f>IF('Données projet'!$A$114&gt;35,BY65+BX66-CG65,IF(A66&lt;'Données projet'!$A$114,$BV$205^A66,IF(A66='Données projet'!$A$114,'Données projet'!$B$114,BY65+BX66-CG65)))</f>
        <v>292.5</v>
      </c>
      <c r="BZ66" s="14">
        <f>BY66*VLOOKUP('Données projet'!$B$12,Paramètres!$A$1:$I$89,3,0)*VLOOKUP('Données projet'!$B$12,Paramètres!$A$1:$I$89,5,0)</f>
        <v>136.89000000000001</v>
      </c>
      <c r="CA66" s="14">
        <f t="shared" si="39"/>
        <v>35.583619346017713</v>
      </c>
      <c r="CB66" s="22">
        <f t="shared" si="10"/>
        <v>300.39155369431421</v>
      </c>
      <c r="CC66" s="62">
        <f t="shared" si="11"/>
        <v>576.98453978318753</v>
      </c>
      <c r="CD66" s="62">
        <f ca="1">AVERAGE(OFFSET($CC$3,0,0,'Données projet'!$E$12+1,1))-AVERAGE(OFFSET($H$3,0,0,'Données projet'!$E$12+1,1))</f>
        <v>276.21705775006376</v>
      </c>
      <c r="CE66" s="62">
        <f t="shared" si="40"/>
        <v>234.24947280606958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16.625</v>
      </c>
      <c r="CT66" s="13">
        <f>IF('Données projet'!$A$140&gt;35,CT65+CS66-DB65,IF(A66&lt;'Données projet'!$A$140,$CQ$205^A66,IF(A66='Données projet'!$A$140,'Données projet'!$B$140,CT65+CS66-DB65)))</f>
        <v>433.12500000000006</v>
      </c>
      <c r="CU66" s="18">
        <f>CT66*VLOOKUP('Données projet'!$B$13,Paramètres!$A$1:$I$89,3,0)*VLOOKUP('Données projet'!$B$13,Paramètres!$A$1:$I$89,5,0)</f>
        <v>259.00875000000008</v>
      </c>
      <c r="CV66" s="14">
        <f t="shared" si="41"/>
        <v>62.511036563235727</v>
      </c>
      <c r="CW66" s="22">
        <f t="shared" si="13"/>
        <v>559.98029493096897</v>
      </c>
      <c r="CX66" s="62">
        <f t="shared" si="14"/>
        <v>836.5732810198424</v>
      </c>
      <c r="CY66" s="62">
        <f ca="1">AVERAGE(OFFSET($CX$3,0,0,'Données projet'!$E$13+1,1))-AVERAGE(OFFSET($H$3,0,0,'Données projet'!$E$13+1,1))</f>
        <v>376.32432344617206</v>
      </c>
      <c r="CZ66" s="62">
        <f t="shared" si="42"/>
        <v>302.77411534670466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0.85778740189746594</v>
      </c>
      <c r="DG66" s="23">
        <f>EXP(-LN(2)/25)*DG65+(1-EXP(-LN(2)/25))/(LN(2)/25)*Calculateur!DB66*Calculateur!DD66*VLOOKUP('Données projet'!$B$13,Paramètres!$A$1:$I$89,3,0)*0.475*44/12</f>
        <v>1.4754009679347813</v>
      </c>
      <c r="DH66" s="23">
        <f>EXP(-LN(2)/2)*DH65+(1-EXP(-LN(2)/2))/(LN(2)/2)*DB66*DE66*VLOOKUP('Données projet'!$B$13,Paramètres!$A$1:$I$89,3,0)*0.475*44/12</f>
        <v>7.3053628998522352E-6</v>
      </c>
      <c r="DI66" s="24">
        <f t="shared" si="15"/>
        <v>2.3331956751951473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65.434450751510923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2.75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10.083333333333334</v>
      </c>
      <c r="H67" s="70">
        <f t="shared" si="1"/>
        <v>216.33333333333334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155.79999999999987</v>
      </c>
      <c r="O67" s="14">
        <f>N67*VLOOKUP('Données projet'!$B$9,Paramètres!$A$1:$I$89,3,0)*VLOOKUP('Données projet'!$B$9,Paramètres!$A$1:$I$89,5,0)</f>
        <v>162.84215999999989</v>
      </c>
      <c r="P67" s="14">
        <f t="shared" si="33"/>
        <v>41.482914120670287</v>
      </c>
      <c r="Q67" s="22">
        <f t="shared" ref="Q67:Q98" si="54">(O67+P67)*0.475*44/12</f>
        <v>355.86617076016728</v>
      </c>
      <c r="R67" s="62">
        <f t="shared" ref="R67:R130" si="55">Q67+(I67+J67)*44/12</f>
        <v>632.74956444792247</v>
      </c>
      <c r="S67" s="62">
        <f ca="1">AVERAGE(OFFSET($R$3,0,0,'Données projet'!$E$9+1,1))-AVERAGE(OFFSET($H$3,0,0,'Données projet'!$E$9+1,1))</f>
        <v>338.33619350800484</v>
      </c>
      <c r="T67" s="62">
        <f t="shared" si="34"/>
        <v>173.80539144233424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1.9895196601282805E-13</v>
      </c>
      <c r="AJ67" s="14">
        <f>AI67*VLOOKUP('Données projet'!$B$10,Paramètres!$A$1:$I$89,3,0)*VLOOKUP('Données projet'!$B$10,Paramètres!$A$1:$I$89,5,0)</f>
        <v>1.8001173884840681E-13</v>
      </c>
      <c r="AK67" s="14">
        <f t="shared" si="35"/>
        <v>2.5254331426407198E-12</v>
      </c>
      <c r="AL67" s="22">
        <f t="shared" si="4"/>
        <v>4.7119831685935622E-12</v>
      </c>
      <c r="AM67" s="62">
        <f t="shared" si="5"/>
        <v>276.88339368775985</v>
      </c>
      <c r="AN67" s="62">
        <f ca="1">AVERAGE(OFFSET($AM$3,0,0,'Données projet'!$E$10+1,1))-AVERAGE(OFFSET($H$3,0,0,'Données projet'!$E$10+1,1))</f>
        <v>308.01218908312546</v>
      </c>
      <c r="AO67" s="62">
        <f t="shared" si="36"/>
        <v>433.94915035190684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2.2537348559071053</v>
      </c>
      <c r="AV67" s="23">
        <f>EXP(-LN(2)/25)*AV66+(1-EXP(-LN(2)/25))/(LN(2)/25)*Calculateur!AQ67*Calculateur!AS67*VLOOKUP('Données projet'!$B$10,Paramètres!$A$1:$I$89,3,0)*0.475*44/12</f>
        <v>3.0427092166932073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5.2964440726003126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</v>
      </c>
      <c r="BD67" s="13">
        <f>IF('Données projet'!$A$88&gt;35,BD66+BC67-BL66,IF(A67&lt;'Données projet'!$A$88,$BA$205^A67,IF(A67='Données projet'!$A$88,'Données projet'!$B$88,BD66+BC67-BL66)))</f>
        <v>155.79999999999987</v>
      </c>
      <c r="BE67" s="14">
        <f>BD67*VLOOKUP('Données projet'!$B$11,Paramètres!$A$1:$I$89,3,0)*VLOOKUP('Données projet'!$B$11,Paramètres!$A$1:$I$89,5,0)</f>
        <v>157.98119999999989</v>
      </c>
      <c r="BF67" s="14">
        <f t="shared" si="37"/>
        <v>40.386833472870542</v>
      </c>
      <c r="BG67" s="22">
        <f t="shared" si="7"/>
        <v>345.49099163191596</v>
      </c>
      <c r="BH67" s="62">
        <f t="shared" si="8"/>
        <v>622.37438531967109</v>
      </c>
      <c r="BI67" s="62">
        <f ca="1">AVERAGE(OFFSET($BH$3,0,0,'Données projet'!$E$11+1,1))-AVERAGE(OFFSET($H$3,0,0,'Données projet'!$E$11+1,1))</f>
        <v>329.96352570744875</v>
      </c>
      <c r="BJ67" s="62">
        <f t="shared" si="38"/>
        <v>170.12252063636961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7.5</v>
      </c>
      <c r="BY67" s="13">
        <f>IF('Données projet'!$A$114&gt;35,BY66+BX67-CG66,IF(A67&lt;'Données projet'!$A$114,$BV$205^A67,IF(A67='Données projet'!$A$114,'Données projet'!$B$114,BY66+BX67-CG66)))</f>
        <v>300</v>
      </c>
      <c r="BZ67" s="14">
        <f>BY67*VLOOKUP('Données projet'!$B$12,Paramètres!$A$1:$I$89,3,0)*VLOOKUP('Données projet'!$B$12,Paramètres!$A$1:$I$89,5,0)</f>
        <v>140.4</v>
      </c>
      <c r="CA67" s="14">
        <f t="shared" si="39"/>
        <v>36.388624656711201</v>
      </c>
      <c r="CB67" s="22">
        <f t="shared" si="10"/>
        <v>307.90685461043864</v>
      </c>
      <c r="CC67" s="62">
        <f t="shared" si="11"/>
        <v>584.79024829819377</v>
      </c>
      <c r="CD67" s="62">
        <f ca="1">AVERAGE(OFFSET($CC$3,0,0,'Données projet'!$E$12+1,1))-AVERAGE(OFFSET($H$3,0,0,'Données projet'!$E$12+1,1))</f>
        <v>276.21705775006376</v>
      </c>
      <c r="CE67" s="62">
        <f t="shared" si="40"/>
        <v>234.24947280606958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16.625</v>
      </c>
      <c r="CT67" s="13">
        <f>IF('Données projet'!$A$140&gt;35,CT66+CS67-DB66,IF(A67&lt;'Données projet'!$A$140,$CQ$205^A67,IF(A67='Données projet'!$A$140,'Données projet'!$B$140,CT66+CS67-DB66)))</f>
        <v>449.75000000000006</v>
      </c>
      <c r="CU67" s="18">
        <f>CT67*VLOOKUP('Données projet'!$B$13,Paramètres!$A$1:$I$89,3,0)*VLOOKUP('Données projet'!$B$13,Paramètres!$A$1:$I$89,5,0)</f>
        <v>268.95050000000009</v>
      </c>
      <c r="CV67" s="14">
        <f t="shared" si="41"/>
        <v>64.626488439895155</v>
      </c>
      <c r="CW67" s="22">
        <f t="shared" si="13"/>
        <v>580.97992153281746</v>
      </c>
      <c r="CX67" s="62">
        <f t="shared" si="14"/>
        <v>857.86331522057253</v>
      </c>
      <c r="CY67" s="62">
        <f ca="1">AVERAGE(OFFSET($CX$3,0,0,'Données projet'!$E$13+1,1))-AVERAGE(OFFSET($H$3,0,0,'Données projet'!$E$13+1,1))</f>
        <v>376.32432344617206</v>
      </c>
      <c r="CZ67" s="62">
        <f t="shared" si="42"/>
        <v>302.77411534670466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0.8409667141449102</v>
      </c>
      <c r="DG67" s="23">
        <f>EXP(-LN(2)/25)*DG66+(1-EXP(-LN(2)/25))/(LN(2)/25)*Calculateur!DB67*Calculateur!DD67*VLOOKUP('Données projet'!$B$13,Paramètres!$A$1:$I$89,3,0)*0.475*44/12</f>
        <v>1.4350560508786399</v>
      </c>
      <c r="DH67" s="23">
        <f>EXP(-LN(2)/2)*DH66+(1-EXP(-LN(2)/2))/(LN(2)/2)*DB67*DE67*VLOOKUP('Données projet'!$B$13,Paramètres!$A$1:$I$89,3,0)*0.475*44/12</f>
        <v>5.165671645514137E-6</v>
      </c>
      <c r="DI67" s="24">
        <f t="shared" si="15"/>
        <v>2.2760279306951956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65.513652823933214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2.75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10.083333333333334</v>
      </c>
      <c r="H68" s="70">
        <f t="shared" ref="H68:H131" si="56">(B68+E68+F68)*44/12+(C68+D68)*0.475*44/12</f>
        <v>216.33333333333334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161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160.99999999999986</v>
      </c>
      <c r="O68" s="14">
        <f>N68*VLOOKUP('Données projet'!$B$9,Paramètres!$A$1:$I$89,3,0)*VLOOKUP('Données projet'!$B$9,Paramètres!$A$1:$I$89,5,0)</f>
        <v>168.27719999999985</v>
      </c>
      <c r="P68" s="14">
        <f t="shared" si="33"/>
        <v>42.703945256047781</v>
      </c>
      <c r="Q68" s="22">
        <f t="shared" si="54"/>
        <v>367.4588279876163</v>
      </c>
      <c r="R68" s="62">
        <f t="shared" si="55"/>
        <v>644.62759135166675</v>
      </c>
      <c r="S68" s="62">
        <f ca="1">AVERAGE(OFFSET($R$3,0,0,'Données projet'!$E$9+1,1))-AVERAGE(OFFSET($H$3,0,0,'Données projet'!$E$9+1,1))</f>
        <v>338.33619350800484</v>
      </c>
      <c r="T68" s="62">
        <f t="shared" si="34"/>
        <v>173.80539144233424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1.9895196601282805E-13</v>
      </c>
      <c r="AJ68" s="14">
        <f>AI68*VLOOKUP('Données projet'!$B$10,Paramètres!$A$1:$I$89,3,0)*VLOOKUP('Données projet'!$B$10,Paramètres!$A$1:$I$89,5,0)</f>
        <v>1.8001173884840681E-13</v>
      </c>
      <c r="AK68" s="14">
        <f t="shared" si="35"/>
        <v>2.5254331426407198E-12</v>
      </c>
      <c r="AL68" s="22">
        <f t="shared" ref="AL68:AL131" si="58">(AJ68+AK68)*0.475*44/12</f>
        <v>4.7119831685935622E-12</v>
      </c>
      <c r="AM68" s="62">
        <f t="shared" ref="AM68:AM131" si="59">AL68+(AD68+AE68)*44/12</f>
        <v>277.16876336405511</v>
      </c>
      <c r="AN68" s="62">
        <f ca="1">AVERAGE(OFFSET($AM$3,0,0,'Données projet'!$E$10+1,1))-AVERAGE(OFFSET($H$3,0,0,'Données projet'!$E$10+1,1))</f>
        <v>308.01218908312546</v>
      </c>
      <c r="AO68" s="62">
        <f t="shared" si="36"/>
        <v>433.94915035190684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2.2095404900252946</v>
      </c>
      <c r="AV68" s="23">
        <f>EXP(-LN(2)/25)*AV67+(1-EXP(-LN(2)/25))/(LN(2)/25)*Calculateur!AQ68*Calculateur!AS68*VLOOKUP('Données projet'!$B$10,Paramètres!$A$1:$I$89,3,0)*0.475*44/12</f>
        <v>2.9595061731536081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5.1690466631789027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161</v>
      </c>
      <c r="BB68" s="13">
        <f>VLOOKUP(A68,'Données projet'!$A$87:$I$107,9,0)</f>
        <v>5.2</v>
      </c>
      <c r="BC68" s="13">
        <f t="array" ref="BC68">INDEX(BB:BB,MIN(IF(ISNUMBER(BB68:BB264),ROW(BB68:BB264),"")))</f>
        <v>5.2</v>
      </c>
      <c r="BD68" s="13">
        <f>IF('Données projet'!$A$88&gt;35,BD67+BC68-BL67,IF(A68&lt;'Données projet'!$A$88,$BA$205^A68,IF(A68='Données projet'!$A$88,'Données projet'!$B$88,BD67+BC68-BL67)))</f>
        <v>160.99999999999986</v>
      </c>
      <c r="BE68" s="14">
        <f>BD68*VLOOKUP('Données projet'!$B$11,Paramètres!$A$1:$I$89,3,0)*VLOOKUP('Données projet'!$B$11,Paramètres!$A$1:$I$89,5,0)</f>
        <v>163.25399999999985</v>
      </c>
      <c r="BF68" s="14">
        <f t="shared" si="37"/>
        <v>41.575601961656879</v>
      </c>
      <c r="BG68" s="22">
        <f t="shared" ref="BG68:BG131" si="61">(BE68+BF68)*0.475*44/12</f>
        <v>356.74489008321876</v>
      </c>
      <c r="BH68" s="62">
        <f t="shared" ref="BH68:BH131" si="62">BG68+(AY68+AZ68)*44/12</f>
        <v>633.9136534472691</v>
      </c>
      <c r="BI68" s="62">
        <f ca="1">AVERAGE(OFFSET($BH$3,0,0,'Données projet'!$E$11+1,1))-AVERAGE(OFFSET($H$3,0,0,'Données projet'!$E$11+1,1))</f>
        <v>329.96352570744875</v>
      </c>
      <c r="BJ68" s="62">
        <f t="shared" si="38"/>
        <v>170.12252063636961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7.5</v>
      </c>
      <c r="BY68" s="13">
        <f>IF('Données projet'!$A$114&gt;35,BY67+BX68-CG67,IF(A68&lt;'Données projet'!$A$114,$BV$205^A68,IF(A68='Données projet'!$A$114,'Données projet'!$B$114,BY67+BX68-CG67)))</f>
        <v>307.5</v>
      </c>
      <c r="BZ68" s="14">
        <f>BY68*VLOOKUP('Données projet'!$B$12,Paramètres!$A$1:$I$89,3,0)*VLOOKUP('Données projet'!$B$12,Paramètres!$A$1:$I$89,5,0)</f>
        <v>143.91</v>
      </c>
      <c r="CA68" s="14">
        <f t="shared" si="39"/>
        <v>37.191290549543432</v>
      </c>
      <c r="CB68" s="22">
        <f t="shared" ref="CB68:CB131" si="64">(BZ68+CA68)*0.475*44/12</f>
        <v>315.41808104045475</v>
      </c>
      <c r="CC68" s="62">
        <f t="shared" ref="CC68:CC131" si="65">CB68+(BT68+BU68)*44/12</f>
        <v>592.5868444045052</v>
      </c>
      <c r="CD68" s="62">
        <f ca="1">AVERAGE(OFFSET($CC$3,0,0,'Données projet'!$E$12+1,1))-AVERAGE(OFFSET($H$3,0,0,'Données projet'!$E$12+1,1))</f>
        <v>276.21705775006376</v>
      </c>
      <c r="CE68" s="62">
        <f t="shared" si="40"/>
        <v>234.24947280606958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16.625</v>
      </c>
      <c r="CT68" s="13">
        <f>IF('Données projet'!$A$140&gt;35,CT67+CS68-DB67,IF(A68&lt;'Données projet'!$A$140,$CQ$205^A68,IF(A68='Données projet'!$A$140,'Données projet'!$B$140,CT67+CS68-DB67)))</f>
        <v>466.37500000000006</v>
      </c>
      <c r="CU68" s="18">
        <f>CT68*VLOOKUP('Données projet'!$B$13,Paramètres!$A$1:$I$89,3,0)*VLOOKUP('Données projet'!$B$13,Paramètres!$A$1:$I$89,5,0)</f>
        <v>278.89225000000005</v>
      </c>
      <c r="CV68" s="14">
        <f t="shared" si="41"/>
        <v>66.732855480271084</v>
      </c>
      <c r="CW68" s="22">
        <f t="shared" ref="CW68:CW131" si="67">(CU68+CV68)*0.475*44/12</f>
        <v>601.96372537813886</v>
      </c>
      <c r="CX68" s="62">
        <f t="shared" ref="CX68:CX131" si="68">CW68+(CO68+CP68)*44/12</f>
        <v>879.13248874218925</v>
      </c>
      <c r="CY68" s="62">
        <f ca="1">AVERAGE(OFFSET($CX$3,0,0,'Données projet'!$E$13+1,1))-AVERAGE(OFFSET($H$3,0,0,'Données projet'!$E$13+1,1))</f>
        <v>376.32432344617206</v>
      </c>
      <c r="CZ68" s="62">
        <f t="shared" si="42"/>
        <v>302.77411534670466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0.82447586981957566</v>
      </c>
      <c r="DG68" s="23">
        <f>EXP(-LN(2)/25)*DG67+(1-EXP(-LN(2)/25))/(LN(2)/25)*Calculateur!DB68*Calculateur!DD68*VLOOKUP('Données projet'!$B$13,Paramètres!$A$1:$I$89,3,0)*0.475*44/12</f>
        <v>1.3958143677010455</v>
      </c>
      <c r="DH68" s="23">
        <f>EXP(-LN(2)/2)*DH67+(1-EXP(-LN(2)/2))/(LN(2)/2)*DB68*DE68*VLOOKUP('Données projet'!$B$13,Paramètres!$A$1:$I$89,3,0)*0.475*44/12</f>
        <v>3.652681449926118E-6</v>
      </c>
      <c r="DI68" s="24">
        <f t="shared" ref="DI68:DI131" si="69">SUM(DF68:DH68)</f>
        <v>2.220293890202071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65.591480917468289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2.75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10.083333333333334</v>
      </c>
      <c r="H69" s="70">
        <f t="shared" si="56"/>
        <v>216.33333333333334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152.19999999999985</v>
      </c>
      <c r="O69" s="14">
        <f>N69*VLOOKUP('Données projet'!$B$9,Paramètres!$A$1:$I$89,3,0)*VLOOKUP('Données projet'!$B$9,Paramètres!$A$1:$I$89,5,0)</f>
        <v>159.07943999999986</v>
      </c>
      <c r="P69" s="14">
        <f t="shared" ref="P69:P132" si="87">EXP(-1.0587+0.8836*LN(O69)+0.284)</f>
        <v>40.634810852481273</v>
      </c>
      <c r="Q69" s="22">
        <f t="shared" si="54"/>
        <v>347.83565356807134</v>
      </c>
      <c r="R69" s="62">
        <f t="shared" si="55"/>
        <v>625.28483608252418</v>
      </c>
      <c r="S69" s="62">
        <f ca="1">AVERAGE(OFFSET($R$3,0,0,'Données projet'!$E$9+1,1))-AVERAGE(OFFSET($H$3,0,0,'Données projet'!$E$9+1,1))</f>
        <v>338.33619350800484</v>
      </c>
      <c r="T69" s="62">
        <f t="shared" ref="T69:T132" si="88">$T$3</f>
        <v>173.80539144233424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1.9895196601282805E-13</v>
      </c>
      <c r="AJ69" s="14">
        <f>AI69*VLOOKUP('Données projet'!$B$10,Paramètres!$A$1:$I$89,3,0)*VLOOKUP('Données projet'!$B$10,Paramètres!$A$1:$I$89,5,0)</f>
        <v>1.8001173884840681E-13</v>
      </c>
      <c r="AK69" s="14">
        <f t="shared" ref="AK69:AK132" si="89">EXP(-1.0587+0.8836*LN(AJ69)+0.284)</f>
        <v>2.5254331426407198E-12</v>
      </c>
      <c r="AL69" s="22">
        <f t="shared" si="58"/>
        <v>4.7119831685935622E-12</v>
      </c>
      <c r="AM69" s="62">
        <f t="shared" si="59"/>
        <v>277.44918251445762</v>
      </c>
      <c r="AN69" s="62">
        <f ca="1">AVERAGE(OFFSET($AM$3,0,0,'Données projet'!$E$10+1,1))-AVERAGE(OFFSET($H$3,0,0,'Données projet'!$E$10+1,1))</f>
        <v>308.01218908312546</v>
      </c>
      <c r="AO69" s="62">
        <f t="shared" ref="AO69:AO132" si="90">$AO$3</f>
        <v>433.94915035190684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2.1662127487025247</v>
      </c>
      <c r="AV69" s="23">
        <f>EXP(-LN(2)/25)*AV68+(1-EXP(-LN(2)/25))/(LN(2)/25)*Calculateur!AQ69*Calculateur!AS69*VLOOKUP('Données projet'!$B$10,Paramètres!$A$1:$I$89,3,0)*0.475*44/12</f>
        <v>2.8785783212150569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5.0447910699175811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5.2</v>
      </c>
      <c r="BD69" s="13">
        <f>IF('Données projet'!$A$88&gt;35,BD68+BC69-BL68,IF(A69&lt;'Données projet'!$A$88,$BA$205^A69,IF(A69='Données projet'!$A$88,'Données projet'!$B$88,BD68+BC69-BL68)))</f>
        <v>152.19999999999985</v>
      </c>
      <c r="BE69" s="14">
        <f>BD69*VLOOKUP('Données projet'!$B$11,Paramètres!$A$1:$I$89,3,0)*VLOOKUP('Données projet'!$B$11,Paramètres!$A$1:$I$89,5,0)</f>
        <v>154.33079999999987</v>
      </c>
      <c r="BF69" s="14">
        <f t="shared" ref="BF69:BF132" si="91">EXP(-1.0587+0.8836*LN(BE69)+0.284)</f>
        <v>39.561139179540312</v>
      </c>
      <c r="BG69" s="22">
        <f t="shared" si="61"/>
        <v>337.69512740436579</v>
      </c>
      <c r="BH69" s="62">
        <f t="shared" si="62"/>
        <v>615.14430991881864</v>
      </c>
      <c r="BI69" s="62">
        <f ca="1">AVERAGE(OFFSET($BH$3,0,0,'Données projet'!$E$11+1,1))-AVERAGE(OFFSET($H$3,0,0,'Données projet'!$E$11+1,1))</f>
        <v>329.96352570744875</v>
      </c>
      <c r="BJ69" s="62">
        <f t="shared" ref="BJ69:BJ132" si="92">$BJ$3</f>
        <v>170.12252063636961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7.5</v>
      </c>
      <c r="BY69" s="13">
        <f>IF('Données projet'!$A$114&gt;35,BY68+BX69-CG68,IF(A69&lt;'Données projet'!$A$114,$BV$205^A69,IF(A69='Données projet'!$A$114,'Données projet'!$B$114,BY68+BX69-CG68)))</f>
        <v>315</v>
      </c>
      <c r="BZ69" s="14">
        <f>BY69*VLOOKUP('Données projet'!$B$12,Paramètres!$A$1:$I$89,3,0)*VLOOKUP('Données projet'!$B$12,Paramètres!$A$1:$I$89,5,0)</f>
        <v>147.41999999999999</v>
      </c>
      <c r="CA69" s="14">
        <f t="shared" ref="CA69:CA132" si="93">EXP(-1.0587+0.8836*LN(BZ69)+0.284)</f>
        <v>37.991680647570291</v>
      </c>
      <c r="CB69" s="22">
        <f t="shared" si="64"/>
        <v>322.92534379451826</v>
      </c>
      <c r="CC69" s="62">
        <f t="shared" si="65"/>
        <v>600.3745263089711</v>
      </c>
      <c r="CD69" s="62">
        <f ca="1">AVERAGE(OFFSET($CC$3,0,0,'Données projet'!$E$12+1,1))-AVERAGE(OFFSET($H$3,0,0,'Données projet'!$E$12+1,1))</f>
        <v>276.21705775006376</v>
      </c>
      <c r="CE69" s="62">
        <f t="shared" ref="CE69:CE132" si="94">$CE$3</f>
        <v>234.24947280606958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>
        <f>VLOOKUP(A69,'Données projet'!$A$139:$I$159,2,0)</f>
        <v>483</v>
      </c>
      <c r="CR69" s="13">
        <f>VLOOKUP(A69,'Données projet'!$A$139:$I$159,9,0)</f>
        <v>16.625</v>
      </c>
      <c r="CS69" s="13">
        <f t="array" ref="CS69">INDEX(CR:CR,MIN(IF(ISNUMBER(CR69:CR265),ROW(CR69:CR265),"")))</f>
        <v>16.625</v>
      </c>
      <c r="CT69" s="13">
        <f>IF('Données projet'!$A$140&gt;35,CT68+CS69-DB68,IF(A69&lt;'Données projet'!$A$140,$CQ$205^A69,IF(A69='Données projet'!$A$140,'Données projet'!$B$140,CT68+CS69-DB68)))</f>
        <v>483.00000000000006</v>
      </c>
      <c r="CU69" s="18">
        <f>CT69*VLOOKUP('Données projet'!$B$13,Paramètres!$A$1:$I$89,3,0)*VLOOKUP('Données projet'!$B$13,Paramètres!$A$1:$I$89,5,0)</f>
        <v>288.83400000000006</v>
      </c>
      <c r="CV69" s="14">
        <f t="shared" ref="CV69:CV132" si="95">EXP(-1.0587+0.8836*LN(CU69)+0.284)</f>
        <v>68.830498636563377</v>
      </c>
      <c r="CW69" s="22">
        <f t="shared" si="67"/>
        <v>622.932335125348</v>
      </c>
      <c r="CX69" s="62">
        <f t="shared" si="68"/>
        <v>900.3815176398009</v>
      </c>
      <c r="CY69" s="62">
        <f ca="1">AVERAGE(OFFSET($CX$3,0,0,'Données projet'!$E$13+1,1))-AVERAGE(OFFSET($H$3,0,0,'Données projet'!$E$13+1,1))</f>
        <v>376.32432344617206</v>
      </c>
      <c r="CZ69" s="62">
        <f t="shared" ref="CZ69:CZ132" si="96">$CZ$3</f>
        <v>302.77411534670466</v>
      </c>
      <c r="DA69" s="16">
        <f>IF(ISNA(VLOOKUP(A69,'Données projet'!$A$139:$I$159,3,0)),0,VLOOKUP(A69,'Données projet'!$A$139:$I$159,3,0))</f>
        <v>9</v>
      </c>
      <c r="DB69" s="16">
        <f>IF(ISNA(VLOOKUP(A69,'Données projet'!$A$139:$I$159,4,0)),0,VLOOKUP(A69,'Données projet'!$A$139:$I$159,4,0))</f>
        <v>65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0.80830840089303901</v>
      </c>
      <c r="DG69" s="23">
        <f>EXP(-LN(2)/25)*DG68+(1-EXP(-LN(2)/25))/(LN(2)/25)*Calculateur!DB69*Calculateur!DD69*VLOOKUP('Données projet'!$B$13,Paramètres!$A$1:$I$89,3,0)*0.475*44/12</f>
        <v>1.357645750413573</v>
      </c>
      <c r="DH69" s="23">
        <f>EXP(-LN(2)/2)*DH68+(1-EXP(-LN(2)/2))/(LN(2)/2)*DB69*DE69*VLOOKUP('Données projet'!$B$13,Paramètres!$A$1:$I$89,3,0)*0.475*44/12</f>
        <v>2.5828358227570689E-6</v>
      </c>
      <c r="DI69" s="24">
        <f t="shared" si="69"/>
        <v>2.1659567341424344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65.667958867578065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2.75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10.083333333333334</v>
      </c>
      <c r="H70" s="70">
        <f t="shared" si="56"/>
        <v>216.33333333333334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157.39999999999984</v>
      </c>
      <c r="O70" s="14">
        <f>N70*VLOOKUP('Données projet'!$B$9,Paramètres!$A$1:$I$89,3,0)*VLOOKUP('Données projet'!$B$9,Paramètres!$A$1:$I$89,5,0)</f>
        <v>164.51447999999985</v>
      </c>
      <c r="P70" s="14">
        <f t="shared" si="87"/>
        <v>41.859114154590543</v>
      </c>
      <c r="Q70" s="22">
        <f t="shared" si="54"/>
        <v>359.43400981924492</v>
      </c>
      <c r="R70" s="62">
        <f t="shared" si="55"/>
        <v>637.15874683876427</v>
      </c>
      <c r="S70" s="62">
        <f ca="1">AVERAGE(OFFSET($R$3,0,0,'Données projet'!$E$9+1,1))-AVERAGE(OFFSET($H$3,0,0,'Données projet'!$E$9+1,1))</f>
        <v>338.33619350800484</v>
      </c>
      <c r="T70" s="62">
        <f t="shared" si="88"/>
        <v>173.80539144233424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1.9895196601282805E-13</v>
      </c>
      <c r="AJ70" s="14">
        <f>AI70*VLOOKUP('Données projet'!$B$10,Paramètres!$A$1:$I$89,3,0)*VLOOKUP('Données projet'!$B$10,Paramètres!$A$1:$I$89,5,0)</f>
        <v>1.8001173884840681E-13</v>
      </c>
      <c r="AK70" s="14">
        <f t="shared" si="89"/>
        <v>2.5254331426407198E-12</v>
      </c>
      <c r="AL70" s="22">
        <f t="shared" si="58"/>
        <v>4.7119831685935622E-12</v>
      </c>
      <c r="AM70" s="62">
        <f t="shared" si="59"/>
        <v>277.72473701952401</v>
      </c>
      <c r="AN70" s="62">
        <f ca="1">AVERAGE(OFFSET($AM$3,0,0,'Données projet'!$E$10+1,1))-AVERAGE(OFFSET($H$3,0,0,'Données projet'!$E$10+1,1))</f>
        <v>308.01218908312546</v>
      </c>
      <c r="AO70" s="62">
        <f t="shared" si="90"/>
        <v>433.94915035190684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2.1237346379597812</v>
      </c>
      <c r="AV70" s="23">
        <f>EXP(-LN(2)/25)*AV69+(1-EXP(-LN(2)/25))/(LN(2)/25)*Calculateur!AQ70*Calculateur!AS70*VLOOKUP('Données projet'!$B$10,Paramètres!$A$1:$I$89,3,0)*0.475*44/12</f>
        <v>2.7998634456435765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4.9235980836033573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5.2</v>
      </c>
      <c r="BD70" s="13">
        <f>IF('Données projet'!$A$88&gt;35,BD69+BC70-BL69,IF(A70&lt;'Données projet'!$A$88,$BA$205^A70,IF(A70='Données projet'!$A$88,'Données projet'!$B$88,BD69+BC70-BL69)))</f>
        <v>157.39999999999984</v>
      </c>
      <c r="BE70" s="14">
        <f>BD70*VLOOKUP('Données projet'!$B$11,Paramètres!$A$1:$I$89,3,0)*VLOOKUP('Données projet'!$B$11,Paramètres!$A$1:$I$89,5,0)</f>
        <v>159.60359999999986</v>
      </c>
      <c r="BF70" s="14">
        <f t="shared" si="91"/>
        <v>40.753093376363118</v>
      </c>
      <c r="BG70" s="22">
        <f t="shared" si="61"/>
        <v>348.95457429716549</v>
      </c>
      <c r="BH70" s="62">
        <f t="shared" si="62"/>
        <v>626.67931131668479</v>
      </c>
      <c r="BI70" s="62">
        <f ca="1">AVERAGE(OFFSET($BH$3,0,0,'Données projet'!$E$11+1,1))-AVERAGE(OFFSET($H$3,0,0,'Données projet'!$E$11+1,1))</f>
        <v>329.96352570744875</v>
      </c>
      <c r="BJ70" s="62">
        <f t="shared" si="92"/>
        <v>170.12252063636961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7.5</v>
      </c>
      <c r="BY70" s="13">
        <f>IF('Données projet'!$A$114&gt;35,BY69+BX70-CG69,IF(A70&lt;'Données projet'!$A$114,$BV$205^A70,IF(A70='Données projet'!$A$114,'Données projet'!$B$114,BY69+BX70-CG69)))</f>
        <v>322.5</v>
      </c>
      <c r="BZ70" s="14">
        <f>BY70*VLOOKUP('Données projet'!$B$12,Paramètres!$A$1:$I$89,3,0)*VLOOKUP('Données projet'!$B$12,Paramètres!$A$1:$I$89,5,0)</f>
        <v>150.93</v>
      </c>
      <c r="CA70" s="14">
        <f t="shared" si="93"/>
        <v>38.789855371379076</v>
      </c>
      <c r="CB70" s="22">
        <f t="shared" si="64"/>
        <v>330.4287481051519</v>
      </c>
      <c r="CC70" s="62">
        <f t="shared" si="65"/>
        <v>608.15348512467119</v>
      </c>
      <c r="CD70" s="62">
        <f ca="1">AVERAGE(OFFSET($CC$3,0,0,'Données projet'!$E$12+1,1))-AVERAGE(OFFSET($H$3,0,0,'Données projet'!$E$12+1,1))</f>
        <v>276.21705775006376</v>
      </c>
      <c r="CE70" s="62">
        <f t="shared" si="94"/>
        <v>234.24947280606958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12.875</v>
      </c>
      <c r="CT70" s="13">
        <f>IF('Données projet'!$A$140&gt;35,CT69+CS70-DB69,IF(A70&lt;'Données projet'!$A$140,$CQ$205^A70,IF(A70='Données projet'!$A$140,'Données projet'!$B$140,CT69+CS70-DB69)))</f>
        <v>430.87500000000006</v>
      </c>
      <c r="CU70" s="18">
        <f>CT70*VLOOKUP('Données projet'!$B$13,Paramètres!$A$1:$I$89,3,0)*VLOOKUP('Données projet'!$B$13,Paramètres!$A$1:$I$89,5,0)</f>
        <v>257.66325000000006</v>
      </c>
      <c r="CV70" s="14">
        <f t="shared" si="95"/>
        <v>62.224015868041043</v>
      </c>
      <c r="CW70" s="22">
        <f t="shared" si="67"/>
        <v>557.13698805350487</v>
      </c>
      <c r="CX70" s="62">
        <f t="shared" si="68"/>
        <v>834.86172507302422</v>
      </c>
      <c r="CY70" s="62">
        <f ca="1">AVERAGE(OFFSET($CX$3,0,0,'Données projet'!$E$13+1,1))-AVERAGE(OFFSET($H$3,0,0,'Données projet'!$E$13+1,1))</f>
        <v>376.32432344617206</v>
      </c>
      <c r="CZ70" s="62">
        <f t="shared" si="96"/>
        <v>302.77411534670466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0.79245796617096942</v>
      </c>
      <c r="DG70" s="23">
        <f>EXP(-LN(2)/25)*DG69+(1-EXP(-LN(2)/25))/(LN(2)/25)*Calculateur!DB70*Calculateur!DD70*VLOOKUP('Données projet'!$B$13,Paramètres!$A$1:$I$89,3,0)*0.475*44/12</f>
        <v>1.3205208559730268</v>
      </c>
      <c r="DH70" s="23">
        <f>EXP(-LN(2)/2)*DH69+(1-EXP(-LN(2)/2))/(LN(2)/2)*DB70*DE70*VLOOKUP('Données projet'!$B$13,Paramètres!$A$1:$I$89,3,0)*0.475*44/12</f>
        <v>1.8263407249630592E-6</v>
      </c>
      <c r="DI70" s="24">
        <f t="shared" si="69"/>
        <v>2.1129806484847213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65.743110096232527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2.75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10.083333333333334</v>
      </c>
      <c r="H71" s="70">
        <f t="shared" si="56"/>
        <v>216.33333333333334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162.59999999999982</v>
      </c>
      <c r="O71" s="14">
        <f>N71*VLOOKUP('Données projet'!$B$9,Paramètres!$A$1:$I$89,3,0)*VLOOKUP('Données projet'!$B$9,Paramètres!$A$1:$I$89,5,0)</f>
        <v>169.94951999999984</v>
      </c>
      <c r="P71" s="14">
        <f t="shared" si="87"/>
        <v>43.078717549153083</v>
      </c>
      <c r="Q71" s="22">
        <f t="shared" si="54"/>
        <v>371.024180398108</v>
      </c>
      <c r="R71" s="62">
        <f t="shared" si="55"/>
        <v>649.01969166807839</v>
      </c>
      <c r="S71" s="62">
        <f ca="1">AVERAGE(OFFSET($R$3,0,0,'Données projet'!$E$9+1,1))-AVERAGE(OFFSET($H$3,0,0,'Données projet'!$E$9+1,1))</f>
        <v>338.33619350800484</v>
      </c>
      <c r="T71" s="62">
        <f t="shared" si="88"/>
        <v>173.80539144233424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1.9895196601282805E-13</v>
      </c>
      <c r="AJ71" s="14">
        <f>AI71*VLOOKUP('Données projet'!$B$10,Paramètres!$A$1:$I$89,3,0)*VLOOKUP('Données projet'!$B$10,Paramètres!$A$1:$I$89,5,0)</f>
        <v>1.8001173884840681E-13</v>
      </c>
      <c r="AK71" s="14">
        <f t="shared" si="89"/>
        <v>2.5254331426407198E-12</v>
      </c>
      <c r="AL71" s="22">
        <f t="shared" si="58"/>
        <v>4.7119831685935622E-12</v>
      </c>
      <c r="AM71" s="62">
        <f t="shared" si="59"/>
        <v>277.99551126997505</v>
      </c>
      <c r="AN71" s="62">
        <f ca="1">AVERAGE(OFFSET($AM$3,0,0,'Données projet'!$E$10+1,1))-AVERAGE(OFFSET($H$3,0,0,'Données projet'!$E$10+1,1))</f>
        <v>308.01218908312546</v>
      </c>
      <c r="AO71" s="62">
        <f t="shared" si="90"/>
        <v>433.94915035190684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2.0820894970596138</v>
      </c>
      <c r="AV71" s="23">
        <f>EXP(-LN(2)/25)*AV70+(1-EXP(-LN(2)/25))/(LN(2)/25)*Calculateur!AQ71*Calculateur!AS71*VLOOKUP('Données projet'!$B$10,Paramètres!$A$1:$I$89,3,0)*0.475*44/12</f>
        <v>2.7233010324840334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4.8053905295436472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5.2</v>
      </c>
      <c r="BD71" s="13">
        <f>IF('Données projet'!$A$88&gt;35,BD70+BC71-BL70,IF(A71&lt;'Données projet'!$A$88,$BA$205^A71,IF(A71='Données projet'!$A$88,'Données projet'!$B$88,BD70+BC71-BL70)))</f>
        <v>162.59999999999982</v>
      </c>
      <c r="BE71" s="14">
        <f>BD71*VLOOKUP('Données projet'!$B$11,Paramètres!$A$1:$I$89,3,0)*VLOOKUP('Données projet'!$B$11,Paramètres!$A$1:$I$89,5,0)</f>
        <v>164.87639999999982</v>
      </c>
      <c r="BF71" s="14">
        <f t="shared" si="91"/>
        <v>41.94047184875933</v>
      </c>
      <c r="BG71" s="22">
        <f t="shared" si="61"/>
        <v>360.20605180325543</v>
      </c>
      <c r="BH71" s="62">
        <f t="shared" si="62"/>
        <v>638.20156307322577</v>
      </c>
      <c r="BI71" s="62">
        <f ca="1">AVERAGE(OFFSET($BH$3,0,0,'Données projet'!$E$11+1,1))-AVERAGE(OFFSET($H$3,0,0,'Données projet'!$E$11+1,1))</f>
        <v>329.96352570744875</v>
      </c>
      <c r="BJ71" s="62">
        <f t="shared" si="92"/>
        <v>170.12252063636961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7.5</v>
      </c>
      <c r="BY71" s="13">
        <f>IF('Données projet'!$A$114&gt;35,BY70+BX71-CG70,IF(A71&lt;'Données projet'!$A$114,$BV$205^A71,IF(A71='Données projet'!$A$114,'Données projet'!$B$114,BY70+BX71-CG70)))</f>
        <v>330</v>
      </c>
      <c r="BZ71" s="14">
        <f>BY71*VLOOKUP('Données projet'!$B$12,Paramètres!$A$1:$I$89,3,0)*VLOOKUP('Données projet'!$B$12,Paramètres!$A$1:$I$89,5,0)</f>
        <v>154.44</v>
      </c>
      <c r="CA71" s="14">
        <f t="shared" si="93"/>
        <v>39.58587217095549</v>
      </c>
      <c r="CB71" s="22">
        <f t="shared" si="64"/>
        <v>337.92839403108081</v>
      </c>
      <c r="CC71" s="62">
        <f t="shared" si="65"/>
        <v>615.92390530105115</v>
      </c>
      <c r="CD71" s="62">
        <f ca="1">AVERAGE(OFFSET($CC$3,0,0,'Données projet'!$E$12+1,1))-AVERAGE(OFFSET($H$3,0,0,'Données projet'!$E$12+1,1))</f>
        <v>276.21705775006376</v>
      </c>
      <c r="CE71" s="62">
        <f t="shared" si="94"/>
        <v>234.24947280606958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12.875</v>
      </c>
      <c r="CT71" s="13">
        <f>IF('Données projet'!$A$140&gt;35,CT70+CS71-DB70,IF(A71&lt;'Données projet'!$A$140,$CQ$205^A71,IF(A71='Données projet'!$A$140,'Données projet'!$B$140,CT70+CS71-DB70)))</f>
        <v>443.75000000000006</v>
      </c>
      <c r="CU71" s="18">
        <f>CT71*VLOOKUP('Données projet'!$B$13,Paramètres!$A$1:$I$89,3,0)*VLOOKUP('Données projet'!$B$13,Paramètres!$A$1:$I$89,5,0)</f>
        <v>265.36250000000007</v>
      </c>
      <c r="CV71" s="14">
        <f t="shared" si="95"/>
        <v>63.864084559847946</v>
      </c>
      <c r="CW71" s="22">
        <f t="shared" si="67"/>
        <v>573.40296810840198</v>
      </c>
      <c r="CX71" s="62">
        <f t="shared" si="68"/>
        <v>851.39847937837226</v>
      </c>
      <c r="CY71" s="62">
        <f ca="1">AVERAGE(OFFSET($CX$3,0,0,'Données projet'!$E$13+1,1))-AVERAGE(OFFSET($H$3,0,0,'Données projet'!$E$13+1,1))</f>
        <v>376.32432344617206</v>
      </c>
      <c r="CZ71" s="62">
        <f t="shared" si="96"/>
        <v>302.77411534670466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0.77691834880598909</v>
      </c>
      <c r="DG71" s="23">
        <f>EXP(-LN(2)/25)*DG70+(1-EXP(-LN(2)/25))/(LN(2)/25)*Calculateur!DB71*Calculateur!DD71*VLOOKUP('Données projet'!$B$13,Paramètres!$A$1:$I$89,3,0)*0.475*44/12</f>
        <v>1.2844111437232706</v>
      </c>
      <c r="DH71" s="23">
        <f>EXP(-LN(2)/2)*DH70+(1-EXP(-LN(2)/2))/(LN(2)/2)*DB71*DE71*VLOOKUP('Données projet'!$B$13,Paramètres!$A$1:$I$89,3,0)*0.475*44/12</f>
        <v>1.2914179113785345E-6</v>
      </c>
      <c r="DI71" s="24">
        <f t="shared" si="69"/>
        <v>2.0613307839471711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65.816957619082814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2.75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10.083333333333334</v>
      </c>
      <c r="H72" s="70">
        <f t="shared" si="56"/>
        <v>216.33333333333334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167.79999999999981</v>
      </c>
      <c r="O72" s="14">
        <f>N72*VLOOKUP('Données projet'!$B$9,Paramètres!$A$1:$I$89,3,0)*VLOOKUP('Données projet'!$B$9,Paramètres!$A$1:$I$89,5,0)</f>
        <v>175.38455999999982</v>
      </c>
      <c r="P72" s="14">
        <f t="shared" si="87"/>
        <v>44.293788582203625</v>
      </c>
      <c r="Q72" s="22">
        <f t="shared" si="54"/>
        <v>382.60645711400434</v>
      </c>
      <c r="R72" s="62">
        <f t="shared" si="55"/>
        <v>660.86804530654103</v>
      </c>
      <c r="S72" s="62">
        <f ca="1">AVERAGE(OFFSET($R$3,0,0,'Données projet'!$E$9+1,1))-AVERAGE(OFFSET($H$3,0,0,'Données projet'!$E$9+1,1))</f>
        <v>338.33619350800484</v>
      </c>
      <c r="T72" s="62">
        <f t="shared" si="88"/>
        <v>173.80539144233424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1.9895196601282805E-13</v>
      </c>
      <c r="AJ72" s="14">
        <f>AI72*VLOOKUP('Données projet'!$B$10,Paramètres!$A$1:$I$89,3,0)*VLOOKUP('Données projet'!$B$10,Paramètres!$A$1:$I$89,5,0)</f>
        <v>1.8001173884840681E-13</v>
      </c>
      <c r="AK72" s="14">
        <f t="shared" si="89"/>
        <v>2.5254331426407198E-12</v>
      </c>
      <c r="AL72" s="22">
        <f t="shared" si="58"/>
        <v>4.7119831685935622E-12</v>
      </c>
      <c r="AM72" s="62">
        <f t="shared" si="59"/>
        <v>278.26158819254135</v>
      </c>
      <c r="AN72" s="62">
        <f ca="1">AVERAGE(OFFSET($AM$3,0,0,'Données projet'!$E$10+1,1))-AVERAGE(OFFSET($H$3,0,0,'Données projet'!$E$10+1,1))</f>
        <v>308.01218908312546</v>
      </c>
      <c r="AO72" s="62">
        <f t="shared" si="90"/>
        <v>433.94915035190684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2.041260991971471</v>
      </c>
      <c r="AV72" s="23">
        <f>EXP(-LN(2)/25)*AV71+(1-EXP(-LN(2)/25))/(LN(2)/25)*Calculateur!AQ72*Calculateur!AS72*VLOOKUP('Données projet'!$B$10,Paramètres!$A$1:$I$89,3,0)*0.475*44/12</f>
        <v>2.6488322225385805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4.6900932145100516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5.2</v>
      </c>
      <c r="BD72" s="13">
        <f>IF('Données projet'!$A$88&gt;35,BD71+BC72-BL71,IF(A72&lt;'Données projet'!$A$88,$BA$205^A72,IF(A72='Données projet'!$A$88,'Données projet'!$B$88,BD71+BC72-BL71)))</f>
        <v>167.79999999999981</v>
      </c>
      <c r="BE72" s="14">
        <f>BD72*VLOOKUP('Données projet'!$B$11,Paramètres!$A$1:$I$89,3,0)*VLOOKUP('Données projet'!$B$11,Paramètres!$A$1:$I$89,5,0)</f>
        <v>170.14919999999981</v>
      </c>
      <c r="BF72" s="14">
        <f t="shared" si="91"/>
        <v>43.123437715785229</v>
      </c>
      <c r="BG72" s="22">
        <f t="shared" si="61"/>
        <v>371.44984402165892</v>
      </c>
      <c r="BH72" s="62">
        <f t="shared" si="62"/>
        <v>649.71143221419561</v>
      </c>
      <c r="BI72" s="62">
        <f ca="1">AVERAGE(OFFSET($BH$3,0,0,'Données projet'!$E$11+1,1))-AVERAGE(OFFSET($H$3,0,0,'Données projet'!$E$11+1,1))</f>
        <v>329.96352570744875</v>
      </c>
      <c r="BJ72" s="62">
        <f t="shared" si="92"/>
        <v>170.12252063636961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7.5</v>
      </c>
      <c r="BY72" s="13">
        <f>IF('Données projet'!$A$114&gt;35,BY71+BX72-CG71,IF(A72&lt;'Données projet'!$A$114,$BV$205^A72,IF(A72='Données projet'!$A$114,'Données projet'!$B$114,BY71+BX72-CG71)))</f>
        <v>337.5</v>
      </c>
      <c r="BZ72" s="14">
        <f>BY72*VLOOKUP('Données projet'!$B$12,Paramètres!$A$1:$I$89,3,0)*VLOOKUP('Données projet'!$B$12,Paramètres!$A$1:$I$89,5,0)</f>
        <v>157.95000000000002</v>
      </c>
      <c r="CA72" s="14">
        <f t="shared" si="93"/>
        <v>40.379785735878301</v>
      </c>
      <c r="CB72" s="22">
        <f t="shared" si="64"/>
        <v>345.42437682332138</v>
      </c>
      <c r="CC72" s="62">
        <f t="shared" si="65"/>
        <v>623.68596501585807</v>
      </c>
      <c r="CD72" s="62">
        <f ca="1">AVERAGE(OFFSET($CC$3,0,0,'Données projet'!$E$12+1,1))-AVERAGE(OFFSET($H$3,0,0,'Données projet'!$E$12+1,1))</f>
        <v>276.21705775006376</v>
      </c>
      <c r="CE72" s="62">
        <f t="shared" si="94"/>
        <v>234.24947280606958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12.875</v>
      </c>
      <c r="CT72" s="13">
        <f>IF('Données projet'!$A$140&gt;35,CT71+CS72-DB71,IF(A72&lt;'Données projet'!$A$140,$CQ$205^A72,IF(A72='Données projet'!$A$140,'Données projet'!$B$140,CT71+CS72-DB71)))</f>
        <v>456.62500000000006</v>
      </c>
      <c r="CU72" s="18">
        <f>CT72*VLOOKUP('Données projet'!$B$13,Paramètres!$A$1:$I$89,3,0)*VLOOKUP('Données projet'!$B$13,Paramètres!$A$1:$I$89,5,0)</f>
        <v>273.06175000000007</v>
      </c>
      <c r="CV72" s="14">
        <f t="shared" si="95"/>
        <v>65.49862286970442</v>
      </c>
      <c r="CW72" s="22">
        <f t="shared" si="67"/>
        <v>589.65931608140193</v>
      </c>
      <c r="CX72" s="62">
        <f t="shared" si="68"/>
        <v>867.9209042739385</v>
      </c>
      <c r="CY72" s="62">
        <f ca="1">AVERAGE(OFFSET($CX$3,0,0,'Données projet'!$E$13+1,1))-AVERAGE(OFFSET($H$3,0,0,'Données projet'!$E$13+1,1))</f>
        <v>376.32432344617206</v>
      </c>
      <c r="CZ72" s="62">
        <f t="shared" si="96"/>
        <v>302.77411534670466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0.76168345385930525</v>
      </c>
      <c r="DG72" s="23">
        <f>EXP(-LN(2)/25)*DG71+(1-EXP(-LN(2)/25))/(LN(2)/25)*Calculateur!DB72*Calculateur!DD72*VLOOKUP('Données projet'!$B$13,Paramètres!$A$1:$I$89,3,0)*0.475*44/12</f>
        <v>1.2492888534539113</v>
      </c>
      <c r="DH72" s="23">
        <f>EXP(-LN(2)/2)*DH71+(1-EXP(-LN(2)/2))/(LN(2)/2)*DB72*DE72*VLOOKUP('Données projet'!$B$13,Paramètres!$A$1:$I$89,3,0)*0.475*44/12</f>
        <v>9.1317036248152961E-7</v>
      </c>
      <c r="DI72" s="24">
        <f t="shared" si="69"/>
        <v>2.0109732204835788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65.889524052509984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2.75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10.083333333333334</v>
      </c>
      <c r="H73" s="70">
        <f t="shared" si="56"/>
        <v>216.33333333333334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173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172.9999999999998</v>
      </c>
      <c r="O73" s="14">
        <f>N73*VLOOKUP('Données projet'!$B$9,Paramètres!$A$1:$I$89,3,0)*VLOOKUP('Données projet'!$B$9,Paramètres!$A$1:$I$89,5,0)</f>
        <v>180.81959999999981</v>
      </c>
      <c r="P73" s="14">
        <f t="shared" si="87"/>
        <v>45.50448382562017</v>
      </c>
      <c r="Q73" s="22">
        <f t="shared" si="54"/>
        <v>394.18111266295483</v>
      </c>
      <c r="R73" s="62">
        <f t="shared" si="55"/>
        <v>672.70416193831011</v>
      </c>
      <c r="S73" s="62">
        <f ca="1">AVERAGE(OFFSET($R$3,0,0,'Données projet'!$E$9+1,1))-AVERAGE(OFFSET($H$3,0,0,'Données projet'!$E$9+1,1))</f>
        <v>338.33619350800484</v>
      </c>
      <c r="T73" s="62">
        <f t="shared" si="88"/>
        <v>173.80539144233424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14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1.9895196601282805E-13</v>
      </c>
      <c r="AJ73" s="14">
        <f>AI73*VLOOKUP('Données projet'!$B$10,Paramètres!$A$1:$I$89,3,0)*VLOOKUP('Données projet'!$B$10,Paramètres!$A$1:$I$89,5,0)</f>
        <v>1.8001173884840681E-13</v>
      </c>
      <c r="AK73" s="14">
        <f t="shared" si="89"/>
        <v>2.5254331426407198E-12</v>
      </c>
      <c r="AL73" s="22">
        <f t="shared" si="58"/>
        <v>4.7119831685935622E-12</v>
      </c>
      <c r="AM73" s="62">
        <f t="shared" si="59"/>
        <v>278.52304927535999</v>
      </c>
      <c r="AN73" s="62">
        <f ca="1">AVERAGE(OFFSET($AM$3,0,0,'Données projet'!$E$10+1,1))-AVERAGE(OFFSET($H$3,0,0,'Données projet'!$E$10+1,1))</f>
        <v>308.01218908312546</v>
      </c>
      <c r="AO73" s="62">
        <f t="shared" si="90"/>
        <v>433.94915035190684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2.0012331089651774</v>
      </c>
      <c r="AV73" s="23">
        <f>EXP(-LN(2)/25)*AV72+(1-EXP(-LN(2)/25))/(LN(2)/25)*Calculateur!AQ73*Calculateur!AS73*VLOOKUP('Données projet'!$B$10,Paramètres!$A$1:$I$89,3,0)*0.475*44/12</f>
        <v>2.5763997661172304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4.5776328750824078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173</v>
      </c>
      <c r="BB73" s="13">
        <f>VLOOKUP(A73,'Données projet'!$A$87:$I$107,9,0)</f>
        <v>5.2</v>
      </c>
      <c r="BC73" s="13">
        <f t="array" ref="BC73">INDEX(BB:BB,MIN(IF(ISNUMBER(BB73:BB269),ROW(BB73:BB269),"")))</f>
        <v>5.2</v>
      </c>
      <c r="BD73" s="13">
        <f>IF('Données projet'!$A$88&gt;35,BD72+BC73-BL72,IF(A73&lt;'Données projet'!$A$88,$BA$205^A73,IF(A73='Données projet'!$A$88,'Données projet'!$B$88,BD72+BC73-BL72)))</f>
        <v>172.9999999999998</v>
      </c>
      <c r="BE73" s="14">
        <f>BD73*VLOOKUP('Données projet'!$B$11,Paramètres!$A$1:$I$89,3,0)*VLOOKUP('Données projet'!$B$11,Paramètres!$A$1:$I$89,5,0)</f>
        <v>175.4219999999998</v>
      </c>
      <c r="BF73" s="14">
        <f t="shared" si="91"/>
        <v>44.302143412304694</v>
      </c>
      <c r="BG73" s="22">
        <f t="shared" si="61"/>
        <v>382.68621644309695</v>
      </c>
      <c r="BH73" s="62">
        <f t="shared" si="62"/>
        <v>661.20926571845223</v>
      </c>
      <c r="BI73" s="62">
        <f ca="1">AVERAGE(OFFSET($BH$3,0,0,'Données projet'!$E$11+1,1))-AVERAGE(OFFSET($H$3,0,0,'Données projet'!$E$11+1,1))</f>
        <v>329.96352570744875</v>
      </c>
      <c r="BJ73" s="62">
        <f t="shared" si="92"/>
        <v>170.12252063636961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345</v>
      </c>
      <c r="BW73" s="13">
        <f>VLOOKUP(A73,'Données projet'!$A$113:$I$133,9,0)</f>
        <v>7.5</v>
      </c>
      <c r="BX73" s="13">
        <f t="array" ref="BX73">INDEX(BW:BW,MIN(IF(ISNUMBER(BW73:BW269),ROW(BW73:BW269),"")))</f>
        <v>7.5</v>
      </c>
      <c r="BY73" s="13">
        <f>IF('Données projet'!$A$114&gt;35,BY72+BX73-CG72,IF(A73&lt;'Données projet'!$A$114,$BV$205^A73,IF(A73='Données projet'!$A$114,'Données projet'!$B$114,BY72+BX73-CG72)))</f>
        <v>345</v>
      </c>
      <c r="BZ73" s="14">
        <f>BY73*VLOOKUP('Données projet'!$B$12,Paramètres!$A$1:$I$89,3,0)*VLOOKUP('Données projet'!$B$12,Paramètres!$A$1:$I$89,5,0)</f>
        <v>161.45999999999998</v>
      </c>
      <c r="CA73" s="14">
        <f t="shared" si="93"/>
        <v>41.171648186302534</v>
      </c>
      <c r="CB73" s="22">
        <f t="shared" si="64"/>
        <v>352.9167872578102</v>
      </c>
      <c r="CC73" s="62">
        <f t="shared" si="65"/>
        <v>631.43983653316548</v>
      </c>
      <c r="CD73" s="62">
        <f ca="1">AVERAGE(OFFSET($CC$3,0,0,'Données projet'!$E$12+1,1))-AVERAGE(OFFSET($H$3,0,0,'Données projet'!$E$12+1,1))</f>
        <v>276.21705775006376</v>
      </c>
      <c r="CE73" s="62">
        <f t="shared" si="94"/>
        <v>234.24947280606958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69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12.875</v>
      </c>
      <c r="CT73" s="13">
        <f>IF('Données projet'!$A$140&gt;35,CT72+CS73-DB72,IF(A73&lt;'Données projet'!$A$140,$CQ$205^A73,IF(A73='Données projet'!$A$140,'Données projet'!$B$140,CT72+CS73-DB72)))</f>
        <v>469.50000000000006</v>
      </c>
      <c r="CU73" s="18">
        <f>CT73*VLOOKUP('Données projet'!$B$13,Paramètres!$A$1:$I$89,3,0)*VLOOKUP('Données projet'!$B$13,Paramètres!$A$1:$I$89,5,0)</f>
        <v>280.76100000000002</v>
      </c>
      <c r="CV73" s="14">
        <f t="shared" si="95"/>
        <v>67.12780464438184</v>
      </c>
      <c r="CW73" s="22">
        <f t="shared" si="67"/>
        <v>605.90633475563175</v>
      </c>
      <c r="CX73" s="62">
        <f t="shared" si="68"/>
        <v>884.42938403098697</v>
      </c>
      <c r="CY73" s="62">
        <f ca="1">AVERAGE(OFFSET($CX$3,0,0,'Données projet'!$E$13+1,1))-AVERAGE(OFFSET($H$3,0,0,'Données projet'!$E$13+1,1))</f>
        <v>376.32432344617206</v>
      </c>
      <c r="CZ73" s="62">
        <f t="shared" si="96"/>
        <v>302.77411534670466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0.74674730591015759</v>
      </c>
      <c r="DG73" s="23">
        <f>EXP(-LN(2)/25)*DG72+(1-EXP(-LN(2)/25))/(LN(2)/25)*Calculateur!DB73*Calculateur!DD73*VLOOKUP('Données projet'!$B$13,Paramètres!$A$1:$I$89,3,0)*0.475*44/12</f>
        <v>1.2151269840589685</v>
      </c>
      <c r="DH73" s="23">
        <f>EXP(-LN(2)/2)*DH72+(1-EXP(-LN(2)/2))/(LN(2)/2)*DB73*DE73*VLOOKUP('Données projet'!$B$13,Paramètres!$A$1:$I$89,3,0)*0.475*44/12</f>
        <v>6.4570895568926723E-7</v>
      </c>
      <c r="DI73" s="24">
        <f t="shared" si="69"/>
        <v>1.9618749356780816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65.960831620551431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2.75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10.083333333333334</v>
      </c>
      <c r="H74" s="70">
        <f t="shared" si="56"/>
        <v>216.33333333333334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4.8</v>
      </c>
      <c r="N74" s="14">
        <f>IF('Données projet'!$A$36&gt;35,N73+M74-V73,IF(A74&lt;'Données projet'!$A$36,$K$205^A74,IF(A74='Données projet'!$A$36,'Données projet'!$B$36,N73+M74-V73)))</f>
        <v>163.79999999999981</v>
      </c>
      <c r="O74" s="14">
        <f>N74*VLOOKUP('Données projet'!$B$9,Paramètres!$A$1:$I$89,3,0)*VLOOKUP('Données projet'!$B$9,Paramètres!$A$1:$I$89,5,0)</f>
        <v>171.20375999999982</v>
      </c>
      <c r="P74" s="14">
        <f t="shared" si="87"/>
        <v>43.359514967164486</v>
      </c>
      <c r="Q74" s="22">
        <f t="shared" si="54"/>
        <v>373.69770390114451</v>
      </c>
      <c r="R74" s="62">
        <f t="shared" si="55"/>
        <v>652.47767849407091</v>
      </c>
      <c r="S74" s="62">
        <f ca="1">AVERAGE(OFFSET($R$3,0,0,'Données projet'!$E$9+1,1))-AVERAGE(OFFSET($H$3,0,0,'Données projet'!$E$9+1,1))</f>
        <v>338.33619350800484</v>
      </c>
      <c r="T74" s="62">
        <f t="shared" si="88"/>
        <v>173.80539144233424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1.9895196601282805E-13</v>
      </c>
      <c r="AJ74" s="14">
        <f>AI74*VLOOKUP('Données projet'!$B$10,Paramètres!$A$1:$I$89,3,0)*VLOOKUP('Données projet'!$B$10,Paramètres!$A$1:$I$89,5,0)</f>
        <v>1.8001173884840681E-13</v>
      </c>
      <c r="AK74" s="14">
        <f t="shared" si="89"/>
        <v>2.5254331426407198E-12</v>
      </c>
      <c r="AL74" s="22">
        <f t="shared" si="58"/>
        <v>4.7119831685935622E-12</v>
      </c>
      <c r="AM74" s="62">
        <f t="shared" si="59"/>
        <v>278.77997459293107</v>
      </c>
      <c r="AN74" s="62">
        <f ca="1">AVERAGE(OFFSET($AM$3,0,0,'Données projet'!$E$10+1,1))-AVERAGE(OFFSET($H$3,0,0,'Données projet'!$E$10+1,1))</f>
        <v>308.01218908312546</v>
      </c>
      <c r="AO74" s="62">
        <f t="shared" si="90"/>
        <v>433.94915035190684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1.9619901483300393</v>
      </c>
      <c r="AV74" s="23">
        <f>EXP(-LN(2)/25)*AV73+(1-EXP(-LN(2)/25))/(LN(2)/25)*Calculateur!AQ74*Calculateur!AS74*VLOOKUP('Données projet'!$B$10,Paramètres!$A$1:$I$89,3,0)*0.475*44/12</f>
        <v>2.5059479790257795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4.4679381273558185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</v>
      </c>
      <c r="BD74" s="13">
        <f>IF('Données projet'!$A$88&gt;35,BD73+BC74-BL73,IF(A74&lt;'Données projet'!$A$88,$BA$205^A74,IF(A74='Données projet'!$A$88,'Données projet'!$B$88,BD73+BC74-BL73)))</f>
        <v>163.79999999999981</v>
      </c>
      <c r="BE74" s="14">
        <f>BD74*VLOOKUP('Données projet'!$B$11,Paramètres!$A$1:$I$89,3,0)*VLOOKUP('Données projet'!$B$11,Paramètres!$A$1:$I$89,5,0)</f>
        <v>166.09319999999983</v>
      </c>
      <c r="BF74" s="14">
        <f t="shared" si="91"/>
        <v>42.213849908165869</v>
      </c>
      <c r="BG74" s="22">
        <f t="shared" si="61"/>
        <v>362.80144525672193</v>
      </c>
      <c r="BH74" s="62">
        <f t="shared" si="62"/>
        <v>641.58141984964823</v>
      </c>
      <c r="BI74" s="62">
        <f ca="1">AVERAGE(OFFSET($BH$3,0,0,'Données projet'!$E$11+1,1))-AVERAGE(OFFSET($H$3,0,0,'Données projet'!$E$11+1,1))</f>
        <v>329.96352570744875</v>
      </c>
      <c r="BJ74" s="62">
        <f t="shared" si="92"/>
        <v>170.12252063636961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7.7</v>
      </c>
      <c r="BY74" s="13">
        <f>IF('Données projet'!$A$114&gt;35,BY73+BX74-CG73,IF(A74&lt;'Données projet'!$A$114,$BV$205^A74,IF(A74='Données projet'!$A$114,'Données projet'!$B$114,BY73+BX74-CG73)))</f>
        <v>283.7</v>
      </c>
      <c r="BZ74" s="14">
        <f>BY74*VLOOKUP('Données projet'!$B$12,Paramètres!$A$1:$I$89,3,0)*VLOOKUP('Données projet'!$B$12,Paramètres!$A$1:$I$89,5,0)</f>
        <v>132.77160000000001</v>
      </c>
      <c r="CA74" s="14">
        <f t="shared" si="93"/>
        <v>34.63600628318656</v>
      </c>
      <c r="CB74" s="22">
        <f t="shared" si="64"/>
        <v>291.56824760988326</v>
      </c>
      <c r="CC74" s="62">
        <f t="shared" si="65"/>
        <v>570.34822220280967</v>
      </c>
      <c r="CD74" s="62">
        <f ca="1">AVERAGE(OFFSET($CC$3,0,0,'Données projet'!$E$12+1,1))-AVERAGE(OFFSET($H$3,0,0,'Données projet'!$E$12+1,1))</f>
        <v>276.21705775006376</v>
      </c>
      <c r="CE74" s="62">
        <f t="shared" si="94"/>
        <v>234.24947280606958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12.875</v>
      </c>
      <c r="CT74" s="13">
        <f>IF('Données projet'!$A$140&gt;35,CT73+CS74-DB73,IF(A74&lt;'Données projet'!$A$140,$CQ$205^A74,IF(A74='Données projet'!$A$140,'Données projet'!$B$140,CT73+CS74-DB73)))</f>
        <v>482.37500000000006</v>
      </c>
      <c r="CU74" s="18">
        <f>CT74*VLOOKUP('Données projet'!$B$13,Paramètres!$A$1:$I$89,3,0)*VLOOKUP('Données projet'!$B$13,Paramètres!$A$1:$I$89,5,0)</f>
        <v>288.46025000000009</v>
      </c>
      <c r="CV74" s="14">
        <f t="shared" si="95"/>
        <v>68.75179365327233</v>
      </c>
      <c r="CW74" s="22">
        <f t="shared" si="67"/>
        <v>622.14430936278279</v>
      </c>
      <c r="CX74" s="62">
        <f t="shared" si="68"/>
        <v>900.92428395570914</v>
      </c>
      <c r="CY74" s="62">
        <f ca="1">AVERAGE(OFFSET($CX$3,0,0,'Données projet'!$E$13+1,1))-AVERAGE(OFFSET($H$3,0,0,'Données projet'!$E$13+1,1))</f>
        <v>376.32432344617206</v>
      </c>
      <c r="CZ74" s="62">
        <f t="shared" si="96"/>
        <v>302.77411534670466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0.73210404671214202</v>
      </c>
      <c r="DG74" s="23">
        <f>EXP(-LN(2)/25)*DG73+(1-EXP(-LN(2)/25))/(LN(2)/25)*Calculateur!DB74*Calculateur!DD74*VLOOKUP('Données projet'!$B$13,Paramètres!$A$1:$I$89,3,0)*0.475*44/12</f>
        <v>1.1818992727791251</v>
      </c>
      <c r="DH74" s="23">
        <f>EXP(-LN(2)/2)*DH73+(1-EXP(-LN(2)/2))/(LN(2)/2)*DB74*DE74*VLOOKUP('Données projet'!$B$13,Paramètres!$A$1:$I$89,3,0)*0.475*44/12</f>
        <v>4.565851812407648E-7</v>
      </c>
      <c r="DI74" s="24">
        <f t="shared" si="69"/>
        <v>1.9140037760764483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66.030902161707189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2.75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10.083333333333334</v>
      </c>
      <c r="H75" s="70">
        <f t="shared" si="56"/>
        <v>216.33333333333334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4.8</v>
      </c>
      <c r="N75" s="14">
        <f>IF('Données projet'!$A$36&gt;35,N74+M75-V74,IF(A75&lt;'Données projet'!$A$36,$K$205^A75,IF(A75='Données projet'!$A$36,'Données projet'!$B$36,N74+M75-V74)))</f>
        <v>168.59999999999982</v>
      </c>
      <c r="O75" s="14">
        <f>N75*VLOOKUP('Données projet'!$B$9,Paramètres!$A$1:$I$89,3,0)*VLOOKUP('Données projet'!$B$9,Paramètres!$A$1:$I$89,5,0)</f>
        <v>176.22071999999983</v>
      </c>
      <c r="P75" s="14">
        <f t="shared" si="87"/>
        <v>44.480330422808066</v>
      </c>
      <c r="Q75" s="22">
        <f t="shared" si="54"/>
        <v>384.38766281972374</v>
      </c>
      <c r="R75" s="62">
        <f t="shared" si="55"/>
        <v>663.42010565036026</v>
      </c>
      <c r="S75" s="62">
        <f ca="1">AVERAGE(OFFSET($R$3,0,0,'Données projet'!$E$9+1,1))-AVERAGE(OFFSET($H$3,0,0,'Données projet'!$E$9+1,1))</f>
        <v>338.33619350800484</v>
      </c>
      <c r="T75" s="62">
        <f t="shared" si="88"/>
        <v>173.80539144233424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1.9895196601282805E-13</v>
      </c>
      <c r="AJ75" s="14">
        <f>AI75*VLOOKUP('Données projet'!$B$10,Paramètres!$A$1:$I$89,3,0)*VLOOKUP('Données projet'!$B$10,Paramètres!$A$1:$I$89,5,0)</f>
        <v>1.8001173884840681E-13</v>
      </c>
      <c r="AK75" s="14">
        <f t="shared" si="89"/>
        <v>2.5254331426407198E-12</v>
      </c>
      <c r="AL75" s="22">
        <f t="shared" si="58"/>
        <v>4.7119831685935622E-12</v>
      </c>
      <c r="AM75" s="62">
        <f t="shared" si="59"/>
        <v>279.03244283064129</v>
      </c>
      <c r="AN75" s="62">
        <f ca="1">AVERAGE(OFFSET($AM$3,0,0,'Données projet'!$E$10+1,1))-AVERAGE(OFFSET($H$3,0,0,'Données projet'!$E$10+1,1))</f>
        <v>308.01218908312546</v>
      </c>
      <c r="AO75" s="62">
        <f t="shared" si="90"/>
        <v>433.94915035190684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1.9235167182171138</v>
      </c>
      <c r="AV75" s="23">
        <f>EXP(-LN(2)/25)*AV74+(1-EXP(-LN(2)/25))/(LN(2)/25)*Calculateur!AQ75*Calculateur!AS75*VLOOKUP('Données projet'!$B$10,Paramètres!$A$1:$I$89,3,0)*0.475*44/12</f>
        <v>2.4374226997572426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4.3609394179743566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4.8</v>
      </c>
      <c r="BD75" s="13">
        <f>IF('Données projet'!$A$88&gt;35,BD74+BC75-BL74,IF(A75&lt;'Données projet'!$A$88,$BA$205^A75,IF(A75='Données projet'!$A$88,'Données projet'!$B$88,BD74+BC75-BL74)))</f>
        <v>168.59999999999982</v>
      </c>
      <c r="BE75" s="14">
        <f>BD75*VLOOKUP('Données projet'!$B$11,Paramètres!$A$1:$I$89,3,0)*VLOOKUP('Données projet'!$B$11,Paramètres!$A$1:$I$89,5,0)</f>
        <v>170.96039999999982</v>
      </c>
      <c r="BF75" s="14">
        <f t="shared" si="91"/>
        <v>43.305050662028606</v>
      </c>
      <c r="BG75" s="22">
        <f t="shared" si="61"/>
        <v>373.17899323636624</v>
      </c>
      <c r="BH75" s="62">
        <f t="shared" si="62"/>
        <v>652.21143606700275</v>
      </c>
      <c r="BI75" s="62">
        <f ca="1">AVERAGE(OFFSET($BH$3,0,0,'Données projet'!$E$11+1,1))-AVERAGE(OFFSET($H$3,0,0,'Données projet'!$E$11+1,1))</f>
        <v>329.96352570744875</v>
      </c>
      <c r="BJ75" s="62">
        <f t="shared" si="92"/>
        <v>170.12252063636961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7.7</v>
      </c>
      <c r="BY75" s="13">
        <f>IF('Données projet'!$A$114&gt;35,BY74+BX75-CG74,IF(A75&lt;'Données projet'!$A$114,$BV$205^A75,IF(A75='Données projet'!$A$114,'Données projet'!$B$114,BY74+BX75-CG74)))</f>
        <v>291.39999999999998</v>
      </c>
      <c r="BZ75" s="14">
        <f>BY75*VLOOKUP('Données projet'!$B$12,Paramètres!$A$1:$I$89,3,0)*VLOOKUP('Données projet'!$B$12,Paramètres!$A$1:$I$89,5,0)</f>
        <v>136.37519999999998</v>
      </c>
      <c r="CA75" s="14">
        <f t="shared" si="93"/>
        <v>35.465351191683979</v>
      </c>
      <c r="CB75" s="22">
        <f t="shared" si="64"/>
        <v>299.28895999218292</v>
      </c>
      <c r="CC75" s="62">
        <f t="shared" si="65"/>
        <v>578.32140282281944</v>
      </c>
      <c r="CD75" s="62">
        <f ca="1">AVERAGE(OFFSET($CC$3,0,0,'Données projet'!$E$12+1,1))-AVERAGE(OFFSET($H$3,0,0,'Données projet'!$E$12+1,1))</f>
        <v>276.21705775006376</v>
      </c>
      <c r="CE75" s="62">
        <f t="shared" si="94"/>
        <v>234.24947280606958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12.875</v>
      </c>
      <c r="CT75" s="13">
        <f>IF('Données projet'!$A$140&gt;35,CT74+CS75-DB74,IF(A75&lt;'Données projet'!$A$140,$CQ$205^A75,IF(A75='Données projet'!$A$140,'Données projet'!$B$140,CT74+CS75-DB74)))</f>
        <v>495.25000000000006</v>
      </c>
      <c r="CU75" s="18">
        <f>CT75*VLOOKUP('Données projet'!$B$13,Paramètres!$A$1:$I$89,3,0)*VLOOKUP('Données projet'!$B$13,Paramètres!$A$1:$I$89,5,0)</f>
        <v>296.15950000000004</v>
      </c>
      <c r="CV75" s="14">
        <f t="shared" si="95"/>
        <v>70.370744425720076</v>
      </c>
      <c r="CW75" s="22">
        <f t="shared" si="67"/>
        <v>638.37350904146251</v>
      </c>
      <c r="CX75" s="62">
        <f t="shared" si="68"/>
        <v>917.40595187209908</v>
      </c>
      <c r="CY75" s="62">
        <f ca="1">AVERAGE(OFFSET($CX$3,0,0,'Données projet'!$E$13+1,1))-AVERAGE(OFFSET($H$3,0,0,'Données projet'!$E$13+1,1))</f>
        <v>376.32432344617206</v>
      </c>
      <c r="CZ75" s="62">
        <f t="shared" si="96"/>
        <v>302.77411534670466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0.71774793289549332</v>
      </c>
      <c r="DG75" s="23">
        <f>EXP(-LN(2)/25)*DG74+(1-EXP(-LN(2)/25))/(LN(2)/25)*Calculateur!DB75*Calculateur!DD75*VLOOKUP('Données projet'!$B$13,Paramètres!$A$1:$I$89,3,0)*0.475*44/12</f>
        <v>1.1495801750115984</v>
      </c>
      <c r="DH75" s="23">
        <f>EXP(-LN(2)/2)*DH74+(1-EXP(-LN(2)/2))/(LN(2)/2)*DB75*DE75*VLOOKUP('Données projet'!$B$13,Paramètres!$A$1:$I$89,3,0)*0.475*44/12</f>
        <v>3.2285447784463362E-7</v>
      </c>
      <c r="DI75" s="24">
        <f t="shared" si="69"/>
        <v>1.8673284307615696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66.099757135628153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2.75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10.083333333333334</v>
      </c>
      <c r="H76" s="70">
        <f t="shared" si="56"/>
        <v>216.33333333333334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4.8</v>
      </c>
      <c r="N76" s="14">
        <f>IF('Données projet'!$A$36&gt;35,N75+M76-V75,IF(A76&lt;'Données projet'!$A$36,$K$205^A76,IF(A76='Données projet'!$A$36,'Données projet'!$B$36,N75+M76-V75)))</f>
        <v>173.39999999999984</v>
      </c>
      <c r="O76" s="14">
        <f>N76*VLOOKUP('Données projet'!$B$9,Paramètres!$A$1:$I$89,3,0)*VLOOKUP('Données projet'!$B$9,Paramètres!$A$1:$I$89,5,0)</f>
        <v>181.23767999999984</v>
      </c>
      <c r="P76" s="14">
        <f t="shared" si="87"/>
        <v>45.597437249761917</v>
      </c>
      <c r="Q76" s="22">
        <f t="shared" si="54"/>
        <v>395.07116254333505</v>
      </c>
      <c r="R76" s="62">
        <f t="shared" si="55"/>
        <v>674.35169385219206</v>
      </c>
      <c r="S76" s="62">
        <f ca="1">AVERAGE(OFFSET($R$3,0,0,'Données projet'!$E$9+1,1))-AVERAGE(OFFSET($H$3,0,0,'Données projet'!$E$9+1,1))</f>
        <v>338.33619350800484</v>
      </c>
      <c r="T76" s="62">
        <f t="shared" si="88"/>
        <v>173.80539144233424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1.9895196601282805E-13</v>
      </c>
      <c r="AJ76" s="14">
        <f>AI76*VLOOKUP('Données projet'!$B$10,Paramètres!$A$1:$I$89,3,0)*VLOOKUP('Données projet'!$B$10,Paramètres!$A$1:$I$89,5,0)</f>
        <v>1.8001173884840681E-13</v>
      </c>
      <c r="AK76" s="14">
        <f t="shared" si="89"/>
        <v>2.5254331426407198E-12</v>
      </c>
      <c r="AL76" s="22">
        <f t="shared" si="58"/>
        <v>4.7119831685935622E-12</v>
      </c>
      <c r="AM76" s="62">
        <f t="shared" si="59"/>
        <v>279.28053130886167</v>
      </c>
      <c r="AN76" s="62">
        <f ca="1">AVERAGE(OFFSET($AM$3,0,0,'Données projet'!$E$10+1,1))-AVERAGE(OFFSET($H$3,0,0,'Données projet'!$E$10+1,1))</f>
        <v>308.01218908312546</v>
      </c>
      <c r="AO76" s="62">
        <f t="shared" si="90"/>
        <v>433.94915035190684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1.8857977286022276</v>
      </c>
      <c r="AV76" s="23">
        <f>EXP(-LN(2)/25)*AV75+(1-EXP(-LN(2)/25))/(LN(2)/25)*Calculateur!AQ76*Calculateur!AS76*VLOOKUP('Données projet'!$B$10,Paramètres!$A$1:$I$89,3,0)*0.475*44/12</f>
        <v>2.3707712478538916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4.2565689764561192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4.8</v>
      </c>
      <c r="BD76" s="13">
        <f>IF('Données projet'!$A$88&gt;35,BD75+BC76-BL75,IF(A76&lt;'Données projet'!$A$88,$BA$205^A76,IF(A76='Données projet'!$A$88,'Données projet'!$B$88,BD75+BC76-BL75)))</f>
        <v>173.39999999999984</v>
      </c>
      <c r="BE76" s="14">
        <f>BD76*VLOOKUP('Données projet'!$B$11,Paramètres!$A$1:$I$89,3,0)*VLOOKUP('Données projet'!$B$11,Paramètres!$A$1:$I$89,5,0)</f>
        <v>175.82759999999985</v>
      </c>
      <c r="BF76" s="14">
        <f t="shared" si="91"/>
        <v>44.392640778295565</v>
      </c>
      <c r="BG76" s="22">
        <f t="shared" si="61"/>
        <v>383.55025268886453</v>
      </c>
      <c r="BH76" s="62">
        <f t="shared" si="62"/>
        <v>662.83078399772148</v>
      </c>
      <c r="BI76" s="62">
        <f ca="1">AVERAGE(OFFSET($BH$3,0,0,'Données projet'!$E$11+1,1))-AVERAGE(OFFSET($H$3,0,0,'Données projet'!$E$11+1,1))</f>
        <v>329.96352570744875</v>
      </c>
      <c r="BJ76" s="62">
        <f t="shared" si="92"/>
        <v>170.12252063636961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7.7</v>
      </c>
      <c r="BY76" s="13">
        <f>IF('Données projet'!$A$114&gt;35,BY75+BX76-CG75,IF(A76&lt;'Données projet'!$A$114,$BV$205^A76,IF(A76='Données projet'!$A$114,'Données projet'!$B$114,BY75+BX76-CG75)))</f>
        <v>299.09999999999997</v>
      </c>
      <c r="BZ76" s="14">
        <f>BY76*VLOOKUP('Données projet'!$B$12,Paramètres!$A$1:$I$89,3,0)*VLOOKUP('Données projet'!$B$12,Paramètres!$A$1:$I$89,5,0)</f>
        <v>139.97879999999998</v>
      </c>
      <c r="CA76" s="14">
        <f t="shared" si="93"/>
        <v>36.292148829903653</v>
      </c>
      <c r="CB76" s="22">
        <f t="shared" si="64"/>
        <v>307.00523587874881</v>
      </c>
      <c r="CC76" s="62">
        <f t="shared" si="65"/>
        <v>586.28576718760576</v>
      </c>
      <c r="CD76" s="62">
        <f ca="1">AVERAGE(OFFSET($CC$3,0,0,'Données projet'!$E$12+1,1))-AVERAGE(OFFSET($H$3,0,0,'Données projet'!$E$12+1,1))</f>
        <v>276.21705775006376</v>
      </c>
      <c r="CE76" s="62">
        <f t="shared" si="94"/>
        <v>234.24947280606958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12.875</v>
      </c>
      <c r="CT76" s="13">
        <f>IF('Données projet'!$A$140&gt;35,CT75+CS76-DB75,IF(A76&lt;'Données projet'!$A$140,$CQ$205^A76,IF(A76='Données projet'!$A$140,'Données projet'!$B$140,CT75+CS76-DB75)))</f>
        <v>508.12500000000006</v>
      </c>
      <c r="CU76" s="18">
        <f>CT76*VLOOKUP('Données projet'!$B$13,Paramètres!$A$1:$I$89,3,0)*VLOOKUP('Données projet'!$B$13,Paramètres!$A$1:$I$89,5,0)</f>
        <v>303.85875000000004</v>
      </c>
      <c r="CV76" s="14">
        <f t="shared" si="95"/>
        <v>71.984802998830631</v>
      </c>
      <c r="CW76" s="22">
        <f t="shared" si="67"/>
        <v>654.59418813963009</v>
      </c>
      <c r="CX76" s="62">
        <f t="shared" si="68"/>
        <v>933.87471944848699</v>
      </c>
      <c r="CY76" s="62">
        <f ca="1">AVERAGE(OFFSET($CX$3,0,0,'Données projet'!$E$13+1,1))-AVERAGE(OFFSET($H$3,0,0,'Données projet'!$E$13+1,1))</f>
        <v>376.32432344617206</v>
      </c>
      <c r="CZ76" s="62">
        <f t="shared" si="96"/>
        <v>302.77411534670466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0.70367333371442431</v>
      </c>
      <c r="DG76" s="23">
        <f>EXP(-LN(2)/25)*DG75+(1-EXP(-LN(2)/25))/(LN(2)/25)*Calculateur!DB76*Calculateur!DD76*VLOOKUP('Données projet'!$B$13,Paramètres!$A$1:$I$89,3,0)*0.475*44/12</f>
        <v>1.1181448446721123</v>
      </c>
      <c r="DH76" s="23">
        <f>EXP(-LN(2)/2)*DH75+(1-EXP(-LN(2)/2))/(LN(2)/2)*DB76*DE76*VLOOKUP('Données projet'!$B$13,Paramètres!$A$1:$I$89,3,0)*0.475*44/12</f>
        <v>2.282925906203824E-7</v>
      </c>
      <c r="DI76" s="24">
        <f t="shared" si="69"/>
        <v>1.8218184066791272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66.167417629688259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2.75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10.083333333333334</v>
      </c>
      <c r="H77" s="70">
        <f t="shared" si="56"/>
        <v>216.33333333333334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4.8</v>
      </c>
      <c r="N77" s="14">
        <f>IF('Données projet'!$A$36&gt;35,N76+M77-V76,IF(A77&lt;'Données projet'!$A$36,$K$205^A77,IF(A77='Données projet'!$A$36,'Données projet'!$B$36,N76+M77-V76)))</f>
        <v>178.19999999999985</v>
      </c>
      <c r="O77" s="14">
        <f>N77*VLOOKUP('Données projet'!$B$9,Paramètres!$A$1:$I$89,3,0)*VLOOKUP('Données projet'!$B$9,Paramètres!$A$1:$I$89,5,0)</f>
        <v>186.25463999999985</v>
      </c>
      <c r="P77" s="14">
        <f t="shared" si="87"/>
        <v>46.710949903929567</v>
      </c>
      <c r="Q77" s="22">
        <f t="shared" si="54"/>
        <v>405.74840241601038</v>
      </c>
      <c r="R77" s="62">
        <f t="shared" si="55"/>
        <v>685.27271842263337</v>
      </c>
      <c r="S77" s="62">
        <f ca="1">AVERAGE(OFFSET($R$3,0,0,'Données projet'!$E$9+1,1))-AVERAGE(OFFSET($H$3,0,0,'Données projet'!$E$9+1,1))</f>
        <v>338.33619350800484</v>
      </c>
      <c r="T77" s="62">
        <f t="shared" si="88"/>
        <v>173.80539144233424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1.9895196601282805E-13</v>
      </c>
      <c r="AJ77" s="14">
        <f>AI77*VLOOKUP('Données projet'!$B$10,Paramètres!$A$1:$I$89,3,0)*VLOOKUP('Données projet'!$B$10,Paramètres!$A$1:$I$89,5,0)</f>
        <v>1.8001173884840681E-13</v>
      </c>
      <c r="AK77" s="14">
        <f t="shared" si="89"/>
        <v>2.5254331426407198E-12</v>
      </c>
      <c r="AL77" s="22">
        <f t="shared" si="58"/>
        <v>4.7119831685935622E-12</v>
      </c>
      <c r="AM77" s="62">
        <f t="shared" si="59"/>
        <v>279.52431600662771</v>
      </c>
      <c r="AN77" s="62">
        <f ca="1">AVERAGE(OFFSET($AM$3,0,0,'Données projet'!$E$10+1,1))-AVERAGE(OFFSET($H$3,0,0,'Données projet'!$E$10+1,1))</f>
        <v>308.01218908312546</v>
      </c>
      <c r="AO77" s="62">
        <f t="shared" si="90"/>
        <v>433.94915035190684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1.8488183853673772</v>
      </c>
      <c r="AV77" s="23">
        <f>EXP(-LN(2)/25)*AV76+(1-EXP(-LN(2)/25))/(LN(2)/25)*Calculateur!AQ77*Calculateur!AS77*VLOOKUP('Données projet'!$B$10,Paramètres!$A$1:$I$89,3,0)*0.475*44/12</f>
        <v>2.3059423834078854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4.1547607687752626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4.8</v>
      </c>
      <c r="BD77" s="13">
        <f>IF('Données projet'!$A$88&gt;35,BD76+BC77-BL76,IF(A77&lt;'Données projet'!$A$88,$BA$205^A77,IF(A77='Données projet'!$A$88,'Données projet'!$B$88,BD76+BC77-BL76)))</f>
        <v>178.19999999999985</v>
      </c>
      <c r="BE77" s="14">
        <f>BD77*VLOOKUP('Données projet'!$B$11,Paramètres!$A$1:$I$89,3,0)*VLOOKUP('Données projet'!$B$11,Paramètres!$A$1:$I$89,5,0)</f>
        <v>180.69479999999984</v>
      </c>
      <c r="BF77" s="14">
        <f t="shared" si="91"/>
        <v>45.476731688663754</v>
      </c>
      <c r="BG77" s="22">
        <f t="shared" si="61"/>
        <v>393.91541769108909</v>
      </c>
      <c r="BH77" s="62">
        <f t="shared" si="62"/>
        <v>673.43973369771209</v>
      </c>
      <c r="BI77" s="62">
        <f ca="1">AVERAGE(OFFSET($BH$3,0,0,'Données projet'!$E$11+1,1))-AVERAGE(OFFSET($H$3,0,0,'Données projet'!$E$11+1,1))</f>
        <v>329.96352570744875</v>
      </c>
      <c r="BJ77" s="62">
        <f t="shared" si="92"/>
        <v>170.12252063636961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7.7</v>
      </c>
      <c r="BY77" s="13">
        <f>IF('Données projet'!$A$114&gt;35,BY76+BX77-CG76,IF(A77&lt;'Données projet'!$A$114,$BV$205^A77,IF(A77='Données projet'!$A$114,'Données projet'!$B$114,BY76+BX77-CG76)))</f>
        <v>306.79999999999995</v>
      </c>
      <c r="BZ77" s="14">
        <f>BY77*VLOOKUP('Données projet'!$B$12,Paramètres!$A$1:$I$89,3,0)*VLOOKUP('Données projet'!$B$12,Paramètres!$A$1:$I$89,5,0)</f>
        <v>143.58239999999998</v>
      </c>
      <c r="CA77" s="14">
        <f t="shared" si="93"/>
        <v>37.116472314400653</v>
      </c>
      <c r="CB77" s="22">
        <f t="shared" si="64"/>
        <v>314.71720261424775</v>
      </c>
      <c r="CC77" s="62">
        <f t="shared" si="65"/>
        <v>594.24151862087069</v>
      </c>
      <c r="CD77" s="62">
        <f ca="1">AVERAGE(OFFSET($CC$3,0,0,'Données projet'!$E$12+1,1))-AVERAGE(OFFSET($H$3,0,0,'Données projet'!$E$12+1,1))</f>
        <v>276.21705775006376</v>
      </c>
      <c r="CE77" s="62">
        <f t="shared" si="94"/>
        <v>234.24947280606958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>
        <f>VLOOKUP(A77,'Données projet'!$A$139:$I$159,2,0)</f>
        <v>521</v>
      </c>
      <c r="CR77" s="13">
        <f>VLOOKUP(A77,'Données projet'!$A$139:$I$159,9,0)</f>
        <v>12.875</v>
      </c>
      <c r="CS77" s="13">
        <f t="array" ref="CS77">INDEX(CR:CR,MIN(IF(ISNUMBER(CR77:CR273),ROW(CR77:CR273),"")))</f>
        <v>12.875</v>
      </c>
      <c r="CT77" s="13">
        <f>IF('Données projet'!$A$140&gt;35,CT76+CS77-DB76,IF(A77&lt;'Données projet'!$A$140,$CQ$205^A77,IF(A77='Données projet'!$A$140,'Données projet'!$B$140,CT76+CS77-DB76)))</f>
        <v>521</v>
      </c>
      <c r="CU77" s="18">
        <f>CT77*VLOOKUP('Données projet'!$B$13,Paramètres!$A$1:$I$89,3,0)*VLOOKUP('Données projet'!$B$13,Paramètres!$A$1:$I$89,5,0)</f>
        <v>311.55799999999999</v>
      </c>
      <c r="CV77" s="14">
        <f t="shared" si="95"/>
        <v>73.594107587354372</v>
      </c>
      <c r="CW77" s="22">
        <f t="shared" si="67"/>
        <v>670.80658738130876</v>
      </c>
      <c r="CX77" s="62">
        <f t="shared" si="68"/>
        <v>950.33090338793181</v>
      </c>
      <c r="CY77" s="62">
        <f ca="1">AVERAGE(OFFSET($CX$3,0,0,'Données projet'!$E$13+1,1))-AVERAGE(OFFSET($H$3,0,0,'Données projet'!$E$13+1,1))</f>
        <v>376.32432344617206</v>
      </c>
      <c r="CZ77" s="62">
        <f t="shared" si="96"/>
        <v>302.77411534670466</v>
      </c>
      <c r="DA77" s="16">
        <f>IF(ISNA(VLOOKUP(A77,'Données projet'!$A$139:$I$159,3,0)),0,VLOOKUP(A77,'Données projet'!$A$139:$I$159,3,0))</f>
        <v>10</v>
      </c>
      <c r="DB77" s="16">
        <f>IF(ISNA(VLOOKUP(A77,'Données projet'!$A$139:$I$159,4,0)),0,VLOOKUP(A77,'Données projet'!$A$139:$I$159,4,0))</f>
        <v>37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0.68987472883863821</v>
      </c>
      <c r="DG77" s="23">
        <f>EXP(-LN(2)/25)*DG76+(1-EXP(-LN(2)/25))/(LN(2)/25)*Calculateur!DB77*Calculateur!DD77*VLOOKUP('Données projet'!$B$13,Paramètres!$A$1:$I$89,3,0)*0.475*44/12</f>
        <v>1.0875691150938716</v>
      </c>
      <c r="DH77" s="23">
        <f>EXP(-LN(2)/2)*DH76+(1-EXP(-LN(2)/2))/(LN(2)/2)*DB77*DE77*VLOOKUP('Données projet'!$B$13,Paramètres!$A$1:$I$89,3,0)*0.475*44/12</f>
        <v>1.6142723892231681E-7</v>
      </c>
      <c r="DI77" s="24">
        <f t="shared" si="69"/>
        <v>1.7774440053597487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66.233904365442626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2.75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10.083333333333334</v>
      </c>
      <c r="H78" s="70">
        <f t="shared" si="56"/>
        <v>216.33333333333334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183</v>
      </c>
      <c r="L78" s="13">
        <f>VLOOKUP(A78,'Données projet'!$A$35:$I$55,9,0)</f>
        <v>4.8</v>
      </c>
      <c r="M78" s="13">
        <f t="array" ref="M78">INDEX(L:L,MIN(IF(ISNUMBER(L78:L274),ROW(L78:L274),"")))</f>
        <v>4.8</v>
      </c>
      <c r="N78" s="14">
        <f>IF('Données projet'!$A$36&gt;35,N77+M78-V77,IF(A78&lt;'Données projet'!$A$36,$K$205^A78,IF(A78='Données projet'!$A$36,'Données projet'!$B$36,N77+M78-V77)))</f>
        <v>182.99999999999986</v>
      </c>
      <c r="O78" s="14">
        <f>N78*VLOOKUP('Données projet'!$B$9,Paramètres!$A$1:$I$89,3,0)*VLOOKUP('Données projet'!$B$9,Paramètres!$A$1:$I$89,5,0)</f>
        <v>191.27159999999986</v>
      </c>
      <c r="P78" s="14">
        <f t="shared" si="87"/>
        <v>47.820976324217852</v>
      </c>
      <c r="Q78" s="22">
        <f t="shared" si="54"/>
        <v>416.41957043134585</v>
      </c>
      <c r="R78" s="62">
        <f t="shared" si="55"/>
        <v>696.1834420162495</v>
      </c>
      <c r="S78" s="62">
        <f ca="1">AVERAGE(OFFSET($R$3,0,0,'Données projet'!$E$9+1,1))-AVERAGE(OFFSET($H$3,0,0,'Données projet'!$E$9+1,1))</f>
        <v>338.33619350800484</v>
      </c>
      <c r="T78" s="62">
        <f t="shared" si="88"/>
        <v>173.80539144233424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14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1.9895196601282805E-13</v>
      </c>
      <c r="AJ78" s="14">
        <f>AI78*VLOOKUP('Données projet'!$B$10,Paramètres!$A$1:$I$89,3,0)*VLOOKUP('Données projet'!$B$10,Paramètres!$A$1:$I$89,5,0)</f>
        <v>1.8001173884840681E-13</v>
      </c>
      <c r="AK78" s="14">
        <f t="shared" si="89"/>
        <v>2.5254331426407198E-12</v>
      </c>
      <c r="AL78" s="22">
        <f t="shared" si="58"/>
        <v>4.7119831685935622E-12</v>
      </c>
      <c r="AM78" s="62">
        <f t="shared" si="59"/>
        <v>279.76387158490843</v>
      </c>
      <c r="AN78" s="62">
        <f ca="1">AVERAGE(OFFSET($AM$3,0,0,'Données projet'!$E$10+1,1))-AVERAGE(OFFSET($H$3,0,0,'Données projet'!$E$10+1,1))</f>
        <v>308.01218908312546</v>
      </c>
      <c r="AO78" s="62">
        <f t="shared" si="90"/>
        <v>433.94915035190684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1.8125641844981901</v>
      </c>
      <c r="AV78" s="23">
        <f>EXP(-LN(2)/25)*AV77+(1-EXP(-LN(2)/25))/(LN(2)/25)*Calculateur!AQ78*Calculateur!AS78*VLOOKUP('Données projet'!$B$10,Paramètres!$A$1:$I$89,3,0)*0.475*44/12</f>
        <v>2.2428862676693573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4.0554504521675474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183</v>
      </c>
      <c r="BB78" s="13">
        <f>VLOOKUP(A78,'Données projet'!$A$87:$I$107,9,0)</f>
        <v>4.8</v>
      </c>
      <c r="BC78" s="13">
        <f t="array" ref="BC78">INDEX(BB:BB,MIN(IF(ISNUMBER(BB78:BB274),ROW(BB78:BB274),"")))</f>
        <v>4.8</v>
      </c>
      <c r="BD78" s="13">
        <f>IF('Données projet'!$A$88&gt;35,BD77+BC78-BL77,IF(A78&lt;'Données projet'!$A$88,$BA$205^A78,IF(A78='Données projet'!$A$88,'Données projet'!$B$88,BD77+BC78-BL77)))</f>
        <v>182.99999999999986</v>
      </c>
      <c r="BE78" s="14">
        <f>BD78*VLOOKUP('Données projet'!$B$11,Paramètres!$A$1:$I$89,3,0)*VLOOKUP('Données projet'!$B$11,Paramètres!$A$1:$I$89,5,0)</f>
        <v>185.56199999999987</v>
      </c>
      <c r="BF78" s="14">
        <f t="shared" si="91"/>
        <v>46.557428480028548</v>
      </c>
      <c r="BG78" s="22">
        <f t="shared" si="61"/>
        <v>404.27467126938285</v>
      </c>
      <c r="BH78" s="62">
        <f t="shared" si="62"/>
        <v>684.03854285428656</v>
      </c>
      <c r="BI78" s="62">
        <f ca="1">AVERAGE(OFFSET($BH$3,0,0,'Données projet'!$E$11+1,1))-AVERAGE(OFFSET($H$3,0,0,'Données projet'!$E$11+1,1))</f>
        <v>329.96352570744875</v>
      </c>
      <c r="BJ78" s="62">
        <f t="shared" si="92"/>
        <v>170.12252063636961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7.7</v>
      </c>
      <c r="BY78" s="13">
        <f>IF('Données projet'!$A$114&gt;35,BY77+BX78-CG77,IF(A78&lt;'Données projet'!$A$114,$BV$205^A78,IF(A78='Données projet'!$A$114,'Données projet'!$B$114,BY77+BX78-CG77)))</f>
        <v>314.49999999999994</v>
      </c>
      <c r="BZ78" s="14">
        <f>BY78*VLOOKUP('Données projet'!$B$12,Paramètres!$A$1:$I$89,3,0)*VLOOKUP('Données projet'!$B$12,Paramètres!$A$1:$I$89,5,0)</f>
        <v>147.18599999999998</v>
      </c>
      <c r="CA78" s="14">
        <f t="shared" si="93"/>
        <v>37.938390882441361</v>
      </c>
      <c r="CB78" s="22">
        <f t="shared" si="64"/>
        <v>322.42498078691864</v>
      </c>
      <c r="CC78" s="62">
        <f t="shared" si="65"/>
        <v>602.18885237182235</v>
      </c>
      <c r="CD78" s="62">
        <f ca="1">AVERAGE(OFFSET($CC$3,0,0,'Données projet'!$E$12+1,1))-AVERAGE(OFFSET($H$3,0,0,'Données projet'!$E$12+1,1))</f>
        <v>276.21705775006376</v>
      </c>
      <c r="CE78" s="62">
        <f t="shared" si="94"/>
        <v>234.24947280606958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8.875</v>
      </c>
      <c r="CT78" s="13">
        <f>IF('Données projet'!$A$140&gt;35,CT77+CS78-DB77,IF(A78&lt;'Données projet'!$A$140,$CQ$205^A78,IF(A78='Données projet'!$A$140,'Données projet'!$B$140,CT77+CS78-DB77)))</f>
        <v>492.875</v>
      </c>
      <c r="CU78" s="18">
        <f>CT78*VLOOKUP('Données projet'!$B$13,Paramètres!$A$1:$I$89,3,0)*VLOOKUP('Données projet'!$B$13,Paramètres!$A$1:$I$89,5,0)</f>
        <v>294.73925000000003</v>
      </c>
      <c r="CV78" s="14">
        <f t="shared" si="95"/>
        <v>70.072475236035828</v>
      </c>
      <c r="CW78" s="22">
        <f t="shared" si="67"/>
        <v>635.38042145276233</v>
      </c>
      <c r="CX78" s="62">
        <f t="shared" si="68"/>
        <v>915.1442930376661</v>
      </c>
      <c r="CY78" s="62">
        <f ca="1">AVERAGE(OFFSET($CX$3,0,0,'Données projet'!$E$13+1,1))-AVERAGE(OFFSET($H$3,0,0,'Données projet'!$E$13+1,1))</f>
        <v>376.32432344617206</v>
      </c>
      <c r="CZ78" s="62">
        <f t="shared" si="96"/>
        <v>302.77411534670466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0.67634670618814829</v>
      </c>
      <c r="DG78" s="23">
        <f>EXP(-LN(2)/25)*DG77+(1-EXP(-LN(2)/25))/(LN(2)/25)*Calculateur!DB78*Calculateur!DD78*VLOOKUP('Données projet'!$B$13,Paramètres!$A$1:$I$89,3,0)*0.475*44/12</f>
        <v>1.0578294804488555</v>
      </c>
      <c r="DH78" s="23">
        <f>EXP(-LN(2)/2)*DH77+(1-EXP(-LN(2)/2))/(LN(2)/2)*DB78*DE78*VLOOKUP('Données projet'!$B$13,Paramètres!$A$1:$I$89,3,0)*0.475*44/12</f>
        <v>1.141462953101912E-7</v>
      </c>
      <c r="DI78" s="24">
        <f t="shared" si="69"/>
        <v>1.7341763007832991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66.299237704973734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2.75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10.083333333333334</v>
      </c>
      <c r="H79" s="70">
        <f t="shared" si="56"/>
        <v>216.33333333333334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4.5999999999999996</v>
      </c>
      <c r="N79" s="14">
        <f>IF('Données projet'!$A$36&gt;35,N78+M79-V78,IF(A79&lt;'Données projet'!$A$36,$K$205^A79,IF(A79='Données projet'!$A$36,'Données projet'!$B$36,N78+M79-V78)))</f>
        <v>173.59999999999985</v>
      </c>
      <c r="O79" s="14">
        <f>N79*VLOOKUP('Données projet'!$B$9,Paramètres!$A$1:$I$89,3,0)*VLOOKUP('Données projet'!$B$9,Paramètres!$A$1:$I$89,5,0)</f>
        <v>181.44671999999986</v>
      </c>
      <c r="P79" s="14">
        <f t="shared" si="87"/>
        <v>45.643904599396095</v>
      </c>
      <c r="Q79" s="22">
        <f t="shared" si="54"/>
        <v>395.51617117728125</v>
      </c>
      <c r="R79" s="62">
        <f t="shared" si="55"/>
        <v>675.51544258674846</v>
      </c>
      <c r="S79" s="62">
        <f ca="1">AVERAGE(OFFSET($R$3,0,0,'Données projet'!$E$9+1,1))-AVERAGE(OFFSET($H$3,0,0,'Données projet'!$E$9+1,1))</f>
        <v>338.33619350800484</v>
      </c>
      <c r="T79" s="62">
        <f t="shared" si="88"/>
        <v>173.80539144233424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1.9895196601282805E-13</v>
      </c>
      <c r="AJ79" s="14">
        <f>AI79*VLOOKUP('Données projet'!$B$10,Paramètres!$A$1:$I$89,3,0)*VLOOKUP('Données projet'!$B$10,Paramètres!$A$1:$I$89,5,0)</f>
        <v>1.8001173884840681E-13</v>
      </c>
      <c r="AK79" s="14">
        <f t="shared" si="89"/>
        <v>2.5254331426407198E-12</v>
      </c>
      <c r="AL79" s="22">
        <f t="shared" si="58"/>
        <v>4.7119831685935622E-12</v>
      </c>
      <c r="AM79" s="62">
        <f t="shared" si="59"/>
        <v>279.99927140947193</v>
      </c>
      <c r="AN79" s="62">
        <f ca="1">AVERAGE(OFFSET($AM$3,0,0,'Données projet'!$E$10+1,1))-AVERAGE(OFFSET($H$3,0,0,'Données projet'!$E$10+1,1))</f>
        <v>308.01218908312546</v>
      </c>
      <c r="AO79" s="62">
        <f t="shared" si="90"/>
        <v>433.94915035190684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1.7770209063951687</v>
      </c>
      <c r="AV79" s="23">
        <f>EXP(-LN(2)/25)*AV78+(1-EXP(-LN(2)/25))/(LN(2)/25)*Calculateur!AQ79*Calculateur!AS79*VLOOKUP('Données projet'!$B$10,Paramètres!$A$1:$I$89,3,0)*0.475*44/12</f>
        <v>2.1815544247316763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3.9585753311268448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4.5999999999999996</v>
      </c>
      <c r="BD79" s="13">
        <f>IF('Données projet'!$A$88&gt;35,BD78+BC79-BL78,IF(A79&lt;'Données projet'!$A$88,$BA$205^A79,IF(A79='Données projet'!$A$88,'Données projet'!$B$88,BD78+BC79-BL78)))</f>
        <v>173.59999999999985</v>
      </c>
      <c r="BE79" s="14">
        <f>BD79*VLOOKUP('Données projet'!$B$11,Paramètres!$A$1:$I$89,3,0)*VLOOKUP('Données projet'!$B$11,Paramètres!$A$1:$I$89,5,0)</f>
        <v>176.03039999999984</v>
      </c>
      <c r="BF79" s="14">
        <f t="shared" si="91"/>
        <v>44.437880346232902</v>
      </c>
      <c r="BG79" s="22">
        <f t="shared" si="61"/>
        <v>383.98225493635533</v>
      </c>
      <c r="BH79" s="62">
        <f t="shared" si="62"/>
        <v>663.98152634582254</v>
      </c>
      <c r="BI79" s="62">
        <f ca="1">AVERAGE(OFFSET($BH$3,0,0,'Données projet'!$E$11+1,1))-AVERAGE(OFFSET($H$3,0,0,'Données projet'!$E$11+1,1))</f>
        <v>329.96352570744875</v>
      </c>
      <c r="BJ79" s="62">
        <f t="shared" si="92"/>
        <v>170.12252063636961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7.7</v>
      </c>
      <c r="BY79" s="13">
        <f>IF('Données projet'!$A$114&gt;35,BY78+BX79-CG78,IF(A79&lt;'Données projet'!$A$114,$BV$205^A79,IF(A79='Données projet'!$A$114,'Données projet'!$B$114,BY78+BX79-CG78)))</f>
        <v>322.19999999999993</v>
      </c>
      <c r="BZ79" s="14">
        <f>BY79*VLOOKUP('Données projet'!$B$12,Paramètres!$A$1:$I$89,3,0)*VLOOKUP('Données projet'!$B$12,Paramètres!$A$1:$I$89,5,0)</f>
        <v>150.78959999999998</v>
      </c>
      <c r="CA79" s="14">
        <f t="shared" si="93"/>
        <v>38.757970187689722</v>
      </c>
      <c r="CB79" s="22">
        <f t="shared" si="64"/>
        <v>330.12868474355952</v>
      </c>
      <c r="CC79" s="62">
        <f t="shared" si="65"/>
        <v>610.12795615302673</v>
      </c>
      <c r="CD79" s="62">
        <f ca="1">AVERAGE(OFFSET($CC$3,0,0,'Données projet'!$E$12+1,1))-AVERAGE(OFFSET($H$3,0,0,'Données projet'!$E$12+1,1))</f>
        <v>276.21705775006376</v>
      </c>
      <c r="CE79" s="62">
        <f t="shared" si="94"/>
        <v>234.24947280606958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8.875</v>
      </c>
      <c r="CT79" s="13">
        <f>IF('Données projet'!$A$140&gt;35,CT78+CS79-DB78,IF(A79&lt;'Données projet'!$A$140,$CQ$205^A79,IF(A79='Données projet'!$A$140,'Données projet'!$B$140,CT78+CS79-DB78)))</f>
        <v>501.75</v>
      </c>
      <c r="CU79" s="18">
        <f>CT79*VLOOKUP('Données projet'!$B$13,Paramètres!$A$1:$I$89,3,0)*VLOOKUP('Données projet'!$B$13,Paramètres!$A$1:$I$89,5,0)</f>
        <v>300.04650000000004</v>
      </c>
      <c r="CV79" s="14">
        <f t="shared" si="95"/>
        <v>71.186211573839699</v>
      </c>
      <c r="CW79" s="22">
        <f t="shared" si="67"/>
        <v>646.56363932443753</v>
      </c>
      <c r="CX79" s="62">
        <f t="shared" si="68"/>
        <v>926.5629107339048</v>
      </c>
      <c r="CY79" s="62">
        <f ca="1">AVERAGE(OFFSET($CX$3,0,0,'Données projet'!$E$13+1,1))-AVERAGE(OFFSET($H$3,0,0,'Données projet'!$E$13+1,1))</f>
        <v>376.32432344617206</v>
      </c>
      <c r="CZ79" s="62">
        <f t="shared" si="96"/>
        <v>302.77411534670466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0.66308395981055546</v>
      </c>
      <c r="DG79" s="23">
        <f>EXP(-LN(2)/25)*DG78+(1-EXP(-LN(2)/25))/(LN(2)/25)*Calculateur!DB79*Calculateur!DD79*VLOOKUP('Données projet'!$B$13,Paramètres!$A$1:$I$89,3,0)*0.475*44/12</f>
        <v>1.0289030776771468</v>
      </c>
      <c r="DH79" s="23">
        <f>EXP(-LN(2)/2)*DH78+(1-EXP(-LN(2)/2))/(LN(2)/2)*DB79*DE79*VLOOKUP('Données projet'!$B$13,Paramètres!$A$1:$I$89,3,0)*0.475*44/12</f>
        <v>8.0713619461158404E-8</v>
      </c>
      <c r="DI79" s="24">
        <f t="shared" si="69"/>
        <v>1.691987118201322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66.36343765712742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2.75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10.083333333333334</v>
      </c>
      <c r="H80" s="70">
        <f t="shared" si="56"/>
        <v>216.33333333333334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4.5999999999999996</v>
      </c>
      <c r="N80" s="14">
        <f>IF('Données projet'!$A$36&gt;35,N79+M80-V79,IF(A80&lt;'Données projet'!$A$36,$K$205^A80,IF(A80='Données projet'!$A$36,'Données projet'!$B$36,N79+M80-V79)))</f>
        <v>178.19999999999985</v>
      </c>
      <c r="O80" s="14">
        <f>N80*VLOOKUP('Données projet'!$B$9,Paramètres!$A$1:$I$89,3,0)*VLOOKUP('Données projet'!$B$9,Paramètres!$A$1:$I$89,5,0)</f>
        <v>186.25463999999985</v>
      </c>
      <c r="P80" s="14">
        <f t="shared" si="87"/>
        <v>46.710949903929567</v>
      </c>
      <c r="Q80" s="22">
        <f t="shared" si="54"/>
        <v>405.74840241601038</v>
      </c>
      <c r="R80" s="62">
        <f t="shared" si="55"/>
        <v>685.97898998936012</v>
      </c>
      <c r="S80" s="62">
        <f ca="1">AVERAGE(OFFSET($R$3,0,0,'Données projet'!$E$9+1,1))-AVERAGE(OFFSET($H$3,0,0,'Données projet'!$E$9+1,1))</f>
        <v>338.33619350800484</v>
      </c>
      <c r="T80" s="62">
        <f t="shared" si="88"/>
        <v>173.80539144233424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1.9895196601282805E-13</v>
      </c>
      <c r="AJ80" s="14">
        <f>AI80*VLOOKUP('Données projet'!$B$10,Paramètres!$A$1:$I$89,3,0)*VLOOKUP('Données projet'!$B$10,Paramètres!$A$1:$I$89,5,0)</f>
        <v>1.8001173884840681E-13</v>
      </c>
      <c r="AK80" s="14">
        <f t="shared" si="89"/>
        <v>2.5254331426407198E-12</v>
      </c>
      <c r="AL80" s="22">
        <f t="shared" si="58"/>
        <v>4.7119831685935622E-12</v>
      </c>
      <c r="AM80" s="62">
        <f t="shared" si="59"/>
        <v>280.23058757335446</v>
      </c>
      <c r="AN80" s="62">
        <f ca="1">AVERAGE(OFFSET($AM$3,0,0,'Données projet'!$E$10+1,1))-AVERAGE(OFFSET($H$3,0,0,'Données projet'!$E$10+1,1))</f>
        <v>308.01218908312546</v>
      </c>
      <c r="AO80" s="62">
        <f t="shared" si="90"/>
        <v>433.94915035190684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1.7421746102964886</v>
      </c>
      <c r="AV80" s="23">
        <f>EXP(-LN(2)/25)*AV79+(1-EXP(-LN(2)/25))/(LN(2)/25)*Calculateur!AQ80*Calculateur!AS80*VLOOKUP('Données projet'!$B$10,Paramètres!$A$1:$I$89,3,0)*0.475*44/12</f>
        <v>2.1218997042644272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3.8640743145609155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4.5999999999999996</v>
      </c>
      <c r="BD80" s="13">
        <f>IF('Données projet'!$A$88&gt;35,BD79+BC80-BL79,IF(A80&lt;'Données projet'!$A$88,$BA$205^A80,IF(A80='Données projet'!$A$88,'Données projet'!$B$88,BD79+BC80-BL79)))</f>
        <v>178.19999999999985</v>
      </c>
      <c r="BE80" s="14">
        <f>BD80*VLOOKUP('Données projet'!$B$11,Paramètres!$A$1:$I$89,3,0)*VLOOKUP('Données projet'!$B$11,Paramètres!$A$1:$I$89,5,0)</f>
        <v>180.69479999999984</v>
      </c>
      <c r="BF80" s="14">
        <f t="shared" si="91"/>
        <v>45.476731688663754</v>
      </c>
      <c r="BG80" s="22">
        <f t="shared" si="61"/>
        <v>393.91541769108909</v>
      </c>
      <c r="BH80" s="62">
        <f t="shared" si="62"/>
        <v>674.14600526443883</v>
      </c>
      <c r="BI80" s="62">
        <f ca="1">AVERAGE(OFFSET($BH$3,0,0,'Données projet'!$E$11+1,1))-AVERAGE(OFFSET($H$3,0,0,'Données projet'!$E$11+1,1))</f>
        <v>329.96352570744875</v>
      </c>
      <c r="BJ80" s="62">
        <f t="shared" si="92"/>
        <v>170.12252063636961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7.7</v>
      </c>
      <c r="BY80" s="13">
        <f>IF('Données projet'!$A$114&gt;35,BY79+BX80-CG79,IF(A80&lt;'Données projet'!$A$114,$BV$205^A80,IF(A80='Données projet'!$A$114,'Données projet'!$B$114,BY79+BX80-CG79)))</f>
        <v>329.89999999999992</v>
      </c>
      <c r="BZ80" s="14">
        <f>BY80*VLOOKUP('Données projet'!$B$12,Paramètres!$A$1:$I$89,3,0)*VLOOKUP('Données projet'!$B$12,Paramètres!$A$1:$I$89,5,0)</f>
        <v>154.39319999999995</v>
      </c>
      <c r="CA80" s="14">
        <f t="shared" si="93"/>
        <v>39.575272566832489</v>
      </c>
      <c r="CB80" s="22">
        <f t="shared" si="64"/>
        <v>337.82842305389983</v>
      </c>
      <c r="CC80" s="62">
        <f t="shared" si="65"/>
        <v>618.05901062724956</v>
      </c>
      <c r="CD80" s="62">
        <f ca="1">AVERAGE(OFFSET($CC$3,0,0,'Données projet'!$E$12+1,1))-AVERAGE(OFFSET($H$3,0,0,'Données projet'!$E$12+1,1))</f>
        <v>276.21705775006376</v>
      </c>
      <c r="CE80" s="62">
        <f t="shared" si="94"/>
        <v>234.24947280606958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8.875</v>
      </c>
      <c r="CT80" s="13">
        <f>IF('Données projet'!$A$140&gt;35,CT79+CS80-DB79,IF(A80&lt;'Données projet'!$A$140,$CQ$205^A80,IF(A80='Données projet'!$A$140,'Données projet'!$B$140,CT79+CS80-DB79)))</f>
        <v>510.625</v>
      </c>
      <c r="CU80" s="18">
        <f>CT80*VLOOKUP('Données projet'!$B$13,Paramètres!$A$1:$I$89,3,0)*VLOOKUP('Données projet'!$B$13,Paramètres!$A$1:$I$89,5,0)</f>
        <v>305.35375000000005</v>
      </c>
      <c r="CV80" s="14">
        <f t="shared" si="95"/>
        <v>72.297657079406008</v>
      </c>
      <c r="CW80" s="22">
        <f t="shared" si="67"/>
        <v>657.74286732996552</v>
      </c>
      <c r="CX80" s="62">
        <f t="shared" si="68"/>
        <v>937.97345490331531</v>
      </c>
      <c r="CY80" s="62">
        <f ca="1">AVERAGE(OFFSET($CX$3,0,0,'Données projet'!$E$13+1,1))-AVERAGE(OFFSET($H$3,0,0,'Données projet'!$E$13+1,1))</f>
        <v>376.32432344617206</v>
      </c>
      <c r="CZ80" s="62">
        <f t="shared" si="96"/>
        <v>302.77411534670466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0.65008128779995067</v>
      </c>
      <c r="DG80" s="23">
        <f>EXP(-LN(2)/25)*DG79+(1-EXP(-LN(2)/25))/(LN(2)/25)*Calculateur!DB80*Calculateur!DD80*VLOOKUP('Données projet'!$B$13,Paramètres!$A$1:$I$89,3,0)*0.475*44/12</f>
        <v>1.0007676689104039</v>
      </c>
      <c r="DH80" s="23">
        <f>EXP(-LN(2)/2)*DH79+(1-EXP(-LN(2)/2))/(LN(2)/2)*DB80*DE80*VLOOKUP('Données projet'!$B$13,Paramètres!$A$1:$I$89,3,0)*0.475*44/12</f>
        <v>5.7073147655095601E-8</v>
      </c>
      <c r="DI80" s="24">
        <f t="shared" si="69"/>
        <v>1.6508490137835024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66.42652388364084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2.75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10.083333333333334</v>
      </c>
      <c r="H81" s="70">
        <f t="shared" si="56"/>
        <v>216.33333333333334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4.5999999999999996</v>
      </c>
      <c r="N81" s="14">
        <f>IF('Données projet'!$A$36&gt;35,N80+M81-V80,IF(A81&lt;'Données projet'!$A$36,$K$205^A81,IF(A81='Données projet'!$A$36,'Données projet'!$B$36,N80+M81-V80)))</f>
        <v>182.79999999999984</v>
      </c>
      <c r="O81" s="14">
        <f>N81*VLOOKUP('Données projet'!$B$9,Paramètres!$A$1:$I$89,3,0)*VLOOKUP('Données projet'!$B$9,Paramètres!$A$1:$I$89,5,0)</f>
        <v>191.06255999999985</v>
      </c>
      <c r="P81" s="14">
        <f t="shared" si="87"/>
        <v>47.774793478923463</v>
      </c>
      <c r="Q81" s="22">
        <f t="shared" si="54"/>
        <v>415.97505730912479</v>
      </c>
      <c r="R81" s="62">
        <f t="shared" si="55"/>
        <v>696.43294822805922</v>
      </c>
      <c r="S81" s="62">
        <f ca="1">AVERAGE(OFFSET($R$3,0,0,'Données projet'!$E$9+1,1))-AVERAGE(OFFSET($H$3,0,0,'Données projet'!$E$9+1,1))</f>
        <v>338.33619350800484</v>
      </c>
      <c r="T81" s="62">
        <f t="shared" si="88"/>
        <v>173.80539144233424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1.9895196601282805E-13</v>
      </c>
      <c r="AJ81" s="14">
        <f>AI81*VLOOKUP('Données projet'!$B$10,Paramètres!$A$1:$I$89,3,0)*VLOOKUP('Données projet'!$B$10,Paramètres!$A$1:$I$89,5,0)</f>
        <v>1.8001173884840681E-13</v>
      </c>
      <c r="AK81" s="14">
        <f t="shared" si="89"/>
        <v>2.5254331426407198E-12</v>
      </c>
      <c r="AL81" s="22">
        <f t="shared" si="58"/>
        <v>4.7119831685935622E-12</v>
      </c>
      <c r="AM81" s="62">
        <f t="shared" si="59"/>
        <v>280.45789091893914</v>
      </c>
      <c r="AN81" s="62">
        <f ca="1">AVERAGE(OFFSET($AM$3,0,0,'Données projet'!$E$10+1,1))-AVERAGE(OFFSET($H$3,0,0,'Données projet'!$E$10+1,1))</f>
        <v>308.01218908312546</v>
      </c>
      <c r="AO81" s="62">
        <f t="shared" si="90"/>
        <v>433.94915035190684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1.7080116288101614</v>
      </c>
      <c r="AV81" s="23">
        <f>EXP(-LN(2)/25)*AV80+(1-EXP(-LN(2)/25))/(LN(2)/25)*Calculateur!AQ81*Calculateur!AS81*VLOOKUP('Données projet'!$B$10,Paramètres!$A$1:$I$89,3,0)*0.475*44/12</f>
        <v>2.0638762452654609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3.7718878740756221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4.5999999999999996</v>
      </c>
      <c r="BD81" s="13">
        <f>IF('Données projet'!$A$88&gt;35,BD80+BC81-BL80,IF(A81&lt;'Données projet'!$A$88,$BA$205^A81,IF(A81='Données projet'!$A$88,'Données projet'!$B$88,BD80+BC81-BL80)))</f>
        <v>182.79999999999984</v>
      </c>
      <c r="BE81" s="14">
        <f>BD81*VLOOKUP('Données projet'!$B$11,Paramètres!$A$1:$I$89,3,0)*VLOOKUP('Données projet'!$B$11,Paramètres!$A$1:$I$89,5,0)</f>
        <v>185.35919999999984</v>
      </c>
      <c r="BF81" s="14">
        <f t="shared" si="91"/>
        <v>46.51246589912639</v>
      </c>
      <c r="BG81" s="22">
        <f t="shared" si="61"/>
        <v>403.84315144097815</v>
      </c>
      <c r="BH81" s="62">
        <f t="shared" si="62"/>
        <v>684.30104235991257</v>
      </c>
      <c r="BI81" s="62">
        <f ca="1">AVERAGE(OFFSET($BH$3,0,0,'Données projet'!$E$11+1,1))-AVERAGE(OFFSET($H$3,0,0,'Données projet'!$E$11+1,1))</f>
        <v>329.96352570744875</v>
      </c>
      <c r="BJ81" s="62">
        <f t="shared" si="92"/>
        <v>170.12252063636961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7.7</v>
      </c>
      <c r="BY81" s="13">
        <f>IF('Données projet'!$A$114&gt;35,BY80+BX81-CG80,IF(A81&lt;'Données projet'!$A$114,$BV$205^A81,IF(A81='Données projet'!$A$114,'Données projet'!$B$114,BY80+BX81-CG80)))</f>
        <v>337.59999999999991</v>
      </c>
      <c r="BZ81" s="14">
        <f>BY81*VLOOKUP('Données projet'!$B$12,Paramètres!$A$1:$I$89,3,0)*VLOOKUP('Données projet'!$B$12,Paramètres!$A$1:$I$89,5,0)</f>
        <v>157.99679999999995</v>
      </c>
      <c r="CA81" s="14">
        <f t="shared" si="93"/>
        <v>40.390357280610026</v>
      </c>
      <c r="CB81" s="22">
        <f t="shared" si="64"/>
        <v>345.52429893039567</v>
      </c>
      <c r="CC81" s="62">
        <f t="shared" si="65"/>
        <v>625.9821898493301</v>
      </c>
      <c r="CD81" s="62">
        <f ca="1">AVERAGE(OFFSET($CC$3,0,0,'Données projet'!$E$12+1,1))-AVERAGE(OFFSET($H$3,0,0,'Données projet'!$E$12+1,1))</f>
        <v>276.21705775006376</v>
      </c>
      <c r="CE81" s="62">
        <f t="shared" si="94"/>
        <v>234.24947280606958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8.875</v>
      </c>
      <c r="CT81" s="13">
        <f>IF('Données projet'!$A$140&gt;35,CT80+CS81-DB80,IF(A81&lt;'Données projet'!$A$140,$CQ$205^A81,IF(A81='Données projet'!$A$140,'Données projet'!$B$140,CT80+CS81-DB80)))</f>
        <v>519.5</v>
      </c>
      <c r="CU81" s="18">
        <f>CT81*VLOOKUP('Données projet'!$B$13,Paramètres!$A$1:$I$89,3,0)*VLOOKUP('Données projet'!$B$13,Paramètres!$A$1:$I$89,5,0)</f>
        <v>310.661</v>
      </c>
      <c r="CV81" s="14">
        <f t="shared" si="95"/>
        <v>73.406856163089444</v>
      </c>
      <c r="CW81" s="22">
        <f t="shared" si="67"/>
        <v>668.91818281738085</v>
      </c>
      <c r="CX81" s="62">
        <f t="shared" si="68"/>
        <v>949.37607373631522</v>
      </c>
      <c r="CY81" s="62">
        <f ca="1">AVERAGE(OFFSET($CX$3,0,0,'Données projet'!$E$13+1,1))-AVERAGE(OFFSET($H$3,0,0,'Données projet'!$E$13+1,1))</f>
        <v>376.32432344617206</v>
      </c>
      <c r="CZ81" s="62">
        <f t="shared" si="96"/>
        <v>302.77411534670466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0.63733359025662706</v>
      </c>
      <c r="DG81" s="23">
        <f>EXP(-LN(2)/25)*DG80+(1-EXP(-LN(2)/25))/(LN(2)/25)*Calculateur!DB81*Calculateur!DD81*VLOOKUP('Données projet'!$B$13,Paramètres!$A$1:$I$89,3,0)*0.475*44/12</f>
        <v>0.97340162437596445</v>
      </c>
      <c r="DH81" s="23">
        <f>EXP(-LN(2)/2)*DH80+(1-EXP(-LN(2)/2))/(LN(2)/2)*DB81*DE81*VLOOKUP('Données projet'!$B$13,Paramètres!$A$1:$I$89,3,0)*0.475*44/12</f>
        <v>4.0356809730579202E-8</v>
      </c>
      <c r="DI81" s="24">
        <f t="shared" si="69"/>
        <v>1.6107352549894012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66.488515705163934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2.75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10.083333333333334</v>
      </c>
      <c r="H82" s="70">
        <f t="shared" si="56"/>
        <v>216.33333333333334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4.5999999999999996</v>
      </c>
      <c r="N82" s="14">
        <f>IF('Données projet'!$A$36&gt;35,N81+M82-V81,IF(A82&lt;'Données projet'!$A$36,$K$205^A82,IF(A82='Données projet'!$A$36,'Données projet'!$B$36,N81+M82-V81)))</f>
        <v>187.39999999999984</v>
      </c>
      <c r="O82" s="14">
        <f>N82*VLOOKUP('Données projet'!$B$9,Paramètres!$A$1:$I$89,3,0)*VLOOKUP('Données projet'!$B$9,Paramètres!$A$1:$I$89,5,0)</f>
        <v>195.87047999999984</v>
      </c>
      <c r="P82" s="14">
        <f t="shared" si="87"/>
        <v>48.835525158837854</v>
      </c>
      <c r="Q82" s="22">
        <f t="shared" si="54"/>
        <v>426.19629231830891</v>
      </c>
      <c r="R82" s="62">
        <f t="shared" si="55"/>
        <v>706.87754337795627</v>
      </c>
      <c r="S82" s="62">
        <f ca="1">AVERAGE(OFFSET($R$3,0,0,'Données projet'!$E$9+1,1))-AVERAGE(OFFSET($H$3,0,0,'Données projet'!$E$9+1,1))</f>
        <v>338.33619350800484</v>
      </c>
      <c r="T82" s="62">
        <f t="shared" si="88"/>
        <v>173.80539144233424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1.9895196601282805E-13</v>
      </c>
      <c r="AJ82" s="14">
        <f>AI82*VLOOKUP('Données projet'!$B$10,Paramètres!$A$1:$I$89,3,0)*VLOOKUP('Données projet'!$B$10,Paramètres!$A$1:$I$89,5,0)</f>
        <v>1.8001173884840681E-13</v>
      </c>
      <c r="AK82" s="14">
        <f t="shared" si="89"/>
        <v>2.5254331426407198E-12</v>
      </c>
      <c r="AL82" s="22">
        <f t="shared" si="58"/>
        <v>4.7119831685935622E-12</v>
      </c>
      <c r="AM82" s="62">
        <f t="shared" si="59"/>
        <v>280.68125105965208</v>
      </c>
      <c r="AN82" s="62">
        <f ca="1">AVERAGE(OFFSET($AM$3,0,0,'Données projet'!$E$10+1,1))-AVERAGE(OFFSET($H$3,0,0,'Données projet'!$E$10+1,1))</f>
        <v>308.01218908312546</v>
      </c>
      <c r="AO82" s="62">
        <f t="shared" si="90"/>
        <v>433.94915035190684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1.67451856255342</v>
      </c>
      <c r="AV82" s="23">
        <f>EXP(-LN(2)/25)*AV81+(1-EXP(-LN(2)/25))/(LN(2)/25)*Calculateur!AQ82*Calculateur!AS82*VLOOKUP('Données projet'!$B$10,Paramètres!$A$1:$I$89,3,0)*0.475*44/12</f>
        <v>2.0074394408041423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3.6819580033575621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4.5999999999999996</v>
      </c>
      <c r="BD82" s="13">
        <f>IF('Données projet'!$A$88&gt;35,BD81+BC82-BL81,IF(A82&lt;'Données projet'!$A$88,$BA$205^A82,IF(A82='Données projet'!$A$88,'Données projet'!$B$88,BD81+BC82-BL81)))</f>
        <v>187.39999999999984</v>
      </c>
      <c r="BE82" s="14">
        <f>BD82*VLOOKUP('Données projet'!$B$11,Paramètres!$A$1:$I$89,3,0)*VLOOKUP('Données projet'!$B$11,Paramètres!$A$1:$I$89,5,0)</f>
        <v>190.02359999999985</v>
      </c>
      <c r="BF82" s="14">
        <f t="shared" si="91"/>
        <v>47.545170438433438</v>
      </c>
      <c r="BG82" s="22">
        <f t="shared" si="61"/>
        <v>413.7656085136046</v>
      </c>
      <c r="BH82" s="62">
        <f t="shared" si="62"/>
        <v>694.44685957325191</v>
      </c>
      <c r="BI82" s="62">
        <f ca="1">AVERAGE(OFFSET($BH$3,0,0,'Données projet'!$E$11+1,1))-AVERAGE(OFFSET($H$3,0,0,'Données projet'!$E$11+1,1))</f>
        <v>329.96352570744875</v>
      </c>
      <c r="BJ82" s="62">
        <f t="shared" si="92"/>
        <v>170.12252063636961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7.7</v>
      </c>
      <c r="BY82" s="13">
        <f>IF('Données projet'!$A$114&gt;35,BY81+BX82-CG81,IF(A82&lt;'Données projet'!$A$114,$BV$205^A82,IF(A82='Données projet'!$A$114,'Données projet'!$B$114,BY81+BX82-CG81)))</f>
        <v>345.2999999999999</v>
      </c>
      <c r="BZ82" s="14">
        <f>BY82*VLOOKUP('Données projet'!$B$12,Paramètres!$A$1:$I$89,3,0)*VLOOKUP('Données projet'!$B$12,Paramètres!$A$1:$I$89,5,0)</f>
        <v>161.60039999999995</v>
      </c>
      <c r="CA82" s="14">
        <f t="shared" si="93"/>
        <v>41.203280732237822</v>
      </c>
      <c r="CB82" s="22">
        <f t="shared" si="64"/>
        <v>353.21641060864749</v>
      </c>
      <c r="CC82" s="62">
        <f t="shared" si="65"/>
        <v>633.89766166829486</v>
      </c>
      <c r="CD82" s="62">
        <f ca="1">AVERAGE(OFFSET($CC$3,0,0,'Données projet'!$E$12+1,1))-AVERAGE(OFFSET($H$3,0,0,'Données projet'!$E$12+1,1))</f>
        <v>276.21705775006376</v>
      </c>
      <c r="CE82" s="62">
        <f t="shared" si="94"/>
        <v>234.24947280606958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8.875</v>
      </c>
      <c r="CT82" s="13">
        <f>IF('Données projet'!$A$140&gt;35,CT81+CS82-DB81,IF(A82&lt;'Données projet'!$A$140,$CQ$205^A82,IF(A82='Données projet'!$A$140,'Données projet'!$B$140,CT81+CS82-DB81)))</f>
        <v>528.375</v>
      </c>
      <c r="CU82" s="18">
        <f>CT82*VLOOKUP('Données projet'!$B$13,Paramètres!$A$1:$I$89,3,0)*VLOOKUP('Données projet'!$B$13,Paramètres!$A$1:$I$89,5,0)</f>
        <v>315.96825000000001</v>
      </c>
      <c r="CV82" s="14">
        <f t="shared" si="95"/>
        <v>74.513851630905478</v>
      </c>
      <c r="CW82" s="22">
        <f t="shared" si="67"/>
        <v>680.08966034049365</v>
      </c>
      <c r="CX82" s="62">
        <f t="shared" si="68"/>
        <v>960.77091140014102</v>
      </c>
      <c r="CY82" s="62">
        <f ca="1">AVERAGE(OFFSET($CX$3,0,0,'Données projet'!$E$13+1,1))-AVERAGE(OFFSET($H$3,0,0,'Données projet'!$E$13+1,1))</f>
        <v>376.32432344617206</v>
      </c>
      <c r="CZ82" s="62">
        <f t="shared" si="96"/>
        <v>302.77411534670466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0.62483586728680029</v>
      </c>
      <c r="DG82" s="23">
        <f>EXP(-LN(2)/25)*DG81+(1-EXP(-LN(2)/25))/(LN(2)/25)*Calculateur!DB82*Calculateur!DD82*VLOOKUP('Données projet'!$B$13,Paramètres!$A$1:$I$89,3,0)*0.475*44/12</f>
        <v>0.94678390576843696</v>
      </c>
      <c r="DH82" s="23">
        <f>EXP(-LN(2)/2)*DH81+(1-EXP(-LN(2)/2))/(LN(2)/2)*DB82*DE82*VLOOKUP('Données projet'!$B$13,Paramètres!$A$1:$I$89,3,0)*0.475*44/12</f>
        <v>2.85365738275478E-8</v>
      </c>
      <c r="DI82" s="24">
        <f t="shared" si="69"/>
        <v>1.571619801591811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66.549432107176557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2.75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10.083333333333334</v>
      </c>
      <c r="H83" s="70">
        <f t="shared" si="56"/>
        <v>216.33333333333334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192</v>
      </c>
      <c r="L83" s="13">
        <f>VLOOKUP(A83,'Données projet'!$A$35:$I$55,9,0)</f>
        <v>4.5999999999999996</v>
      </c>
      <c r="M83" s="13">
        <f t="array" ref="M83">INDEX(L:L,MIN(IF(ISNUMBER(L83:L279),ROW(L83:L279),"")))</f>
        <v>4.5999999999999996</v>
      </c>
      <c r="N83" s="14">
        <f>IF('Données projet'!$A$36&gt;35,N82+M83-V82,IF(A83&lt;'Données projet'!$A$36,$K$205^A83,IF(A83='Données projet'!$A$36,'Données projet'!$B$36,N82+M83-V82)))</f>
        <v>191.99999999999983</v>
      </c>
      <c r="O83" s="14">
        <f>N83*VLOOKUP('Données projet'!$B$9,Paramètres!$A$1:$I$89,3,0)*VLOOKUP('Données projet'!$B$9,Paramètres!$A$1:$I$89,5,0)</f>
        <v>200.67839999999984</v>
      </c>
      <c r="P83" s="14">
        <f t="shared" si="87"/>
        <v>49.893230116477824</v>
      </c>
      <c r="Q83" s="22">
        <f t="shared" si="54"/>
        <v>436.41225578619856</v>
      </c>
      <c r="R83" s="62">
        <f t="shared" si="55"/>
        <v>717.31299218747586</v>
      </c>
      <c r="S83" s="62">
        <f ca="1">AVERAGE(OFFSET($R$3,0,0,'Données projet'!$E$9+1,1))-AVERAGE(OFFSET($H$3,0,0,'Données projet'!$E$9+1,1))</f>
        <v>338.33619350800484</v>
      </c>
      <c r="T83" s="62">
        <f t="shared" si="88"/>
        <v>173.80539144233424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14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1.9895196601282805E-13</v>
      </c>
      <c r="AJ83" s="14">
        <f>AI83*VLOOKUP('Données projet'!$B$10,Paramètres!$A$1:$I$89,3,0)*VLOOKUP('Données projet'!$B$10,Paramètres!$A$1:$I$89,5,0)</f>
        <v>1.8001173884840681E-13</v>
      </c>
      <c r="AK83" s="14">
        <f t="shared" si="89"/>
        <v>2.5254331426407198E-12</v>
      </c>
      <c r="AL83" s="22">
        <f t="shared" si="58"/>
        <v>4.7119831685935622E-12</v>
      </c>
      <c r="AM83" s="62">
        <f t="shared" si="59"/>
        <v>280.90073640128207</v>
      </c>
      <c r="AN83" s="62">
        <f ca="1">AVERAGE(OFFSET($AM$3,0,0,'Données projet'!$E$10+1,1))-AVERAGE(OFFSET($H$3,0,0,'Données projet'!$E$10+1,1))</f>
        <v>308.01218908312546</v>
      </c>
      <c r="AO83" s="62">
        <f t="shared" si="90"/>
        <v>433.94915035190684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1.6416822748972202</v>
      </c>
      <c r="AV83" s="23">
        <f>EXP(-LN(2)/25)*AV82+(1-EXP(-LN(2)/25))/(LN(2)/25)*Calculateur!AQ83*Calculateur!AS83*VLOOKUP('Données projet'!$B$10,Paramètres!$A$1:$I$89,3,0)*0.475*44/12</f>
        <v>1.952545903728701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3.5942281786259214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192</v>
      </c>
      <c r="BB83" s="13">
        <f>VLOOKUP(A83,'Données projet'!$A$87:$I$107,9,0)</f>
        <v>4.5999999999999996</v>
      </c>
      <c r="BC83" s="13">
        <f t="array" ref="BC83">INDEX(BB:BB,MIN(IF(ISNUMBER(BB83:BB279),ROW(BB83:BB279),"")))</f>
        <v>4.5999999999999996</v>
      </c>
      <c r="BD83" s="13">
        <f>IF('Données projet'!$A$88&gt;35,BD82+BC83-BL82,IF(A83&lt;'Données projet'!$A$88,$BA$205^A83,IF(A83='Données projet'!$A$88,'Données projet'!$B$88,BD82+BC83-BL82)))</f>
        <v>191.99999999999983</v>
      </c>
      <c r="BE83" s="14">
        <f>BD83*VLOOKUP('Données projet'!$B$11,Paramètres!$A$1:$I$89,3,0)*VLOOKUP('Données projet'!$B$11,Paramètres!$A$1:$I$89,5,0)</f>
        <v>194.68799999999985</v>
      </c>
      <c r="BF83" s="14">
        <f t="shared" si="91"/>
        <v>48.574928228914935</v>
      </c>
      <c r="BG83" s="22">
        <f t="shared" si="61"/>
        <v>423.68293333202655</v>
      </c>
      <c r="BH83" s="62">
        <f t="shared" si="62"/>
        <v>704.58366973330385</v>
      </c>
      <c r="BI83" s="62">
        <f ca="1">AVERAGE(OFFSET($BH$3,0,0,'Données projet'!$E$11+1,1))-AVERAGE(OFFSET($H$3,0,0,'Données projet'!$E$11+1,1))</f>
        <v>329.96352570744875</v>
      </c>
      <c r="BJ83" s="62">
        <f t="shared" si="92"/>
        <v>170.12252063636961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353</v>
      </c>
      <c r="BW83" s="13">
        <f>VLOOKUP(A83,'Données projet'!$A$113:$I$133,9,0)</f>
        <v>7.7</v>
      </c>
      <c r="BX83" s="13">
        <f t="array" ref="BX83">INDEX(BW:BW,MIN(IF(ISNUMBER(BW83:BW279),ROW(BW83:BW279),"")))</f>
        <v>7.7</v>
      </c>
      <c r="BY83" s="13">
        <f>IF('Données projet'!$A$114&gt;35,BY82+BX83-CG82,IF(A83&lt;'Données projet'!$A$114,$BV$205^A83,IF(A83='Données projet'!$A$114,'Données projet'!$B$114,BY82+BX83-CG82)))</f>
        <v>352.99999999999989</v>
      </c>
      <c r="BZ83" s="14">
        <f>BY83*VLOOKUP('Données projet'!$B$12,Paramètres!$A$1:$I$89,3,0)*VLOOKUP('Données projet'!$B$12,Paramètres!$A$1:$I$89,5,0)</f>
        <v>165.20399999999995</v>
      </c>
      <c r="CA83" s="14">
        <f t="shared" si="93"/>
        <v>42.014096665795854</v>
      </c>
      <c r="CB83" s="22">
        <f t="shared" si="64"/>
        <v>360.90485169292765</v>
      </c>
      <c r="CC83" s="62">
        <f t="shared" si="65"/>
        <v>641.80558809420495</v>
      </c>
      <c r="CD83" s="62">
        <f ca="1">AVERAGE(OFFSET($CC$3,0,0,'Données projet'!$E$12+1,1))-AVERAGE(OFFSET($H$3,0,0,'Données projet'!$E$12+1,1))</f>
        <v>276.21705775006376</v>
      </c>
      <c r="CE83" s="62">
        <f t="shared" si="94"/>
        <v>234.24947280606958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71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8.875</v>
      </c>
      <c r="CT83" s="13">
        <f>IF('Données projet'!$A$140&gt;35,CT82+CS83-DB82,IF(A83&lt;'Données projet'!$A$140,$CQ$205^A83,IF(A83='Données projet'!$A$140,'Données projet'!$B$140,CT82+CS83-DB82)))</f>
        <v>537.25</v>
      </c>
      <c r="CU83" s="18">
        <f>CT83*VLOOKUP('Données projet'!$B$13,Paramètres!$A$1:$I$89,3,0)*VLOOKUP('Données projet'!$B$13,Paramètres!$A$1:$I$89,5,0)</f>
        <v>321.27550000000002</v>
      </c>
      <c r="CV83" s="14">
        <f t="shared" si="95"/>
        <v>75.618684768443416</v>
      </c>
      <c r="CW83" s="22">
        <f t="shared" si="67"/>
        <v>691.25737180503893</v>
      </c>
      <c r="CX83" s="62">
        <f t="shared" si="68"/>
        <v>972.15810820631623</v>
      </c>
      <c r="CY83" s="62">
        <f ca="1">AVERAGE(OFFSET($CX$3,0,0,'Données projet'!$E$13+1,1))-AVERAGE(OFFSET($H$3,0,0,'Données projet'!$E$13+1,1))</f>
        <v>376.32432344617206</v>
      </c>
      <c r="CZ83" s="62">
        <f t="shared" si="96"/>
        <v>302.77411534670466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0.6125832170415535</v>
      </c>
      <c r="DG83" s="23">
        <f>EXP(-LN(2)/25)*DG82+(1-EXP(-LN(2)/25))/(LN(2)/25)*Calculateur!DB83*Calculateur!DD83*VLOOKUP('Données projet'!$B$13,Paramètres!$A$1:$I$89,3,0)*0.475*44/12</f>
        <v>0.92089405007599734</v>
      </c>
      <c r="DH83" s="23">
        <f>EXP(-LN(2)/2)*DH82+(1-EXP(-LN(2)/2))/(LN(2)/2)*DB83*DE83*VLOOKUP('Données projet'!$B$13,Paramètres!$A$1:$I$89,3,0)*0.475*44/12</f>
        <v>2.0178404865289601E-8</v>
      </c>
      <c r="DI83" s="24">
        <f t="shared" si="69"/>
        <v>1.5334772872959557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66.609291745802921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2.75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10.083333333333334</v>
      </c>
      <c r="H84" s="70">
        <f t="shared" si="56"/>
        <v>216.33333333333334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4.4000000000000004</v>
      </c>
      <c r="N84" s="14">
        <f>IF('Données projet'!$A$36&gt;35,N83+M84-V83,IF(A84&lt;'Données projet'!$A$36,$K$205^A84,IF(A84='Données projet'!$A$36,'Données projet'!$B$36,N83+M84-V83)))</f>
        <v>182.39999999999984</v>
      </c>
      <c r="O84" s="14">
        <f>N84*VLOOKUP('Données projet'!$B$9,Paramètres!$A$1:$I$89,3,0)*VLOOKUP('Données projet'!$B$9,Paramètres!$A$1:$I$89,5,0)</f>
        <v>190.64447999999985</v>
      </c>
      <c r="P84" s="14">
        <f t="shared" si="87"/>
        <v>47.682410135540295</v>
      </c>
      <c r="Q84" s="22">
        <f t="shared" si="54"/>
        <v>415.08600031939903</v>
      </c>
      <c r="R84" s="62">
        <f t="shared" si="55"/>
        <v>696.20241448232491</v>
      </c>
      <c r="S84" s="62">
        <f ca="1">AVERAGE(OFFSET($R$3,0,0,'Données projet'!$E$9+1,1))-AVERAGE(OFFSET($H$3,0,0,'Données projet'!$E$9+1,1))</f>
        <v>338.33619350800484</v>
      </c>
      <c r="T84" s="62">
        <f t="shared" si="88"/>
        <v>173.80539144233424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1.9895196601282805E-13</v>
      </c>
      <c r="AJ84" s="14">
        <f>AI84*VLOOKUP('Données projet'!$B$10,Paramètres!$A$1:$I$89,3,0)*VLOOKUP('Données projet'!$B$10,Paramètres!$A$1:$I$89,5,0)</f>
        <v>1.8001173884840681E-13</v>
      </c>
      <c r="AK84" s="14">
        <f t="shared" si="89"/>
        <v>2.5254331426407198E-12</v>
      </c>
      <c r="AL84" s="22">
        <f t="shared" si="58"/>
        <v>4.7119831685935622E-12</v>
      </c>
      <c r="AM84" s="62">
        <f t="shared" si="59"/>
        <v>281.11641416293054</v>
      </c>
      <c r="AN84" s="62">
        <f ca="1">AVERAGE(OFFSET($AM$3,0,0,'Données projet'!$E$10+1,1))-AVERAGE(OFFSET($H$3,0,0,'Données projet'!$E$10+1,1))</f>
        <v>308.01218908312546</v>
      </c>
      <c r="AO84" s="62">
        <f t="shared" si="90"/>
        <v>433.94915035190684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1.6094898868138006</v>
      </c>
      <c r="AV84" s="23">
        <f>EXP(-LN(2)/25)*AV83+(1-EXP(-LN(2)/25))/(LN(2)/25)*Calculateur!AQ84*Calculateur!AS84*VLOOKUP('Données projet'!$B$10,Paramètres!$A$1:$I$89,3,0)*0.475*44/12</f>
        <v>1.8991534333113131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3.5086433201251137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182.39999999999984</v>
      </c>
      <c r="BE84" s="14">
        <f>BD84*VLOOKUP('Données projet'!$B$11,Paramètres!$A$1:$I$89,3,0)*VLOOKUP('Données projet'!$B$11,Paramètres!$A$1:$I$89,5,0)</f>
        <v>184.95359999999985</v>
      </c>
      <c r="BF84" s="14">
        <f t="shared" si="91"/>
        <v>46.422523550957948</v>
      </c>
      <c r="BG84" s="22">
        <f t="shared" si="61"/>
        <v>402.98008185125144</v>
      </c>
      <c r="BH84" s="62">
        <f t="shared" si="62"/>
        <v>684.09649601417732</v>
      </c>
      <c r="BI84" s="62">
        <f ca="1">AVERAGE(OFFSET($BH$3,0,0,'Données projet'!$E$11+1,1))-AVERAGE(OFFSET($H$3,0,0,'Données projet'!$E$11+1,1))</f>
        <v>329.96352570744875</v>
      </c>
      <c r="BJ84" s="62">
        <f t="shared" si="92"/>
        <v>170.12252063636961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8.3000000000000007</v>
      </c>
      <c r="BY84" s="13">
        <f>IF('Données projet'!$A$114&gt;35,BY83+BX84-CG83,IF(A84&lt;'Données projet'!$A$114,$BV$205^A84,IF(A84='Données projet'!$A$114,'Données projet'!$B$114,BY83+BX84-CG83)))</f>
        <v>290.2999999999999</v>
      </c>
      <c r="BZ84" s="14">
        <f>BY84*VLOOKUP('Données projet'!$B$12,Paramètres!$A$1:$I$89,3,0)*VLOOKUP('Données projet'!$B$12,Paramètres!$A$1:$I$89,5,0)</f>
        <v>135.86039999999994</v>
      </c>
      <c r="CA84" s="14">
        <f t="shared" si="93"/>
        <v>35.347031059244749</v>
      </c>
      <c r="CB84" s="22">
        <f t="shared" si="64"/>
        <v>298.18627576151783</v>
      </c>
      <c r="CC84" s="62">
        <f t="shared" si="65"/>
        <v>579.30268992444371</v>
      </c>
      <c r="CD84" s="62">
        <f ca="1">AVERAGE(OFFSET($CC$3,0,0,'Données projet'!$E$12+1,1))-AVERAGE(OFFSET($H$3,0,0,'Données projet'!$E$12+1,1))</f>
        <v>276.21705775006376</v>
      </c>
      <c r="CE84" s="62">
        <f t="shared" si="94"/>
        <v>234.24947280606958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8.875</v>
      </c>
      <c r="CT84" s="13">
        <f>IF('Données projet'!$A$140&gt;35,CT83+CS84-DB83,IF(A84&lt;'Données projet'!$A$140,$CQ$205^A84,IF(A84='Données projet'!$A$140,'Données projet'!$B$140,CT83+CS84-DB83)))</f>
        <v>546.125</v>
      </c>
      <c r="CU84" s="18">
        <f>CT84*VLOOKUP('Données projet'!$B$13,Paramètres!$A$1:$I$89,3,0)*VLOOKUP('Données projet'!$B$13,Paramètres!$A$1:$I$89,5,0)</f>
        <v>326.58275000000003</v>
      </c>
      <c r="CV84" s="14">
        <f t="shared" si="95"/>
        <v>76.72139541907876</v>
      </c>
      <c r="CW84" s="22">
        <f t="shared" si="67"/>
        <v>702.42138660489547</v>
      </c>
      <c r="CX84" s="62">
        <f t="shared" si="68"/>
        <v>983.5378007678213</v>
      </c>
      <c r="CY84" s="62">
        <f ca="1">AVERAGE(OFFSET($CX$3,0,0,'Données projet'!$E$13+1,1))-AVERAGE(OFFSET($H$3,0,0,'Données projet'!$E$13+1,1))</f>
        <v>376.32432344617206</v>
      </c>
      <c r="CZ84" s="62">
        <f t="shared" si="96"/>
        <v>302.77411534670466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0.60057083379423726</v>
      </c>
      <c r="DG84" s="23">
        <f>EXP(-LN(2)/25)*DG83+(1-EXP(-LN(2)/25))/(LN(2)/25)*Calculateur!DB84*Calculateur!DD84*VLOOKUP('Données projet'!$B$13,Paramètres!$A$1:$I$89,3,0)*0.475*44/12</f>
        <v>0.89571215384895586</v>
      </c>
      <c r="DH84" s="23">
        <f>EXP(-LN(2)/2)*DH83+(1-EXP(-LN(2)/2))/(LN(2)/2)*DB84*DE84*VLOOKUP('Données projet'!$B$13,Paramètres!$A$1:$I$89,3,0)*0.475*44/12</f>
        <v>1.42682869137739E-8</v>
      </c>
      <c r="DI84" s="24">
        <f t="shared" si="69"/>
        <v>1.4962830019114801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66.668112953525224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2.75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10.083333333333334</v>
      </c>
      <c r="H85" s="70">
        <f t="shared" si="56"/>
        <v>216.33333333333334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4.4000000000000004</v>
      </c>
      <c r="N85" s="14">
        <f>IF('Données projet'!$A$36&gt;35,N84+M85-V84,IF(A85&lt;'Données projet'!$A$36,$K$205^A85,IF(A85='Données projet'!$A$36,'Données projet'!$B$36,N84+M85-V84)))</f>
        <v>186.79999999999984</v>
      </c>
      <c r="O85" s="14">
        <f>N85*VLOOKUP('Données projet'!$B$9,Paramètres!$A$1:$I$89,3,0)*VLOOKUP('Données projet'!$B$9,Paramètres!$A$1:$I$89,5,0)</f>
        <v>195.24335999999985</v>
      </c>
      <c r="P85" s="14">
        <f t="shared" si="87"/>
        <v>48.697342276114661</v>
      </c>
      <c r="Q85" s="22">
        <f t="shared" si="54"/>
        <v>424.86338979756607</v>
      </c>
      <c r="R85" s="62">
        <f t="shared" si="55"/>
        <v>706.1917401951589</v>
      </c>
      <c r="S85" s="62">
        <f ca="1">AVERAGE(OFFSET($R$3,0,0,'Données projet'!$E$9+1,1))-AVERAGE(OFFSET($H$3,0,0,'Données projet'!$E$9+1,1))</f>
        <v>338.33619350800484</v>
      </c>
      <c r="T85" s="62">
        <f t="shared" si="88"/>
        <v>173.80539144233424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1.9895196601282805E-13</v>
      </c>
      <c r="AJ85" s="14">
        <f>AI85*VLOOKUP('Données projet'!$B$10,Paramètres!$A$1:$I$89,3,0)*VLOOKUP('Données projet'!$B$10,Paramètres!$A$1:$I$89,5,0)</f>
        <v>1.8001173884840681E-13</v>
      </c>
      <c r="AK85" s="14">
        <f t="shared" si="89"/>
        <v>2.5254331426407198E-12</v>
      </c>
      <c r="AL85" s="22">
        <f t="shared" si="58"/>
        <v>4.7119831685935622E-12</v>
      </c>
      <c r="AM85" s="62">
        <f t="shared" si="59"/>
        <v>281.32835039759755</v>
      </c>
      <c r="AN85" s="62">
        <f ca="1">AVERAGE(OFFSET($AM$3,0,0,'Données projet'!$E$10+1,1))-AVERAGE(OFFSET($H$3,0,0,'Données projet'!$E$10+1,1))</f>
        <v>308.01218908312546</v>
      </c>
      <c r="AO85" s="62">
        <f t="shared" si="90"/>
        <v>433.94915035190684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1.5779287718252788</v>
      </c>
      <c r="AV85" s="23">
        <f>EXP(-LN(2)/25)*AV84+(1-EXP(-LN(2)/25))/(LN(2)/25)*Calculateur!AQ85*Calculateur!AS85*VLOOKUP('Données projet'!$B$10,Paramètres!$A$1:$I$89,3,0)*0.475*44/12</f>
        <v>1.8472209828052768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3.4251497546305556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186.79999999999984</v>
      </c>
      <c r="BE85" s="14">
        <f>BD85*VLOOKUP('Données projet'!$B$11,Paramètres!$A$1:$I$89,3,0)*VLOOKUP('Données projet'!$B$11,Paramètres!$A$1:$I$89,5,0)</f>
        <v>189.41519999999986</v>
      </c>
      <c r="BF85" s="14">
        <f t="shared" si="91"/>
        <v>47.410638687430875</v>
      </c>
      <c r="BG85" s="22">
        <f t="shared" si="61"/>
        <v>412.47166904727516</v>
      </c>
      <c r="BH85" s="62">
        <f t="shared" si="62"/>
        <v>693.80001944486798</v>
      </c>
      <c r="BI85" s="62">
        <f ca="1">AVERAGE(OFFSET($BH$3,0,0,'Données projet'!$E$11+1,1))-AVERAGE(OFFSET($H$3,0,0,'Données projet'!$E$11+1,1))</f>
        <v>329.96352570744875</v>
      </c>
      <c r="BJ85" s="62">
        <f t="shared" si="92"/>
        <v>170.12252063636961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8.3000000000000007</v>
      </c>
      <c r="BY85" s="13">
        <f>IF('Données projet'!$A$114&gt;35,BY84+BX85-CG84,IF(A85&lt;'Données projet'!$A$114,$BV$205^A85,IF(A85='Données projet'!$A$114,'Données projet'!$B$114,BY84+BX85-CG84)))</f>
        <v>298.59999999999991</v>
      </c>
      <c r="BZ85" s="14">
        <f>BY85*VLOOKUP('Données projet'!$B$12,Paramètres!$A$1:$I$89,3,0)*VLOOKUP('Données projet'!$B$12,Paramètres!$A$1:$I$89,5,0)</f>
        <v>139.74479999999997</v>
      </c>
      <c r="CA85" s="14">
        <f t="shared" si="93"/>
        <v>36.238536552104364</v>
      </c>
      <c r="CB85" s="22">
        <f t="shared" si="64"/>
        <v>306.50431116158171</v>
      </c>
      <c r="CC85" s="62">
        <f t="shared" si="65"/>
        <v>587.83266155917454</v>
      </c>
      <c r="CD85" s="62">
        <f ca="1">AVERAGE(OFFSET($CC$3,0,0,'Données projet'!$E$12+1,1))-AVERAGE(OFFSET($H$3,0,0,'Données projet'!$E$12+1,1))</f>
        <v>276.21705775006376</v>
      </c>
      <c r="CE85" s="62">
        <f t="shared" si="94"/>
        <v>234.24947280606958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>
        <f>VLOOKUP(A85,'Données projet'!$A$139:$I$159,2,0)</f>
        <v>555</v>
      </c>
      <c r="CR85" s="13">
        <f>VLOOKUP(A85,'Données projet'!$A$139:$I$159,9,0)</f>
        <v>8.875</v>
      </c>
      <c r="CS85" s="13">
        <f t="array" ref="CS85">INDEX(CR:CR,MIN(IF(ISNUMBER(CR85:CR281),ROW(CR85:CR281),"")))</f>
        <v>8.875</v>
      </c>
      <c r="CT85" s="13">
        <f>IF('Données projet'!$A$140&gt;35,CT84+CS85-DB84,IF(A85&lt;'Données projet'!$A$140,$CQ$205^A85,IF(A85='Données projet'!$A$140,'Données projet'!$B$140,CT84+CS85-DB84)))</f>
        <v>555</v>
      </c>
      <c r="CU85" s="18">
        <f>CT85*VLOOKUP('Données projet'!$B$13,Paramètres!$A$1:$I$89,3,0)*VLOOKUP('Données projet'!$B$13,Paramètres!$A$1:$I$89,5,0)</f>
        <v>331.89000000000004</v>
      </c>
      <c r="CV85" s="14">
        <f t="shared" si="95"/>
        <v>77.822022056956186</v>
      </c>
      <c r="CW85" s="22">
        <f t="shared" si="67"/>
        <v>713.58177174919865</v>
      </c>
      <c r="CX85" s="62">
        <f t="shared" si="68"/>
        <v>994.91012214679154</v>
      </c>
      <c r="CY85" s="62">
        <f ca="1">AVERAGE(OFFSET($CX$3,0,0,'Données projet'!$E$13+1,1))-AVERAGE(OFFSET($H$3,0,0,'Données projet'!$E$13+1,1))</f>
        <v>376.32432344617206</v>
      </c>
      <c r="CZ85" s="62">
        <f t="shared" si="96"/>
        <v>302.77411534670466</v>
      </c>
      <c r="DA85" s="16">
        <f>IF(ISNA(VLOOKUP(A85,'Données projet'!$A$139:$I$159,3,0)),0,VLOOKUP(A85,'Données projet'!$A$139:$I$159,3,0))</f>
        <v>11</v>
      </c>
      <c r="DB85" s="16">
        <f>IF(ISNA(VLOOKUP(A85,'Données projet'!$A$139:$I$159,4,0)),0,VLOOKUP(A85,'Données projet'!$A$139:$I$159,4,0))</f>
        <v>555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0.58879400605557053</v>
      </c>
      <c r="DG85" s="23">
        <f>EXP(-LN(2)/25)*DG84+(1-EXP(-LN(2)/25))/(LN(2)/25)*Calculateur!DB85*Calculateur!DD85*VLOOKUP('Données projet'!$B$13,Paramètres!$A$1:$I$89,3,0)*0.475*44/12</f>
        <v>0.87121885789850118</v>
      </c>
      <c r="DH85" s="23">
        <f>EXP(-LN(2)/2)*DH84+(1-EXP(-LN(2)/2))/(LN(2)/2)*DB85*DE85*VLOOKUP('Données projet'!$B$13,Paramètres!$A$1:$I$89,3,0)*0.475*44/12</f>
        <v>1.0089202432644801E-8</v>
      </c>
      <c r="DI85" s="24">
        <f t="shared" si="69"/>
        <v>1.4600128740432741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66.725913744798049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2.75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10.083333333333334</v>
      </c>
      <c r="H86" s="70">
        <f t="shared" si="56"/>
        <v>216.33333333333334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4.4000000000000004</v>
      </c>
      <c r="N86" s="14">
        <f>IF('Données projet'!$A$36&gt;35,N85+M86-V85,IF(A86&lt;'Données projet'!$A$36,$K$205^A86,IF(A86='Données projet'!$A$36,'Données projet'!$B$36,N85+M86-V85)))</f>
        <v>191.19999999999985</v>
      </c>
      <c r="O86" s="14">
        <f>N86*VLOOKUP('Données projet'!$B$9,Paramètres!$A$1:$I$89,3,0)*VLOOKUP('Données projet'!$B$9,Paramètres!$A$1:$I$89,5,0)</f>
        <v>199.84223999999986</v>
      </c>
      <c r="P86" s="14">
        <f t="shared" si="87"/>
        <v>49.709495260159976</v>
      </c>
      <c r="Q86" s="22">
        <f t="shared" si="54"/>
        <v>434.63593891144501</v>
      </c>
      <c r="R86" s="62">
        <f t="shared" si="55"/>
        <v>716.17254892385199</v>
      </c>
      <c r="S86" s="62">
        <f ca="1">AVERAGE(OFFSET($R$3,0,0,'Données projet'!$E$9+1,1))-AVERAGE(OFFSET($H$3,0,0,'Données projet'!$E$9+1,1))</f>
        <v>338.33619350800484</v>
      </c>
      <c r="T86" s="62">
        <f t="shared" si="88"/>
        <v>173.80539144233424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1.9895196601282805E-13</v>
      </c>
      <c r="AJ86" s="14">
        <f>AI86*VLOOKUP('Données projet'!$B$10,Paramètres!$A$1:$I$89,3,0)*VLOOKUP('Données projet'!$B$10,Paramètres!$A$1:$I$89,5,0)</f>
        <v>1.8001173884840681E-13</v>
      </c>
      <c r="AK86" s="14">
        <f t="shared" si="89"/>
        <v>2.5254331426407198E-12</v>
      </c>
      <c r="AL86" s="22">
        <f t="shared" si="58"/>
        <v>4.7119831685935622E-12</v>
      </c>
      <c r="AM86" s="62">
        <f t="shared" si="59"/>
        <v>281.53661001241164</v>
      </c>
      <c r="AN86" s="62">
        <f ca="1">AVERAGE(OFFSET($AM$3,0,0,'Données projet'!$E$10+1,1))-AVERAGE(OFFSET($H$3,0,0,'Données projet'!$E$10+1,1))</f>
        <v>308.01218908312546</v>
      </c>
      <c r="AO86" s="62">
        <f t="shared" si="90"/>
        <v>433.94915035190684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1.5469865510513028</v>
      </c>
      <c r="AV86" s="23">
        <f>EXP(-LN(2)/25)*AV85+(1-EXP(-LN(2)/25))/(LN(2)/25)*Calculateur!AQ86*Calculateur!AS86*VLOOKUP('Données projet'!$B$10,Paramètres!$A$1:$I$89,3,0)*0.475*44/12</f>
        <v>1.7967086278893369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3.3436951789406395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191.19999999999985</v>
      </c>
      <c r="BE86" s="14">
        <f>BD86*VLOOKUP('Données projet'!$B$11,Paramètres!$A$1:$I$89,3,0)*VLOOKUP('Données projet'!$B$11,Paramètres!$A$1:$I$89,5,0)</f>
        <v>193.87679999999986</v>
      </c>
      <c r="BF86" s="14">
        <f t="shared" si="91"/>
        <v>48.396048099527562</v>
      </c>
      <c r="BG86" s="22">
        <f t="shared" si="61"/>
        <v>421.95854377334359</v>
      </c>
      <c r="BH86" s="62">
        <f t="shared" si="62"/>
        <v>703.49515378575052</v>
      </c>
      <c r="BI86" s="62">
        <f ca="1">AVERAGE(OFFSET($BH$3,0,0,'Données projet'!$E$11+1,1))-AVERAGE(OFFSET($H$3,0,0,'Données projet'!$E$11+1,1))</f>
        <v>329.96352570744875</v>
      </c>
      <c r="BJ86" s="62">
        <f t="shared" si="92"/>
        <v>170.12252063636961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8.3000000000000007</v>
      </c>
      <c r="BY86" s="13">
        <f>IF('Données projet'!$A$114&gt;35,BY85+BX86-CG85,IF(A86&lt;'Données projet'!$A$114,$BV$205^A86,IF(A86='Données projet'!$A$114,'Données projet'!$B$114,BY85+BX86-CG85)))</f>
        <v>306.89999999999992</v>
      </c>
      <c r="BZ86" s="14">
        <f>BY86*VLOOKUP('Données projet'!$B$12,Paramètres!$A$1:$I$89,3,0)*VLOOKUP('Données projet'!$B$12,Paramètres!$A$1:$I$89,5,0)</f>
        <v>143.62919999999997</v>
      </c>
      <c r="CA86" s="14">
        <f t="shared" si="93"/>
        <v>37.127161849234348</v>
      </c>
      <c r="CB86" s="22">
        <f t="shared" si="64"/>
        <v>314.81733022074974</v>
      </c>
      <c r="CC86" s="62">
        <f t="shared" si="65"/>
        <v>596.35394023315666</v>
      </c>
      <c r="CD86" s="62">
        <f ca="1">AVERAGE(OFFSET($CC$3,0,0,'Données projet'!$E$12+1,1))-AVERAGE(OFFSET($H$3,0,0,'Données projet'!$E$12+1,1))</f>
        <v>276.21705775006376</v>
      </c>
      <c r="CE86" s="62">
        <f t="shared" si="94"/>
        <v>234.24947280606958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376.32432344617206</v>
      </c>
      <c r="CZ86" s="62">
        <f t="shared" si="96"/>
        <v>302.77411534670466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0.57724811472570348</v>
      </c>
      <c r="DG86" s="23">
        <f>EXP(-LN(2)/25)*DG85+(1-EXP(-LN(2)/25))/(LN(2)/25)*Calculateur!DB86*Calculateur!DD86*VLOOKUP('Données projet'!$B$13,Paramètres!$A$1:$I$89,3,0)*0.475*44/12</f>
        <v>0.84739533241385812</v>
      </c>
      <c r="DH86" s="23">
        <f>EXP(-LN(2)/2)*DH85+(1-EXP(-LN(2)/2))/(LN(2)/2)*DB86*DE86*VLOOKUP('Données projet'!$B$13,Paramètres!$A$1:$I$89,3,0)*0.475*44/12</f>
        <v>7.1341434568869501E-9</v>
      </c>
      <c r="DI86" s="24">
        <f t="shared" si="69"/>
        <v>1.424643454273705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66.782711821565528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2.75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10.083333333333334</v>
      </c>
      <c r="H87" s="70">
        <f t="shared" si="56"/>
        <v>216.33333333333334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4.4000000000000004</v>
      </c>
      <c r="N87" s="14">
        <f>IF('Données projet'!$A$36&gt;35,N86+M87-V86,IF(A87&lt;'Données projet'!$A$36,$K$205^A87,IF(A87='Données projet'!$A$36,'Données projet'!$B$36,N86+M87-V86)))</f>
        <v>195.59999999999985</v>
      </c>
      <c r="O87" s="14">
        <f>N87*VLOOKUP('Données projet'!$B$9,Paramètres!$A$1:$I$89,3,0)*VLOOKUP('Données projet'!$B$9,Paramètres!$A$1:$I$89,5,0)</f>
        <v>204.44111999999987</v>
      </c>
      <c r="P87" s="14">
        <f t="shared" si="87"/>
        <v>50.718940404759046</v>
      </c>
      <c r="Q87" s="22">
        <f t="shared" si="54"/>
        <v>444.40377187162176</v>
      </c>
      <c r="R87" s="62">
        <f t="shared" si="55"/>
        <v>726.14502866012435</v>
      </c>
      <c r="S87" s="62">
        <f ca="1">AVERAGE(OFFSET($R$3,0,0,'Données projet'!$E$9+1,1))-AVERAGE(OFFSET($H$3,0,0,'Données projet'!$E$9+1,1))</f>
        <v>338.33619350800484</v>
      </c>
      <c r="T87" s="62">
        <f t="shared" si="88"/>
        <v>173.80539144233424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1.9895196601282805E-13</v>
      </c>
      <c r="AJ87" s="14">
        <f>AI87*VLOOKUP('Données projet'!$B$10,Paramètres!$A$1:$I$89,3,0)*VLOOKUP('Données projet'!$B$10,Paramètres!$A$1:$I$89,5,0)</f>
        <v>1.8001173884840681E-13</v>
      </c>
      <c r="AK87" s="14">
        <f t="shared" si="89"/>
        <v>2.5254331426407198E-12</v>
      </c>
      <c r="AL87" s="22">
        <f t="shared" si="58"/>
        <v>4.7119831685935622E-12</v>
      </c>
      <c r="AM87" s="62">
        <f t="shared" si="59"/>
        <v>281.74125678850737</v>
      </c>
      <c r="AN87" s="62">
        <f ca="1">AVERAGE(OFFSET($AM$3,0,0,'Données projet'!$E$10+1,1))-AVERAGE(OFFSET($H$3,0,0,'Données projet'!$E$10+1,1))</f>
        <v>308.01218908312546</v>
      </c>
      <c r="AO87" s="62">
        <f t="shared" si="90"/>
        <v>433.94915035190684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1.5166510883538131</v>
      </c>
      <c r="AV87" s="23">
        <f>EXP(-LN(2)/25)*AV86+(1-EXP(-LN(2)/25))/(LN(2)/25)*Calculateur!AQ87*Calculateur!AS87*VLOOKUP('Données projet'!$B$10,Paramètres!$A$1:$I$89,3,0)*0.475*44/12</f>
        <v>1.7475775359749026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3.264228624328716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195.59999999999985</v>
      </c>
      <c r="BE87" s="14">
        <f>BD87*VLOOKUP('Données projet'!$B$11,Paramètres!$A$1:$I$89,3,0)*VLOOKUP('Données projet'!$B$11,Paramètres!$A$1:$I$89,5,0)</f>
        <v>198.33839999999987</v>
      </c>
      <c r="BF87" s="14">
        <f t="shared" si="91"/>
        <v>49.378821219958034</v>
      </c>
      <c r="BG87" s="22">
        <f t="shared" si="61"/>
        <v>431.44082695809334</v>
      </c>
      <c r="BH87" s="62">
        <f t="shared" si="62"/>
        <v>713.18208374659594</v>
      </c>
      <c r="BI87" s="62">
        <f ca="1">AVERAGE(OFFSET($BH$3,0,0,'Données projet'!$E$11+1,1))-AVERAGE(OFFSET($H$3,0,0,'Données projet'!$E$11+1,1))</f>
        <v>329.96352570744875</v>
      </c>
      <c r="BJ87" s="62">
        <f t="shared" si="92"/>
        <v>170.12252063636961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8.3000000000000007</v>
      </c>
      <c r="BY87" s="13">
        <f>IF('Données projet'!$A$114&gt;35,BY86+BX87-CG86,IF(A87&lt;'Données projet'!$A$114,$BV$205^A87,IF(A87='Données projet'!$A$114,'Données projet'!$B$114,BY86+BX87-CG86)))</f>
        <v>315.19999999999993</v>
      </c>
      <c r="BZ87" s="14">
        <f>BY87*VLOOKUP('Données projet'!$B$12,Paramètres!$A$1:$I$89,3,0)*VLOOKUP('Données projet'!$B$12,Paramètres!$A$1:$I$89,5,0)</f>
        <v>147.51359999999997</v>
      </c>
      <c r="CA87" s="14">
        <f t="shared" si="93"/>
        <v>38.012993796041464</v>
      </c>
      <c r="CB87" s="22">
        <f t="shared" si="64"/>
        <v>323.12548419477213</v>
      </c>
      <c r="CC87" s="62">
        <f t="shared" si="65"/>
        <v>604.86674098327478</v>
      </c>
      <c r="CD87" s="62">
        <f ca="1">AVERAGE(OFFSET($CC$3,0,0,'Données projet'!$E$12+1,1))-AVERAGE(OFFSET($H$3,0,0,'Données projet'!$E$12+1,1))</f>
        <v>276.21705775006376</v>
      </c>
      <c r="CE87" s="62">
        <f t="shared" si="94"/>
        <v>234.24947280606958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376.32432344617206</v>
      </c>
      <c r="CZ87" s="62">
        <f t="shared" si="96"/>
        <v>302.77411534670466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0.5659286312825168</v>
      </c>
      <c r="DG87" s="23">
        <f>EXP(-LN(2)/25)*DG86+(1-EXP(-LN(2)/25))/(LN(2)/25)*Calculateur!DB87*Calculateur!DD87*VLOOKUP('Données projet'!$B$13,Paramètres!$A$1:$I$89,3,0)*0.475*44/12</f>
        <v>0.82422326248641742</v>
      </c>
      <c r="DH87" s="23">
        <f>EXP(-LN(2)/2)*DH86+(1-EXP(-LN(2)/2))/(LN(2)/2)*DB87*DE87*VLOOKUP('Données projet'!$B$13,Paramètres!$A$1:$I$89,3,0)*0.475*44/12</f>
        <v>5.0446012163224003E-9</v>
      </c>
      <c r="DI87" s="24">
        <f t="shared" si="69"/>
        <v>1.3901518988135355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66.838524578682552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2.75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10.083333333333334</v>
      </c>
      <c r="H88" s="70">
        <f t="shared" si="56"/>
        <v>216.33333333333334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200</v>
      </c>
      <c r="L88" s="13">
        <f>VLOOKUP(A88,'Données projet'!$A$35:$I$55,9,0)</f>
        <v>4.4000000000000004</v>
      </c>
      <c r="M88" s="13">
        <f t="array" ref="M88">INDEX(L:L,MIN(IF(ISNUMBER(L88:L284),ROW(L88:L284),"")))</f>
        <v>4.4000000000000004</v>
      </c>
      <c r="N88" s="14">
        <f>IF('Données projet'!$A$36&gt;35,N87+M88-V87,IF(A88&lt;'Données projet'!$A$36,$K$205^A88,IF(A88='Données projet'!$A$36,'Données projet'!$B$36,N87+M88-V87)))</f>
        <v>199.99999999999986</v>
      </c>
      <c r="O88" s="14">
        <f>N88*VLOOKUP('Données projet'!$B$9,Paramètres!$A$1:$I$89,3,0)*VLOOKUP('Données projet'!$B$9,Paramètres!$A$1:$I$89,5,0)</f>
        <v>209.03999999999988</v>
      </c>
      <c r="P88" s="14">
        <f t="shared" si="87"/>
        <v>51.725745635299404</v>
      </c>
      <c r="Q88" s="22">
        <f t="shared" si="54"/>
        <v>454.16700698147952</v>
      </c>
      <c r="R88" s="62">
        <f t="shared" si="55"/>
        <v>736.10936038203431</v>
      </c>
      <c r="S88" s="62">
        <f ca="1">AVERAGE(OFFSET($R$3,0,0,'Données projet'!$E$9+1,1))-AVERAGE(OFFSET($H$3,0,0,'Données projet'!$E$9+1,1))</f>
        <v>338.33619350800484</v>
      </c>
      <c r="T88" s="62">
        <f t="shared" si="88"/>
        <v>173.80539144233424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14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1.9895196601282805E-13</v>
      </c>
      <c r="AJ88" s="14">
        <f>AI88*VLOOKUP('Données projet'!$B$10,Paramètres!$A$1:$I$89,3,0)*VLOOKUP('Données projet'!$B$10,Paramètres!$A$1:$I$89,5,0)</f>
        <v>1.8001173884840681E-13</v>
      </c>
      <c r="AK88" s="14">
        <f t="shared" si="89"/>
        <v>2.5254331426407198E-12</v>
      </c>
      <c r="AL88" s="22">
        <f t="shared" si="58"/>
        <v>4.7119831685935622E-12</v>
      </c>
      <c r="AM88" s="62">
        <f t="shared" si="59"/>
        <v>281.94235340055957</v>
      </c>
      <c r="AN88" s="62">
        <f ca="1">AVERAGE(OFFSET($AM$3,0,0,'Données projet'!$E$10+1,1))-AVERAGE(OFFSET($H$3,0,0,'Données projet'!$E$10+1,1))</f>
        <v>308.01218908312546</v>
      </c>
      <c r="AO88" s="62">
        <f t="shared" si="90"/>
        <v>433.94915035190684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1.4869104855770161</v>
      </c>
      <c r="AV88" s="23">
        <f>EXP(-LN(2)/25)*AV87+(1-EXP(-LN(2)/25))/(LN(2)/25)*Calculateur!AQ88*Calculateur!AS88*VLOOKUP('Données projet'!$B$10,Paramètres!$A$1:$I$89,3,0)*0.475*44/12</f>
        <v>1.6997899363525604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3.1867004219295767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200</v>
      </c>
      <c r="BB88" s="13">
        <f>VLOOKUP(A88,'Données projet'!$A$87:$I$107,9,0)</f>
        <v>4.4000000000000004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199.99999999999986</v>
      </c>
      <c r="BE88" s="14">
        <f>BD88*VLOOKUP('Données projet'!$B$11,Paramètres!$A$1:$I$89,3,0)*VLOOKUP('Données projet'!$B$11,Paramètres!$A$1:$I$89,5,0)</f>
        <v>202.79999999999987</v>
      </c>
      <c r="BF88" s="14">
        <f t="shared" si="91"/>
        <v>50.359024179353973</v>
      </c>
      <c r="BG88" s="22">
        <f t="shared" si="61"/>
        <v>440.91863377904127</v>
      </c>
      <c r="BH88" s="62">
        <f t="shared" si="62"/>
        <v>722.86098717959612</v>
      </c>
      <c r="BI88" s="62">
        <f ca="1">AVERAGE(OFFSET($BH$3,0,0,'Données projet'!$E$11+1,1))-AVERAGE(OFFSET($H$3,0,0,'Données projet'!$E$11+1,1))</f>
        <v>329.96352570744875</v>
      </c>
      <c r="BJ88" s="62">
        <f t="shared" si="92"/>
        <v>170.12252063636961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8.3000000000000007</v>
      </c>
      <c r="BY88" s="13">
        <f>IF('Données projet'!$A$114&gt;35,BY87+BX88-CG87,IF(A88&lt;'Données projet'!$A$114,$BV$205^A88,IF(A88='Données projet'!$A$114,'Données projet'!$B$114,BY87+BX88-CG87)))</f>
        <v>323.49999999999994</v>
      </c>
      <c r="BZ88" s="14">
        <f>BY88*VLOOKUP('Données projet'!$B$12,Paramètres!$A$1:$I$89,3,0)*VLOOKUP('Données projet'!$B$12,Paramètres!$A$1:$I$89,5,0)</f>
        <v>151.39799999999997</v>
      </c>
      <c r="CA88" s="14">
        <f t="shared" si="93"/>
        <v>38.896114403754709</v>
      </c>
      <c r="CB88" s="22">
        <f t="shared" si="64"/>
        <v>331.42891591987274</v>
      </c>
      <c r="CC88" s="62">
        <f t="shared" si="65"/>
        <v>613.37126932042759</v>
      </c>
      <c r="CD88" s="62">
        <f ca="1">AVERAGE(OFFSET($CC$3,0,0,'Données projet'!$E$12+1,1))-AVERAGE(OFFSET($H$3,0,0,'Données projet'!$E$12+1,1))</f>
        <v>276.21705775006376</v>
      </c>
      <c r="CE88" s="62">
        <f t="shared" si="94"/>
        <v>234.24947280606958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376.32432344617206</v>
      </c>
      <c r="CZ88" s="62">
        <f t="shared" si="96"/>
        <v>302.77411534670466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0.55483111600544777</v>
      </c>
      <c r="DG88" s="23">
        <f>EXP(-LN(2)/25)*DG87+(1-EXP(-LN(2)/25))/(LN(2)/25)*Calculateur!DB88*Calculateur!DD88*VLOOKUP('Données projet'!$B$13,Paramètres!$A$1:$I$89,3,0)*0.475*44/12</f>
        <v>0.80168483402970869</v>
      </c>
      <c r="DH88" s="23">
        <f>EXP(-LN(2)/2)*DH87+(1-EXP(-LN(2)/2))/(LN(2)/2)*DB88*DE88*VLOOKUP('Données projet'!$B$13,Paramètres!$A$1:$I$89,3,0)*0.475*44/12</f>
        <v>3.567071728443475E-9</v>
      </c>
      <c r="DI88" s="24">
        <f t="shared" si="69"/>
        <v>1.3565159536022282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66.893369109242229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2.75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10.083333333333334</v>
      </c>
      <c r="H89" s="70">
        <f t="shared" si="56"/>
        <v>216.33333333333334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4.2</v>
      </c>
      <c r="N89" s="14">
        <f>IF('Données projet'!$A$36&gt;35,N88+M89-V88,IF(A89&lt;'Données projet'!$A$36,$K$205^A89,IF(A89='Données projet'!$A$36,'Données projet'!$B$36,N88+M89-V88)))</f>
        <v>190.19999999999985</v>
      </c>
      <c r="O89" s="14">
        <f>N89*VLOOKUP('Données projet'!$B$9,Paramètres!$A$1:$I$89,3,0)*VLOOKUP('Données projet'!$B$9,Paramètres!$A$1:$I$89,5,0)</f>
        <v>198.79703999999984</v>
      </c>
      <c r="P89" s="14">
        <f t="shared" si="87"/>
        <v>49.479700772358441</v>
      </c>
      <c r="Q89" s="22">
        <f t="shared" si="54"/>
        <v>432.41532351185737</v>
      </c>
      <c r="R89" s="62">
        <f t="shared" si="55"/>
        <v>714.55528494782993</v>
      </c>
      <c r="S89" s="62">
        <f ca="1">AVERAGE(OFFSET($R$3,0,0,'Données projet'!$E$9+1,1))-AVERAGE(OFFSET($H$3,0,0,'Données projet'!$E$9+1,1))</f>
        <v>338.33619350800484</v>
      </c>
      <c r="T89" s="62">
        <f t="shared" si="88"/>
        <v>173.80539144233424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1.9895196601282805E-13</v>
      </c>
      <c r="AJ89" s="14">
        <f>AI89*VLOOKUP('Données projet'!$B$10,Paramètres!$A$1:$I$89,3,0)*VLOOKUP('Données projet'!$B$10,Paramètres!$A$1:$I$89,5,0)</f>
        <v>1.8001173884840681E-13</v>
      </c>
      <c r="AK89" s="14">
        <f t="shared" si="89"/>
        <v>2.5254331426407198E-12</v>
      </c>
      <c r="AL89" s="22">
        <f t="shared" si="58"/>
        <v>4.7119831685935622E-12</v>
      </c>
      <c r="AM89" s="62">
        <f t="shared" si="59"/>
        <v>282.13996143597728</v>
      </c>
      <c r="AN89" s="62">
        <f ca="1">AVERAGE(OFFSET($AM$3,0,0,'Données projet'!$E$10+1,1))-AVERAGE(OFFSET($H$3,0,0,'Données projet'!$E$10+1,1))</f>
        <v>308.01218908312546</v>
      </c>
      <c r="AO89" s="62">
        <f t="shared" si="90"/>
        <v>433.94915035190684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1.4577530778806955</v>
      </c>
      <c r="AV89" s="23">
        <f>EXP(-LN(2)/25)*AV88+(1-EXP(-LN(2)/25))/(LN(2)/25)*Calculateur!AQ89*Calculateur!AS89*VLOOKUP('Données projet'!$B$10,Paramètres!$A$1:$I$89,3,0)*0.475*44/12</f>
        <v>1.6533090911549317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3.1110621690356273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4.2</v>
      </c>
      <c r="BD89" s="13">
        <f>IF('Données projet'!$A$88&gt;35,BD88+BC89-BL88,IF(A89&lt;'Données projet'!$A$88,$BA$205^A89,IF(A89='Données projet'!$A$88,'Données projet'!$B$88,BD88+BC89-BL88)))</f>
        <v>190.19999999999985</v>
      </c>
      <c r="BE89" s="14">
        <f>BD89*VLOOKUP('Données projet'!$B$11,Paramètres!$A$1:$I$89,3,0)*VLOOKUP('Données projet'!$B$11,Paramètres!$A$1:$I$89,5,0)</f>
        <v>192.86279999999988</v>
      </c>
      <c r="BF89" s="14">
        <f t="shared" si="91"/>
        <v>48.172325347436733</v>
      </c>
      <c r="BG89" s="22">
        <f t="shared" si="61"/>
        <v>419.80284331345206</v>
      </c>
      <c r="BH89" s="62">
        <f t="shared" si="62"/>
        <v>701.94280474942457</v>
      </c>
      <c r="BI89" s="62">
        <f ca="1">AVERAGE(OFFSET($BH$3,0,0,'Données projet'!$E$11+1,1))-AVERAGE(OFFSET($H$3,0,0,'Données projet'!$E$11+1,1))</f>
        <v>329.96352570744875</v>
      </c>
      <c r="BJ89" s="62">
        <f t="shared" si="92"/>
        <v>170.12252063636961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8.3000000000000007</v>
      </c>
      <c r="BY89" s="13">
        <f>IF('Données projet'!$A$114&gt;35,BY88+BX89-CG88,IF(A89&lt;'Données projet'!$A$114,$BV$205^A89,IF(A89='Données projet'!$A$114,'Données projet'!$B$114,BY88+BX89-CG88)))</f>
        <v>331.79999999999995</v>
      </c>
      <c r="BZ89" s="14">
        <f>BY89*VLOOKUP('Données projet'!$B$12,Paramètres!$A$1:$I$89,3,0)*VLOOKUP('Données projet'!$B$12,Paramètres!$A$1:$I$89,5,0)</f>
        <v>155.28239999999997</v>
      </c>
      <c r="CA89" s="14">
        <f t="shared" si="93"/>
        <v>39.776601235546408</v>
      </c>
      <c r="CB89" s="22">
        <f t="shared" si="64"/>
        <v>339.72776048524321</v>
      </c>
      <c r="CC89" s="62">
        <f t="shared" si="65"/>
        <v>621.86772192121578</v>
      </c>
      <c r="CD89" s="62">
        <f ca="1">AVERAGE(OFFSET($CC$3,0,0,'Données projet'!$E$12+1,1))-AVERAGE(OFFSET($H$3,0,0,'Données projet'!$E$12+1,1))</f>
        <v>276.21705775006376</v>
      </c>
      <c r="CE89" s="62">
        <f t="shared" si="94"/>
        <v>234.24947280606958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376.32432344617206</v>
      </c>
      <c r="CZ89" s="62">
        <f t="shared" si="96"/>
        <v>302.77411534670466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0.54395121623414611</v>
      </c>
      <c r="DG89" s="23">
        <f>EXP(-LN(2)/25)*DG88+(1-EXP(-LN(2)/25))/(LN(2)/25)*Calculateur!DB89*Calculateur!DD89*VLOOKUP('Données projet'!$B$13,Paramètres!$A$1:$I$89,3,0)*0.475*44/12</f>
        <v>0.77976272008439318</v>
      </c>
      <c r="DH89" s="23">
        <f>EXP(-LN(2)/2)*DH88+(1-EXP(-LN(2)/2))/(LN(2)/2)*DB89*DE89*VLOOKUP('Données projet'!$B$13,Paramètres!$A$1:$I$89,3,0)*0.475*44/12</f>
        <v>2.5223006081612001E-9</v>
      </c>
      <c r="DI89" s="24">
        <f t="shared" si="69"/>
        <v>1.3237139388408399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66.947262209810702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2.75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10.083333333333334</v>
      </c>
      <c r="H90" s="70">
        <f t="shared" si="56"/>
        <v>216.33333333333334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4.2</v>
      </c>
      <c r="N90" s="14">
        <f>IF('Données projet'!$A$36&gt;35,N89+M90-V89,IF(A90&lt;'Données projet'!$A$36,$K$205^A90,IF(A90='Données projet'!$A$36,'Données projet'!$B$36,N89+M90-V89)))</f>
        <v>194.39999999999984</v>
      </c>
      <c r="O90" s="14">
        <f>N90*VLOOKUP('Données projet'!$B$9,Paramètres!$A$1:$I$89,3,0)*VLOOKUP('Données projet'!$B$9,Paramètres!$A$1:$I$89,5,0)</f>
        <v>203.18687999999986</v>
      </c>
      <c r="P90" s="14">
        <f t="shared" si="87"/>
        <v>50.443901791793785</v>
      </c>
      <c r="Q90" s="22">
        <f t="shared" si="54"/>
        <v>441.74027828737388</v>
      </c>
      <c r="R90" s="62">
        <f t="shared" si="55"/>
        <v>724.07441970113507</v>
      </c>
      <c r="S90" s="62">
        <f ca="1">AVERAGE(OFFSET($R$3,0,0,'Données projet'!$E$9+1,1))-AVERAGE(OFFSET($H$3,0,0,'Données projet'!$E$9+1,1))</f>
        <v>338.33619350800484</v>
      </c>
      <c r="T90" s="62">
        <f t="shared" si="88"/>
        <v>173.80539144233424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1.9895196601282805E-13</v>
      </c>
      <c r="AJ90" s="14">
        <f>AI90*VLOOKUP('Données projet'!$B$10,Paramètres!$A$1:$I$89,3,0)*VLOOKUP('Données projet'!$B$10,Paramètres!$A$1:$I$89,5,0)</f>
        <v>1.8001173884840681E-13</v>
      </c>
      <c r="AK90" s="14">
        <f t="shared" si="89"/>
        <v>2.5254331426407198E-12</v>
      </c>
      <c r="AL90" s="22">
        <f t="shared" si="58"/>
        <v>4.7119831685935622E-12</v>
      </c>
      <c r="AM90" s="62">
        <f t="shared" si="59"/>
        <v>282.33414141376591</v>
      </c>
      <c r="AN90" s="62">
        <f ca="1">AVERAGE(OFFSET($AM$3,0,0,'Données projet'!$E$10+1,1))-AVERAGE(OFFSET($H$3,0,0,'Données projet'!$E$10+1,1))</f>
        <v>308.01218908312546</v>
      </c>
      <c r="AO90" s="62">
        <f t="shared" si="90"/>
        <v>433.94915035190684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1.4291674291650371</v>
      </c>
      <c r="AV90" s="23">
        <f>EXP(-LN(2)/25)*AV89+(1-EXP(-LN(2)/25))/(LN(2)/25)*Calculateur!AQ90*Calculateur!AS90*VLOOKUP('Données projet'!$B$10,Paramètres!$A$1:$I$89,3,0)*0.475*44/12</f>
        <v>1.6080992671135537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3.037266696278591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4.2</v>
      </c>
      <c r="BD90" s="13">
        <f>IF('Données projet'!$A$88&gt;35,BD89+BC90-BL89,IF(A90&lt;'Données projet'!$A$88,$BA$205^A90,IF(A90='Données projet'!$A$88,'Données projet'!$B$88,BD89+BC90-BL89)))</f>
        <v>194.39999999999984</v>
      </c>
      <c r="BE90" s="14">
        <f>BD90*VLOOKUP('Données projet'!$B$11,Paramètres!$A$1:$I$89,3,0)*VLOOKUP('Données projet'!$B$11,Paramètres!$A$1:$I$89,5,0)</f>
        <v>197.12159999999986</v>
      </c>
      <c r="BF90" s="14">
        <f t="shared" si="91"/>
        <v>49.111049803800405</v>
      </c>
      <c r="BG90" s="22">
        <f t="shared" si="61"/>
        <v>428.85519840828539</v>
      </c>
      <c r="BH90" s="62">
        <f t="shared" si="62"/>
        <v>711.18933982204658</v>
      </c>
      <c r="BI90" s="62">
        <f ca="1">AVERAGE(OFFSET($BH$3,0,0,'Données projet'!$E$11+1,1))-AVERAGE(OFFSET($H$3,0,0,'Données projet'!$E$11+1,1))</f>
        <v>329.96352570744875</v>
      </c>
      <c r="BJ90" s="62">
        <f t="shared" si="92"/>
        <v>170.12252063636961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8.3000000000000007</v>
      </c>
      <c r="BY90" s="13">
        <f>IF('Données projet'!$A$114&gt;35,BY89+BX90-CG89,IF(A90&lt;'Données projet'!$A$114,$BV$205^A90,IF(A90='Données projet'!$A$114,'Données projet'!$B$114,BY89+BX90-CG89)))</f>
        <v>340.09999999999997</v>
      </c>
      <c r="BZ90" s="14">
        <f>BY90*VLOOKUP('Données projet'!$B$12,Paramètres!$A$1:$I$89,3,0)*VLOOKUP('Données projet'!$B$12,Paramètres!$A$1:$I$89,5,0)</f>
        <v>159.16679999999997</v>
      </c>
      <c r="CA90" s="14">
        <f t="shared" si="93"/>
        <v>40.654527752930747</v>
      </c>
      <c r="CB90" s="22">
        <f t="shared" si="64"/>
        <v>348.02214583635424</v>
      </c>
      <c r="CC90" s="62">
        <f t="shared" si="65"/>
        <v>630.35628725011543</v>
      </c>
      <c r="CD90" s="62">
        <f ca="1">AVERAGE(OFFSET($CC$3,0,0,'Données projet'!$E$12+1,1))-AVERAGE(OFFSET($H$3,0,0,'Données projet'!$E$12+1,1))</f>
        <v>276.21705775006376</v>
      </c>
      <c r="CE90" s="62">
        <f t="shared" si="94"/>
        <v>234.24947280606958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376.32432344617206</v>
      </c>
      <c r="CZ90" s="62">
        <f t="shared" si="96"/>
        <v>302.77411534670466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0.53328466466127611</v>
      </c>
      <c r="DG90" s="23">
        <f>EXP(-LN(2)/25)*DG89+(1-EXP(-LN(2)/25))/(LN(2)/25)*Calculateur!DB90*Calculateur!DD90*VLOOKUP('Données projet'!$B$13,Paramètres!$A$1:$I$89,3,0)*0.475*44/12</f>
        <v>0.75844006749774617</v>
      </c>
      <c r="DH90" s="23">
        <f>EXP(-LN(2)/2)*DH89+(1-EXP(-LN(2)/2))/(LN(2)/2)*DB90*DE90*VLOOKUP('Données projet'!$B$13,Paramètres!$A$1:$I$89,3,0)*0.475*44/12</f>
        <v>1.7835358642217375E-9</v>
      </c>
      <c r="DI90" s="24">
        <f t="shared" si="69"/>
        <v>1.2917247339425579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67.000220385571225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2.75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10.083333333333334</v>
      </c>
      <c r="H91" s="70">
        <f t="shared" si="56"/>
        <v>216.33333333333334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4.2</v>
      </c>
      <c r="N91" s="14">
        <f>IF('Données projet'!$A$36&gt;35,N90+M91-V90,IF(A91&lt;'Données projet'!$A$36,$K$205^A91,IF(A91='Données projet'!$A$36,'Données projet'!$B$36,N90+M91-V90)))</f>
        <v>198.59999999999982</v>
      </c>
      <c r="O91" s="14">
        <f>N91*VLOOKUP('Données projet'!$B$9,Paramètres!$A$1:$I$89,3,0)*VLOOKUP('Données projet'!$B$9,Paramètres!$A$1:$I$89,5,0)</f>
        <v>207.57671999999985</v>
      </c>
      <c r="P91" s="14">
        <f t="shared" si="87"/>
        <v>51.405680871457953</v>
      </c>
      <c r="Q91" s="22">
        <f t="shared" si="54"/>
        <v>451.06101485112231</v>
      </c>
      <c r="R91" s="62">
        <f t="shared" si="55"/>
        <v>733.58596765417883</v>
      </c>
      <c r="S91" s="62">
        <f ca="1">AVERAGE(OFFSET($R$3,0,0,'Données projet'!$E$9+1,1))-AVERAGE(OFFSET($H$3,0,0,'Données projet'!$E$9+1,1))</f>
        <v>338.33619350800484</v>
      </c>
      <c r="T91" s="62">
        <f t="shared" si="88"/>
        <v>173.80539144233424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1.9895196601282805E-13</v>
      </c>
      <c r="AJ91" s="14">
        <f>AI91*VLOOKUP('Données projet'!$B$10,Paramètres!$A$1:$I$89,3,0)*VLOOKUP('Données projet'!$B$10,Paramètres!$A$1:$I$89,5,0)</f>
        <v>1.8001173884840681E-13</v>
      </c>
      <c r="AK91" s="14">
        <f t="shared" si="89"/>
        <v>2.5254331426407198E-12</v>
      </c>
      <c r="AL91" s="22">
        <f t="shared" si="58"/>
        <v>4.7119831685935622E-12</v>
      </c>
      <c r="AM91" s="62">
        <f t="shared" si="59"/>
        <v>282.52495280306124</v>
      </c>
      <c r="AN91" s="62">
        <f ca="1">AVERAGE(OFFSET($AM$3,0,0,'Données projet'!$E$10+1,1))-AVERAGE(OFFSET($H$3,0,0,'Données projet'!$E$10+1,1))</f>
        <v>308.01218908312546</v>
      </c>
      <c r="AO91" s="62">
        <f t="shared" si="90"/>
        <v>433.94915035190684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1.4011423275851687</v>
      </c>
      <c r="AV91" s="23">
        <f>EXP(-LN(2)/25)*AV90+(1-EXP(-LN(2)/25))/(LN(2)/25)*Calculateur!AQ91*Calculateur!AS91*VLOOKUP('Données projet'!$B$10,Paramètres!$A$1:$I$89,3,0)*0.475*44/12</f>
        <v>1.5641257080880684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2.9652680356732368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4.2</v>
      </c>
      <c r="BD91" s="13">
        <f>IF('Données projet'!$A$88&gt;35,BD90+BC91-BL90,IF(A91&lt;'Données projet'!$A$88,$BA$205^A91,IF(A91='Données projet'!$A$88,'Données projet'!$B$88,BD90+BC91-BL90)))</f>
        <v>198.59999999999982</v>
      </c>
      <c r="BE91" s="14">
        <f>BD91*VLOOKUP('Données projet'!$B$11,Paramètres!$A$1:$I$89,3,0)*VLOOKUP('Données projet'!$B$11,Paramètres!$A$1:$I$89,5,0)</f>
        <v>201.38039999999984</v>
      </c>
      <c r="BF91" s="14">
        <f t="shared" si="91"/>
        <v>50.047416314000095</v>
      </c>
      <c r="BG91" s="22">
        <f t="shared" si="61"/>
        <v>437.90344674688322</v>
      </c>
      <c r="BH91" s="62">
        <f t="shared" si="62"/>
        <v>720.42839954993974</v>
      </c>
      <c r="BI91" s="62">
        <f ca="1">AVERAGE(OFFSET($BH$3,0,0,'Données projet'!$E$11+1,1))-AVERAGE(OFFSET($H$3,0,0,'Données projet'!$E$11+1,1))</f>
        <v>329.96352570744875</v>
      </c>
      <c r="BJ91" s="62">
        <f t="shared" si="92"/>
        <v>170.12252063636961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8.3000000000000007</v>
      </c>
      <c r="BY91" s="13">
        <f>IF('Données projet'!$A$114&gt;35,BY90+BX91-CG90,IF(A91&lt;'Données projet'!$A$114,$BV$205^A91,IF(A91='Données projet'!$A$114,'Données projet'!$B$114,BY90+BX91-CG90)))</f>
        <v>348.4</v>
      </c>
      <c r="BZ91" s="14">
        <f>BY91*VLOOKUP('Données projet'!$B$12,Paramètres!$A$1:$I$89,3,0)*VLOOKUP('Données projet'!$B$12,Paramètres!$A$1:$I$89,5,0)</f>
        <v>163.05119999999999</v>
      </c>
      <c r="CA91" s="14">
        <f t="shared" si="93"/>
        <v>41.529963627394977</v>
      </c>
      <c r="CB91" s="22">
        <f t="shared" si="64"/>
        <v>356.31219331771285</v>
      </c>
      <c r="CC91" s="62">
        <f t="shared" si="65"/>
        <v>638.83714612076938</v>
      </c>
      <c r="CD91" s="62">
        <f ca="1">AVERAGE(OFFSET($CC$3,0,0,'Données projet'!$E$12+1,1))-AVERAGE(OFFSET($H$3,0,0,'Données projet'!$E$12+1,1))</f>
        <v>276.21705775006376</v>
      </c>
      <c r="CE91" s="62">
        <f t="shared" si="94"/>
        <v>234.24947280606958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376.32432344617206</v>
      </c>
      <c r="CZ91" s="62">
        <f t="shared" si="96"/>
        <v>302.77411534670466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0.522827277658796</v>
      </c>
      <c r="DG91" s="23">
        <f>EXP(-LN(2)/25)*DG90+(1-EXP(-LN(2)/25))/(LN(2)/25)*Calculateur!DB91*Calculateur!DD91*VLOOKUP('Données projet'!$B$13,Paramètres!$A$1:$I$89,3,0)*0.475*44/12</f>
        <v>0.73770048396739063</v>
      </c>
      <c r="DH91" s="23">
        <f>EXP(-LN(2)/2)*DH90+(1-EXP(-LN(2)/2))/(LN(2)/2)*DB91*DE91*VLOOKUP('Données projet'!$B$13,Paramètres!$A$1:$I$89,3,0)*0.475*44/12</f>
        <v>1.2611503040806001E-9</v>
      </c>
      <c r="DI91" s="24">
        <f t="shared" si="69"/>
        <v>1.260527762887337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67.052259855379049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2.75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10.083333333333334</v>
      </c>
      <c r="H92" s="70">
        <f t="shared" si="56"/>
        <v>216.33333333333334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4.2</v>
      </c>
      <c r="N92" s="14">
        <f>IF('Données projet'!$A$36&gt;35,N91+M92-V91,IF(A92&lt;'Données projet'!$A$36,$K$205^A92,IF(A92='Données projet'!$A$36,'Données projet'!$B$36,N91+M92-V91)))</f>
        <v>202.79999999999981</v>
      </c>
      <c r="O92" s="14">
        <f>N92*VLOOKUP('Données projet'!$B$9,Paramètres!$A$1:$I$89,3,0)*VLOOKUP('Données projet'!$B$9,Paramètres!$A$1:$I$89,5,0)</f>
        <v>211.96655999999984</v>
      </c>
      <c r="P92" s="14">
        <f t="shared" si="87"/>
        <v>52.365095130819974</v>
      </c>
      <c r="Q92" s="22">
        <f t="shared" si="54"/>
        <v>460.37763268617778</v>
      </c>
      <c r="R92" s="62">
        <f t="shared" si="55"/>
        <v>743.09008672751577</v>
      </c>
      <c r="S92" s="62">
        <f ca="1">AVERAGE(OFFSET($R$3,0,0,'Données projet'!$E$9+1,1))-AVERAGE(OFFSET($H$3,0,0,'Données projet'!$E$9+1,1))</f>
        <v>338.33619350800484</v>
      </c>
      <c r="T92" s="62">
        <f t="shared" si="88"/>
        <v>173.80539144233424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1.9895196601282805E-13</v>
      </c>
      <c r="AJ92" s="14">
        <f>AI92*VLOOKUP('Données projet'!$B$10,Paramètres!$A$1:$I$89,3,0)*VLOOKUP('Données projet'!$B$10,Paramètres!$A$1:$I$89,5,0)</f>
        <v>1.8001173884840681E-13</v>
      </c>
      <c r="AK92" s="14">
        <f t="shared" si="89"/>
        <v>2.5254331426407198E-12</v>
      </c>
      <c r="AL92" s="22">
        <f t="shared" si="58"/>
        <v>4.7119831685935622E-12</v>
      </c>
      <c r="AM92" s="62">
        <f t="shared" si="59"/>
        <v>282.71245404134271</v>
      </c>
      <c r="AN92" s="62">
        <f ca="1">AVERAGE(OFFSET($AM$3,0,0,'Données projet'!$E$10+1,1))-AVERAGE(OFFSET($H$3,0,0,'Données projet'!$E$10+1,1))</f>
        <v>308.01218908312546</v>
      </c>
      <c r="AO92" s="62">
        <f t="shared" si="90"/>
        <v>433.94915035190684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1.3736667811536574</v>
      </c>
      <c r="AV92" s="23">
        <f>EXP(-LN(2)/25)*AV91+(1-EXP(-LN(2)/25))/(LN(2)/25)*Calculateur!AQ92*Calculateur!AS92*VLOOKUP('Données projet'!$B$10,Paramètres!$A$1:$I$89,3,0)*0.475*44/12</f>
        <v>1.5213546083466041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2.8950213895002612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4.2</v>
      </c>
      <c r="BD92" s="13">
        <f>IF('Données projet'!$A$88&gt;35,BD91+BC92-BL91,IF(A92&lt;'Données projet'!$A$88,$BA$205^A92,IF(A92='Données projet'!$A$88,'Données projet'!$B$88,BD91+BC92-BL91)))</f>
        <v>202.79999999999981</v>
      </c>
      <c r="BE92" s="14">
        <f>BD92*VLOOKUP('Données projet'!$B$11,Paramètres!$A$1:$I$89,3,0)*VLOOKUP('Données projet'!$B$11,Paramètres!$A$1:$I$89,5,0)</f>
        <v>205.63919999999982</v>
      </c>
      <c r="BF92" s="14">
        <f t="shared" si="91"/>
        <v>50.981480488268076</v>
      </c>
      <c r="BG92" s="22">
        <f t="shared" si="61"/>
        <v>446.94768518373326</v>
      </c>
      <c r="BH92" s="62">
        <f t="shared" si="62"/>
        <v>729.66013922507125</v>
      </c>
      <c r="BI92" s="62">
        <f ca="1">AVERAGE(OFFSET($BH$3,0,0,'Données projet'!$E$11+1,1))-AVERAGE(OFFSET($H$3,0,0,'Données projet'!$E$11+1,1))</f>
        <v>329.96352570744875</v>
      </c>
      <c r="BJ92" s="62">
        <f t="shared" si="92"/>
        <v>170.12252063636961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8.3000000000000007</v>
      </c>
      <c r="BY92" s="13">
        <f>IF('Données projet'!$A$114&gt;35,BY91+BX92-CG91,IF(A92&lt;'Données projet'!$A$114,$BV$205^A92,IF(A92='Données projet'!$A$114,'Données projet'!$B$114,BY91+BX92-CG91)))</f>
        <v>356.7</v>
      </c>
      <c r="BZ92" s="14">
        <f>BY92*VLOOKUP('Données projet'!$B$12,Paramètres!$A$1:$I$89,3,0)*VLOOKUP('Données projet'!$B$12,Paramètres!$A$1:$I$89,5,0)</f>
        <v>166.93559999999997</v>
      </c>
      <c r="CA92" s="14">
        <f t="shared" si="93"/>
        <v>42.402975021498193</v>
      </c>
      <c r="CB92" s="22">
        <f t="shared" si="64"/>
        <v>364.59801816244266</v>
      </c>
      <c r="CC92" s="62">
        <f t="shared" si="65"/>
        <v>647.31047220378059</v>
      </c>
      <c r="CD92" s="62">
        <f ca="1">AVERAGE(OFFSET($CC$3,0,0,'Données projet'!$E$12+1,1))-AVERAGE(OFFSET($H$3,0,0,'Données projet'!$E$12+1,1))</f>
        <v>276.21705775006376</v>
      </c>
      <c r="CE92" s="62">
        <f t="shared" si="94"/>
        <v>234.24947280606958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376.32432344617206</v>
      </c>
      <c r="CZ92" s="62">
        <f t="shared" si="96"/>
        <v>302.77411534670466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0.51257495363705829</v>
      </c>
      <c r="DG92" s="23">
        <f>EXP(-LN(2)/25)*DG91+(1-EXP(-LN(2)/25))/(LN(2)/25)*Calculateur!DB92*Calculateur!DD92*VLOOKUP('Données projet'!$B$13,Paramètres!$A$1:$I$89,3,0)*0.475*44/12</f>
        <v>0.71752802543931993</v>
      </c>
      <c r="DH92" s="23">
        <f>EXP(-LN(2)/2)*DH91+(1-EXP(-LN(2)/2))/(LN(2)/2)*DB92*DE92*VLOOKUP('Données projet'!$B$13,Paramètres!$A$1:$I$89,3,0)*0.475*44/12</f>
        <v>8.9176793211086876E-10</v>
      </c>
      <c r="DI92" s="24">
        <f t="shared" si="69"/>
        <v>1.2301029799681462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67.103396556728541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2.75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10.083333333333334</v>
      </c>
      <c r="H93" s="70">
        <f t="shared" si="56"/>
        <v>216.33333333333334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207</v>
      </c>
      <c r="L93" s="13">
        <f>VLOOKUP(A93,'Données projet'!$A$35:$I$55,9,0)</f>
        <v>4.2</v>
      </c>
      <c r="M93" s="13">
        <f t="array" ref="M93">INDEX(L:L,MIN(IF(ISNUMBER(L93:L289),ROW(L93:L289),"")))</f>
        <v>4.2</v>
      </c>
      <c r="N93" s="14">
        <f>IF('Données projet'!$A$36&gt;35,N92+M93-V92,IF(A93&lt;'Données projet'!$A$36,$K$205^A93,IF(A93='Données projet'!$A$36,'Données projet'!$B$36,N92+M93-V92)))</f>
        <v>206.9999999999998</v>
      </c>
      <c r="O93" s="14">
        <f>N93*VLOOKUP('Données projet'!$B$9,Paramètres!$A$1:$I$89,3,0)*VLOOKUP('Données projet'!$B$9,Paramètres!$A$1:$I$89,5,0)</f>
        <v>216.35639999999984</v>
      </c>
      <c r="P93" s="14">
        <f t="shared" si="87"/>
        <v>53.322199188237242</v>
      </c>
      <c r="Q93" s="22">
        <f t="shared" si="54"/>
        <v>469.6902269195129</v>
      </c>
      <c r="R93" s="62">
        <f t="shared" si="55"/>
        <v>752.58692947183818</v>
      </c>
      <c r="S93" s="62">
        <f ca="1">AVERAGE(OFFSET($R$3,0,0,'Données projet'!$E$9+1,1))-AVERAGE(OFFSET($H$3,0,0,'Données projet'!$E$9+1,1))</f>
        <v>338.33619350800484</v>
      </c>
      <c r="T93" s="62">
        <f t="shared" si="88"/>
        <v>173.80539144233424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14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1.9895196601282805E-13</v>
      </c>
      <c r="AJ93" s="14">
        <f>AI93*VLOOKUP('Données projet'!$B$10,Paramètres!$A$1:$I$89,3,0)*VLOOKUP('Données projet'!$B$10,Paramètres!$A$1:$I$89,5,0)</f>
        <v>1.8001173884840681E-13</v>
      </c>
      <c r="AK93" s="14">
        <f t="shared" si="89"/>
        <v>2.5254331426407198E-12</v>
      </c>
      <c r="AL93" s="22">
        <f t="shared" si="58"/>
        <v>4.7119831685935622E-12</v>
      </c>
      <c r="AM93" s="62">
        <f t="shared" si="59"/>
        <v>282.89670255233</v>
      </c>
      <c r="AN93" s="62">
        <f ca="1">AVERAGE(OFFSET($AM$3,0,0,'Données projet'!$E$10+1,1))-AVERAGE(OFFSET($H$3,0,0,'Données projet'!$E$10+1,1))</f>
        <v>308.01218908312546</v>
      </c>
      <c r="AO93" s="62">
        <f t="shared" si="90"/>
        <v>433.94915035190684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1.3467300134292395</v>
      </c>
      <c r="AV93" s="23">
        <f>EXP(-LN(2)/25)*AV92+(1-EXP(-LN(2)/25))/(LN(2)/25)*Calculateur!AQ93*Calculateur!AS93*VLOOKUP('Données projet'!$B$10,Paramètres!$A$1:$I$89,3,0)*0.475*44/12</f>
        <v>1.4797530865768045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2.826483100006044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207</v>
      </c>
      <c r="BB93" s="13">
        <f>VLOOKUP(A93,'Données projet'!$A$87:$I$107,9,0)</f>
        <v>4.2</v>
      </c>
      <c r="BC93" s="13">
        <f t="array" ref="BC93">INDEX(BB:BB,MIN(IF(ISNUMBER(BB93:BB289),ROW(BB93:BB289),"")))</f>
        <v>4.2</v>
      </c>
      <c r="BD93" s="13">
        <f>IF('Données projet'!$A$88&gt;35,BD92+BC93-BL92,IF(A93&lt;'Données projet'!$A$88,$BA$205^A93,IF(A93='Données projet'!$A$88,'Données projet'!$B$88,BD92+BC93-BL92)))</f>
        <v>206.9999999999998</v>
      </c>
      <c r="BE93" s="14">
        <f>BD93*VLOOKUP('Données projet'!$B$11,Paramètres!$A$1:$I$89,3,0)*VLOOKUP('Données projet'!$B$11,Paramètres!$A$1:$I$89,5,0)</f>
        <v>209.8979999999998</v>
      </c>
      <c r="BF93" s="14">
        <f t="shared" si="91"/>
        <v>51.913295501810218</v>
      </c>
      <c r="BG93" s="22">
        <f t="shared" si="61"/>
        <v>455.98800633231912</v>
      </c>
      <c r="BH93" s="62">
        <f t="shared" si="62"/>
        <v>738.8847088846444</v>
      </c>
      <c r="BI93" s="62">
        <f ca="1">AVERAGE(OFFSET($BH$3,0,0,'Données projet'!$E$11+1,1))-AVERAGE(OFFSET($H$3,0,0,'Données projet'!$E$11+1,1))</f>
        <v>329.96352570744875</v>
      </c>
      <c r="BJ93" s="62">
        <f t="shared" si="92"/>
        <v>170.12252063636961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365</v>
      </c>
      <c r="BW93" s="13">
        <f>VLOOKUP(A93,'Données projet'!$A$113:$I$133,9,0)</f>
        <v>8.3000000000000007</v>
      </c>
      <c r="BX93" s="13">
        <f t="array" ref="BX93">INDEX(BW:BW,MIN(IF(ISNUMBER(BW93:BW289),ROW(BW93:BW289),"")))</f>
        <v>8.3000000000000007</v>
      </c>
      <c r="BY93" s="13">
        <f>IF('Données projet'!$A$114&gt;35,BY92+BX93-CG92,IF(A93&lt;'Données projet'!$A$114,$BV$205^A93,IF(A93='Données projet'!$A$114,'Données projet'!$B$114,BY92+BX93-CG92)))</f>
        <v>365</v>
      </c>
      <c r="BZ93" s="14">
        <f>BY93*VLOOKUP('Données projet'!$B$12,Paramètres!$A$1:$I$89,3,0)*VLOOKUP('Données projet'!$B$12,Paramètres!$A$1:$I$89,5,0)</f>
        <v>170.82000000000002</v>
      </c>
      <c r="CA93" s="14">
        <f t="shared" si="93"/>
        <v>43.273624843069463</v>
      </c>
      <c r="CB93" s="22">
        <f t="shared" si="64"/>
        <v>372.87972993501268</v>
      </c>
      <c r="CC93" s="62">
        <f t="shared" si="65"/>
        <v>655.77643248733796</v>
      </c>
      <c r="CD93" s="62">
        <f ca="1">AVERAGE(OFFSET($CC$3,0,0,'Données projet'!$E$12+1,1))-AVERAGE(OFFSET($H$3,0,0,'Données projet'!$E$12+1,1))</f>
        <v>276.21705775006376</v>
      </c>
      <c r="CE93" s="62">
        <f t="shared" si="94"/>
        <v>234.24947280606958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73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376.32432344617206</v>
      </c>
      <c r="CZ93" s="62">
        <f t="shared" si="96"/>
        <v>302.77411534670466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0.50252367143608667</v>
      </c>
      <c r="DG93" s="23">
        <f>EXP(-LN(2)/25)*DG92+(1-EXP(-LN(2)/25))/(LN(2)/25)*Calculateur!DB93*Calculateur!DD93*VLOOKUP('Données projet'!$B$13,Paramètres!$A$1:$I$89,3,0)*0.475*44/12</f>
        <v>0.69790718385052275</v>
      </c>
      <c r="DH93" s="23">
        <f>EXP(-LN(2)/2)*DH92+(1-EXP(-LN(2)/2))/(LN(2)/2)*DB93*DE93*VLOOKUP('Données projet'!$B$13,Paramètres!$A$1:$I$89,3,0)*0.475*44/12</f>
        <v>6.3057515204030003E-10</v>
      </c>
      <c r="DI93" s="24">
        <f t="shared" si="69"/>
        <v>1.2004308559171846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67.15364615063416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2.75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10.083333333333334</v>
      </c>
      <c r="H94" s="70">
        <f t="shared" si="56"/>
        <v>216.33333333333334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3.8</v>
      </c>
      <c r="N94" s="14">
        <f>IF('Données projet'!$A$36&gt;35,N93+M94-V93,IF(A94&lt;'Données projet'!$A$36,$K$205^A94,IF(A94='Données projet'!$A$36,'Données projet'!$B$36,N93+M94-V93)))</f>
        <v>196.79999999999981</v>
      </c>
      <c r="O94" s="14">
        <f>N94*VLOOKUP('Données projet'!$B$9,Paramètres!$A$1:$I$89,3,0)*VLOOKUP('Données projet'!$B$9,Paramètres!$A$1:$I$89,5,0)</f>
        <v>205.69535999999982</v>
      </c>
      <c r="P94" s="14">
        <f t="shared" si="87"/>
        <v>50.993782678591273</v>
      </c>
      <c r="Q94" s="22">
        <f t="shared" si="54"/>
        <v>447.0669234985462</v>
      </c>
      <c r="R94" s="62">
        <f t="shared" si="55"/>
        <v>730.14467826211103</v>
      </c>
      <c r="S94" s="62">
        <f ca="1">AVERAGE(OFFSET($R$3,0,0,'Données projet'!$E$9+1,1))-AVERAGE(OFFSET($H$3,0,0,'Données projet'!$E$9+1,1))</f>
        <v>338.33619350800484</v>
      </c>
      <c r="T94" s="62">
        <f t="shared" si="88"/>
        <v>173.80539144233424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1.9895196601282805E-13</v>
      </c>
      <c r="AJ94" s="14">
        <f>AI94*VLOOKUP('Données projet'!$B$10,Paramètres!$A$1:$I$89,3,0)*VLOOKUP('Données projet'!$B$10,Paramètres!$A$1:$I$89,5,0)</f>
        <v>1.8001173884840681E-13</v>
      </c>
      <c r="AK94" s="14">
        <f t="shared" si="89"/>
        <v>2.5254331426407198E-12</v>
      </c>
      <c r="AL94" s="22">
        <f t="shared" si="58"/>
        <v>4.7119831685935622E-12</v>
      </c>
      <c r="AM94" s="62">
        <f t="shared" si="59"/>
        <v>283.07775476356949</v>
      </c>
      <c r="AN94" s="62">
        <f ca="1">AVERAGE(OFFSET($AM$3,0,0,'Données projet'!$E$10+1,1))-AVERAGE(OFFSET($H$3,0,0,'Données projet'!$E$10+1,1))</f>
        <v>308.01218908312546</v>
      </c>
      <c r="AO94" s="62">
        <f t="shared" si="90"/>
        <v>433.94915035190684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1.3203214592900914</v>
      </c>
      <c r="AV94" s="23">
        <f>EXP(-LN(2)/25)*AV93+(1-EXP(-LN(2)/25))/(LN(2)/25)*Calculateur!AQ94*Calculateur!AS94*VLOOKUP('Données projet'!$B$10,Paramètres!$A$1:$I$89,3,0)*0.475*44/12</f>
        <v>1.4392891606075289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2.7596106198976202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3.8</v>
      </c>
      <c r="BD94" s="13">
        <f>IF('Données projet'!$A$88&gt;35,BD93+BC94-BL93,IF(A94&lt;'Données projet'!$A$88,$BA$205^A94,IF(A94='Données projet'!$A$88,'Données projet'!$B$88,BD93+BC94-BL93)))</f>
        <v>196.79999999999981</v>
      </c>
      <c r="BE94" s="14">
        <f>BD94*VLOOKUP('Données projet'!$B$11,Paramètres!$A$1:$I$89,3,0)*VLOOKUP('Données projet'!$B$11,Paramètres!$A$1:$I$89,5,0)</f>
        <v>199.55519999999984</v>
      </c>
      <c r="BF94" s="14">
        <f t="shared" si="91"/>
        <v>49.646401484745567</v>
      </c>
      <c r="BG94" s="22">
        <f t="shared" si="61"/>
        <v>434.02612258593155</v>
      </c>
      <c r="BH94" s="62">
        <f t="shared" si="62"/>
        <v>717.10387734949632</v>
      </c>
      <c r="BI94" s="62">
        <f ca="1">AVERAGE(OFFSET($BH$3,0,0,'Données projet'!$E$11+1,1))-AVERAGE(OFFSET($H$3,0,0,'Données projet'!$E$11+1,1))</f>
        <v>329.96352570744875</v>
      </c>
      <c r="BJ94" s="62">
        <f t="shared" si="92"/>
        <v>170.12252063636961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8.3000000000000007</v>
      </c>
      <c r="BY94" s="13">
        <f>IF('Données projet'!$A$114&gt;35,BY93+BX94-CG93,IF(A94&lt;'Données projet'!$A$114,$BV$205^A94,IF(A94='Données projet'!$A$114,'Données projet'!$B$114,BY93+BX94-CG93)))</f>
        <v>300.3</v>
      </c>
      <c r="BZ94" s="14">
        <f>BY94*VLOOKUP('Données projet'!$B$12,Paramètres!$A$1:$I$89,3,0)*VLOOKUP('Données projet'!$B$12,Paramètres!$A$1:$I$89,5,0)</f>
        <v>140.54040000000001</v>
      </c>
      <c r="CA94" s="14">
        <f t="shared" si="93"/>
        <v>36.420775774849901</v>
      </c>
      <c r="CB94" s="22">
        <f t="shared" si="64"/>
        <v>308.20738114119689</v>
      </c>
      <c r="CC94" s="62">
        <f t="shared" si="65"/>
        <v>591.28513590476166</v>
      </c>
      <c r="CD94" s="62">
        <f ca="1">AVERAGE(OFFSET($CC$3,0,0,'Données projet'!$E$12+1,1))-AVERAGE(OFFSET($H$3,0,0,'Données projet'!$E$12+1,1))</f>
        <v>276.21705775006376</v>
      </c>
      <c r="CE94" s="62">
        <f t="shared" si="94"/>
        <v>234.24947280606958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376.32432344617206</v>
      </c>
      <c r="CZ94" s="62">
        <f t="shared" si="96"/>
        <v>302.77411534670466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0.49266948874839933</v>
      </c>
      <c r="DG94" s="23">
        <f>EXP(-LN(2)/25)*DG93+(1-EXP(-LN(2)/25))/(LN(2)/25)*Calculateur!DB94*Calculateur!DD94*VLOOKUP('Données projet'!$B$13,Paramètres!$A$1:$I$89,3,0)*0.475*44/12</f>
        <v>0.67882287520678652</v>
      </c>
      <c r="DH94" s="23">
        <f>EXP(-LN(2)/2)*DH93+(1-EXP(-LN(2)/2))/(LN(2)/2)*DB94*DE94*VLOOKUP('Données projet'!$B$13,Paramètres!$A$1:$I$89,3,0)*0.475*44/12</f>
        <v>4.4588396605543438E-10</v>
      </c>
      <c r="DI94" s="24">
        <f t="shared" si="69"/>
        <v>1.1714923644010697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67.20302402642676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2.75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10.083333333333334</v>
      </c>
      <c r="H95" s="70">
        <f t="shared" si="56"/>
        <v>216.33333333333334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3.8</v>
      </c>
      <c r="N95" s="14">
        <f>IF('Données projet'!$A$36&gt;35,N94+M95-V94,IF(A95&lt;'Données projet'!$A$36,$K$205^A95,IF(A95='Données projet'!$A$36,'Données projet'!$B$36,N94+M95-V94)))</f>
        <v>200.59999999999982</v>
      </c>
      <c r="O95" s="14">
        <f>N95*VLOOKUP('Données projet'!$B$9,Paramètres!$A$1:$I$89,3,0)*VLOOKUP('Données projet'!$B$9,Paramètres!$A$1:$I$89,5,0)</f>
        <v>209.66711999999984</v>
      </c>
      <c r="P95" s="14">
        <f t="shared" si="87"/>
        <v>51.862836328303622</v>
      </c>
      <c r="Q95" s="22">
        <f t="shared" si="54"/>
        <v>455.49800727179513</v>
      </c>
      <c r="R95" s="62">
        <f t="shared" si="55"/>
        <v>738.75367339550667</v>
      </c>
      <c r="S95" s="62">
        <f ca="1">AVERAGE(OFFSET($R$3,0,0,'Données projet'!$E$9+1,1))-AVERAGE(OFFSET($H$3,0,0,'Données projet'!$E$9+1,1))</f>
        <v>338.33619350800484</v>
      </c>
      <c r="T95" s="62">
        <f t="shared" si="88"/>
        <v>173.80539144233424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1.9895196601282805E-13</v>
      </c>
      <c r="AJ95" s="14">
        <f>AI95*VLOOKUP('Données projet'!$B$10,Paramètres!$A$1:$I$89,3,0)*VLOOKUP('Données projet'!$B$10,Paramètres!$A$1:$I$89,5,0)</f>
        <v>1.8001173884840681E-13</v>
      </c>
      <c r="AK95" s="14">
        <f t="shared" si="89"/>
        <v>2.5254331426407198E-12</v>
      </c>
      <c r="AL95" s="22">
        <f t="shared" si="58"/>
        <v>4.7119831685935622E-12</v>
      </c>
      <c r="AM95" s="62">
        <f t="shared" si="59"/>
        <v>283.2556661237162</v>
      </c>
      <c r="AN95" s="62">
        <f ca="1">AVERAGE(OFFSET($AM$3,0,0,'Données projet'!$E$10+1,1))-AVERAGE(OFFSET($H$3,0,0,'Données projet'!$E$10+1,1))</f>
        <v>308.01218908312546</v>
      </c>
      <c r="AO95" s="62">
        <f t="shared" si="90"/>
        <v>433.94915035190684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1.2944307607899845</v>
      </c>
      <c r="AV95" s="23">
        <f>EXP(-LN(2)/25)*AV94+(1-EXP(-LN(2)/25))/(LN(2)/25)*Calculateur!AQ95*Calculateur!AS95*VLOOKUP('Données projet'!$B$10,Paramètres!$A$1:$I$89,3,0)*0.475*44/12</f>
        <v>1.3999317228217887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2.6943624836117732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3.8</v>
      </c>
      <c r="BD95" s="13">
        <f>IF('Données projet'!$A$88&gt;35,BD94+BC95-BL94,IF(A95&lt;'Données projet'!$A$88,$BA$205^A95,IF(A95='Données projet'!$A$88,'Données projet'!$B$88,BD94+BC95-BL94)))</f>
        <v>200.59999999999982</v>
      </c>
      <c r="BE95" s="14">
        <f>BD95*VLOOKUP('Données projet'!$B$11,Paramètres!$A$1:$I$89,3,0)*VLOOKUP('Données projet'!$B$11,Paramètres!$A$1:$I$89,5,0)</f>
        <v>203.40839999999986</v>
      </c>
      <c r="BF95" s="14">
        <f t="shared" si="91"/>
        <v>50.492492598976959</v>
      </c>
      <c r="BG95" s="22">
        <f t="shared" si="61"/>
        <v>442.21072127655128</v>
      </c>
      <c r="BH95" s="62">
        <f t="shared" si="62"/>
        <v>725.46638740026276</v>
      </c>
      <c r="BI95" s="62">
        <f ca="1">AVERAGE(OFFSET($BH$3,0,0,'Données projet'!$E$11+1,1))-AVERAGE(OFFSET($H$3,0,0,'Données projet'!$E$11+1,1))</f>
        <v>329.96352570744875</v>
      </c>
      <c r="BJ95" s="62">
        <f t="shared" si="92"/>
        <v>170.12252063636961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8.3000000000000007</v>
      </c>
      <c r="BY95" s="13">
        <f>IF('Données projet'!$A$114&gt;35,BY94+BX95-CG94,IF(A95&lt;'Données projet'!$A$114,$BV$205^A95,IF(A95='Données projet'!$A$114,'Données projet'!$B$114,BY94+BX95-CG94)))</f>
        <v>308.60000000000002</v>
      </c>
      <c r="BZ95" s="14">
        <f>BY95*VLOOKUP('Données projet'!$B$12,Paramètres!$A$1:$I$89,3,0)*VLOOKUP('Données projet'!$B$12,Paramètres!$A$1:$I$89,5,0)</f>
        <v>144.4248</v>
      </c>
      <c r="CA95" s="14">
        <f t="shared" si="93"/>
        <v>37.308822031923654</v>
      </c>
      <c r="CB95" s="22">
        <f t="shared" si="64"/>
        <v>316.51939170560036</v>
      </c>
      <c r="CC95" s="62">
        <f t="shared" si="65"/>
        <v>599.77505782931189</v>
      </c>
      <c r="CD95" s="62">
        <f ca="1">AVERAGE(OFFSET($CC$3,0,0,'Données projet'!$E$12+1,1))-AVERAGE(OFFSET($H$3,0,0,'Données projet'!$E$12+1,1))</f>
        <v>276.21705775006376</v>
      </c>
      <c r="CE95" s="62">
        <f t="shared" si="94"/>
        <v>234.24947280606958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376.32432344617206</v>
      </c>
      <c r="CZ95" s="62">
        <f t="shared" si="96"/>
        <v>302.77411534670466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0.48300854057275955</v>
      </c>
      <c r="DG95" s="23">
        <f>EXP(-LN(2)/25)*DG94+(1-EXP(-LN(2)/25))/(LN(2)/25)*Calculateur!DB95*Calculateur!DD95*VLOOKUP('Données projet'!$B$13,Paramètres!$A$1:$I$89,3,0)*0.475*44/12</f>
        <v>0.66026042798651341</v>
      </c>
      <c r="DH95" s="23">
        <f>EXP(-LN(2)/2)*DH94+(1-EXP(-LN(2)/2))/(LN(2)/2)*DB95*DE95*VLOOKUP('Données projet'!$B$13,Paramètres!$A$1:$I$89,3,0)*0.475*44/12</f>
        <v>3.1528757602015002E-10</v>
      </c>
      <c r="DI95" s="24">
        <f t="shared" si="69"/>
        <v>1.1432689688745605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67.251545306466767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2.75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10.083333333333334</v>
      </c>
      <c r="H96" s="70">
        <f t="shared" si="56"/>
        <v>216.33333333333334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3.8</v>
      </c>
      <c r="N96" s="14">
        <f>IF('Données projet'!$A$36&gt;35,N95+M96-V95,IF(A96&lt;'Données projet'!$A$36,$K$205^A96,IF(A96='Données projet'!$A$36,'Données projet'!$B$36,N95+M96-V95)))</f>
        <v>204.39999999999984</v>
      </c>
      <c r="O96" s="14">
        <f>N96*VLOOKUP('Données projet'!$B$9,Paramètres!$A$1:$I$89,3,0)*VLOOKUP('Données projet'!$B$9,Paramètres!$A$1:$I$89,5,0)</f>
        <v>213.63887999999983</v>
      </c>
      <c r="P96" s="14">
        <f t="shared" si="87"/>
        <v>52.729975717788072</v>
      </c>
      <c r="Q96" s="22">
        <f t="shared" si="54"/>
        <v>463.92575704181382</v>
      </c>
      <c r="R96" s="62">
        <f t="shared" si="55"/>
        <v>747.35624816132361</v>
      </c>
      <c r="S96" s="62">
        <f ca="1">AVERAGE(OFFSET($R$3,0,0,'Données projet'!$E$9+1,1))-AVERAGE(OFFSET($H$3,0,0,'Données projet'!$E$9+1,1))</f>
        <v>338.33619350800484</v>
      </c>
      <c r="T96" s="62">
        <f t="shared" si="88"/>
        <v>173.80539144233424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1.9895196601282805E-13</v>
      </c>
      <c r="AJ96" s="14">
        <f>AI96*VLOOKUP('Données projet'!$B$10,Paramètres!$A$1:$I$89,3,0)*VLOOKUP('Données projet'!$B$10,Paramètres!$A$1:$I$89,5,0)</f>
        <v>1.8001173884840681E-13</v>
      </c>
      <c r="AK96" s="14">
        <f t="shared" si="89"/>
        <v>2.5254331426407198E-12</v>
      </c>
      <c r="AL96" s="22">
        <f t="shared" si="58"/>
        <v>4.7119831685935622E-12</v>
      </c>
      <c r="AM96" s="62">
        <f t="shared" si="59"/>
        <v>283.4304911195145</v>
      </c>
      <c r="AN96" s="62">
        <f ca="1">AVERAGE(OFFSET($AM$3,0,0,'Données projet'!$E$10+1,1))-AVERAGE(OFFSET($H$3,0,0,'Données projet'!$E$10+1,1))</f>
        <v>308.01218908312546</v>
      </c>
      <c r="AO96" s="62">
        <f t="shared" si="90"/>
        <v>433.94915035190684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1.269047763095698</v>
      </c>
      <c r="AV96" s="23">
        <f>EXP(-LN(2)/25)*AV95+(1-EXP(-LN(2)/25))/(LN(2)/25)*Calculateur!AQ96*Calculateur!AS96*VLOOKUP('Données projet'!$B$10,Paramètres!$A$1:$I$89,3,0)*0.475*44/12</f>
        <v>1.3616505162420172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2.6306982793377154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3.8</v>
      </c>
      <c r="BD96" s="13">
        <f>IF('Données projet'!$A$88&gt;35,BD95+BC96-BL95,IF(A96&lt;'Données projet'!$A$88,$BA$205^A96,IF(A96='Données projet'!$A$88,'Données projet'!$B$88,BD95+BC96-BL95)))</f>
        <v>204.39999999999984</v>
      </c>
      <c r="BE96" s="14">
        <f>BD96*VLOOKUP('Données projet'!$B$11,Paramètres!$A$1:$I$89,3,0)*VLOOKUP('Données projet'!$B$11,Paramètres!$A$1:$I$89,5,0)</f>
        <v>207.26159999999985</v>
      </c>
      <c r="BF96" s="14">
        <f t="shared" si="91"/>
        <v>51.3367200324452</v>
      </c>
      <c r="BG96" s="22">
        <f t="shared" si="61"/>
        <v>450.39207405650836</v>
      </c>
      <c r="BH96" s="62">
        <f t="shared" si="62"/>
        <v>733.82256517601809</v>
      </c>
      <c r="BI96" s="62">
        <f ca="1">AVERAGE(OFFSET($BH$3,0,0,'Données projet'!$E$11+1,1))-AVERAGE(OFFSET($H$3,0,0,'Données projet'!$E$11+1,1))</f>
        <v>329.96352570744875</v>
      </c>
      <c r="BJ96" s="62">
        <f t="shared" si="92"/>
        <v>170.12252063636961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8.3000000000000007</v>
      </c>
      <c r="BY96" s="13">
        <f>IF('Données projet'!$A$114&gt;35,BY95+BX96-CG95,IF(A96&lt;'Données projet'!$A$114,$BV$205^A96,IF(A96='Données projet'!$A$114,'Données projet'!$B$114,BY95+BX96-CG95)))</f>
        <v>316.90000000000003</v>
      </c>
      <c r="BZ96" s="14">
        <f>BY96*VLOOKUP('Données projet'!$B$12,Paramètres!$A$1:$I$89,3,0)*VLOOKUP('Données projet'!$B$12,Paramètres!$A$1:$I$89,5,0)</f>
        <v>148.3092</v>
      </c>
      <c r="CA96" s="14">
        <f t="shared" si="93"/>
        <v>38.194092116566551</v>
      </c>
      <c r="CB96" s="22">
        <f t="shared" si="64"/>
        <v>324.82656710302007</v>
      </c>
      <c r="CC96" s="62">
        <f t="shared" si="65"/>
        <v>608.25705822252985</v>
      </c>
      <c r="CD96" s="62">
        <f ca="1">AVERAGE(OFFSET($CC$3,0,0,'Données projet'!$E$12+1,1))-AVERAGE(OFFSET($H$3,0,0,'Données projet'!$E$12+1,1))</f>
        <v>276.21705775006376</v>
      </c>
      <c r="CE96" s="62">
        <f t="shared" si="94"/>
        <v>234.24947280606958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376.32432344617206</v>
      </c>
      <c r="CZ96" s="62">
        <f t="shared" si="96"/>
        <v>302.77411534670466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0.47353703769824756</v>
      </c>
      <c r="DG96" s="23">
        <f>EXP(-LN(2)/25)*DG95+(1-EXP(-LN(2)/25))/(LN(2)/25)*Calculateur!DB96*Calculateur!DD96*VLOOKUP('Données projet'!$B$13,Paramètres!$A$1:$I$89,3,0)*0.475*44/12</f>
        <v>0.64220557186163529</v>
      </c>
      <c r="DH96" s="23">
        <f>EXP(-LN(2)/2)*DH95+(1-EXP(-LN(2)/2))/(LN(2)/2)*DB96*DE96*VLOOKUP('Données projet'!$B$13,Paramètres!$A$1:$I$89,3,0)*0.475*44/12</f>
        <v>2.2294198302771719E-10</v>
      </c>
      <c r="DI96" s="24">
        <f t="shared" si="69"/>
        <v>1.1157426097828247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67.299224850775403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2.75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10.083333333333334</v>
      </c>
      <c r="H97" s="70">
        <f t="shared" si="56"/>
        <v>216.33333333333334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3.8</v>
      </c>
      <c r="N97" s="14">
        <f>IF('Données projet'!$A$36&gt;35,N96+M97-V96,IF(A97&lt;'Données projet'!$A$36,$K$205^A97,IF(A97='Données projet'!$A$36,'Données projet'!$B$36,N96+M97-V96)))</f>
        <v>208.19999999999985</v>
      </c>
      <c r="O97" s="14">
        <f>N97*VLOOKUP('Données projet'!$B$9,Paramètres!$A$1:$I$89,3,0)*VLOOKUP('Données projet'!$B$9,Paramètres!$A$1:$I$89,5,0)</f>
        <v>217.61063999999988</v>
      </c>
      <c r="P97" s="14">
        <f t="shared" si="87"/>
        <v>53.595240539151249</v>
      </c>
      <c r="Q97" s="22">
        <f t="shared" si="54"/>
        <v>472.35024193902149</v>
      </c>
      <c r="R97" s="62">
        <f t="shared" si="55"/>
        <v>755.9525252315027</v>
      </c>
      <c r="S97" s="62">
        <f ca="1">AVERAGE(OFFSET($R$3,0,0,'Données projet'!$E$9+1,1))-AVERAGE(OFFSET($H$3,0,0,'Données projet'!$E$9+1,1))</f>
        <v>338.33619350800484</v>
      </c>
      <c r="T97" s="62">
        <f t="shared" si="88"/>
        <v>173.80539144233424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1.9895196601282805E-13</v>
      </c>
      <c r="AJ97" s="14">
        <f>AI97*VLOOKUP('Données projet'!$B$10,Paramètres!$A$1:$I$89,3,0)*VLOOKUP('Données projet'!$B$10,Paramètres!$A$1:$I$89,5,0)</f>
        <v>1.8001173884840681E-13</v>
      </c>
      <c r="AK97" s="14">
        <f t="shared" si="89"/>
        <v>2.5254331426407198E-12</v>
      </c>
      <c r="AL97" s="22">
        <f t="shared" si="58"/>
        <v>4.7119831685935622E-12</v>
      </c>
      <c r="AM97" s="62">
        <f t="shared" si="59"/>
        <v>283.60228329248588</v>
      </c>
      <c r="AN97" s="62">
        <f ca="1">AVERAGE(OFFSET($AM$3,0,0,'Données projet'!$E$10+1,1))-AVERAGE(OFFSET($H$3,0,0,'Données projet'!$E$10+1,1))</f>
        <v>308.01218908312546</v>
      </c>
      <c r="AO97" s="62">
        <f t="shared" si="90"/>
        <v>433.94915035190684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1.2441625105040965</v>
      </c>
      <c r="AV97" s="23">
        <f>EXP(-LN(2)/25)*AV96+(1-EXP(-LN(2)/25))/(LN(2)/25)*Calculateur!AQ97*Calculateur!AS97*VLOOKUP('Données projet'!$B$10,Paramètres!$A$1:$I$89,3,0)*0.475*44/12</f>
        <v>1.3244161112692907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2.568578621773387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3.8</v>
      </c>
      <c r="BD97" s="13">
        <f>IF('Données projet'!$A$88&gt;35,BD96+BC97-BL96,IF(A97&lt;'Données projet'!$A$88,$BA$205^A97,IF(A97='Données projet'!$A$88,'Données projet'!$B$88,BD96+BC97-BL96)))</f>
        <v>208.19999999999985</v>
      </c>
      <c r="BE97" s="14">
        <f>BD97*VLOOKUP('Données projet'!$B$11,Paramètres!$A$1:$I$89,3,0)*VLOOKUP('Données projet'!$B$11,Paramètres!$A$1:$I$89,5,0)</f>
        <v>211.11479999999986</v>
      </c>
      <c r="BF97" s="14">
        <f t="shared" si="91"/>
        <v>52.179122428493628</v>
      </c>
      <c r="BG97" s="22">
        <f t="shared" si="61"/>
        <v>458.57024822962609</v>
      </c>
      <c r="BH97" s="62">
        <f t="shared" si="62"/>
        <v>742.17253152210719</v>
      </c>
      <c r="BI97" s="62">
        <f ca="1">AVERAGE(OFFSET($BH$3,0,0,'Données projet'!$E$11+1,1))-AVERAGE(OFFSET($H$3,0,0,'Données projet'!$E$11+1,1))</f>
        <v>329.96352570744875</v>
      </c>
      <c r="BJ97" s="62">
        <f t="shared" si="92"/>
        <v>170.12252063636961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8.3000000000000007</v>
      </c>
      <c r="BY97" s="13">
        <f>IF('Données projet'!$A$114&gt;35,BY96+BX97-CG96,IF(A97&lt;'Données projet'!$A$114,$BV$205^A97,IF(A97='Données projet'!$A$114,'Données projet'!$B$114,BY96+BX97-CG96)))</f>
        <v>325.20000000000005</v>
      </c>
      <c r="BZ97" s="14">
        <f>BY97*VLOOKUP('Données projet'!$B$12,Paramètres!$A$1:$I$89,3,0)*VLOOKUP('Données projet'!$B$12,Paramètres!$A$1:$I$89,5,0)</f>
        <v>152.19360000000003</v>
      </c>
      <c r="CA97" s="14">
        <f t="shared" si="93"/>
        <v>39.076667098894909</v>
      </c>
      <c r="CB97" s="22">
        <f t="shared" si="64"/>
        <v>333.1290485305754</v>
      </c>
      <c r="CC97" s="62">
        <f t="shared" si="65"/>
        <v>616.73133182305651</v>
      </c>
      <c r="CD97" s="62">
        <f ca="1">AVERAGE(OFFSET($CC$3,0,0,'Données projet'!$E$12+1,1))-AVERAGE(OFFSET($H$3,0,0,'Données projet'!$E$12+1,1))</f>
        <v>276.21705775006376</v>
      </c>
      <c r="CE97" s="62">
        <f t="shared" si="94"/>
        <v>234.24947280606958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376.32432344617206</v>
      </c>
      <c r="CZ97" s="62">
        <f t="shared" si="96"/>
        <v>302.77411534670466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0.46425126521805843</v>
      </c>
      <c r="DG97" s="23">
        <f>EXP(-LN(2)/25)*DG96+(1-EXP(-LN(2)/25))/(LN(2)/25)*Calculateur!DB97*Calculateur!DD97*VLOOKUP('Données projet'!$B$13,Paramètres!$A$1:$I$89,3,0)*0.475*44/12</f>
        <v>0.62464442672695564</v>
      </c>
      <c r="DH97" s="23">
        <f>EXP(-LN(2)/2)*DH96+(1-EXP(-LN(2)/2))/(LN(2)/2)*DB97*DE97*VLOOKUP('Données projet'!$B$13,Paramètres!$A$1:$I$89,3,0)*0.475*44/12</f>
        <v>1.5764378801007501E-10</v>
      </c>
      <c r="DI97" s="24">
        <f t="shared" si="69"/>
        <v>1.088895692102658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67.346077261585776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2.75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10.083333333333334</v>
      </c>
      <c r="H98" s="70">
        <f t="shared" si="56"/>
        <v>216.33333333333334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212</v>
      </c>
      <c r="L98" s="13">
        <f>VLOOKUP(A98,'Données projet'!$A$35:$I$55,9,0)</f>
        <v>3.8</v>
      </c>
      <c r="M98" s="13">
        <f t="array" ref="M98">INDEX(L:L,MIN(IF(ISNUMBER(L98:L294),ROW(L98:L294),"")))</f>
        <v>3.8</v>
      </c>
      <c r="N98" s="14">
        <f>IF('Données projet'!$A$36&gt;35,N97+M98-V97,IF(A98&lt;'Données projet'!$A$36,$K$205^A98,IF(A98='Données projet'!$A$36,'Données projet'!$B$36,N97+M98-V97)))</f>
        <v>211.99999999999986</v>
      </c>
      <c r="O98" s="14">
        <f>N98*VLOOKUP('Données projet'!$B$9,Paramètres!$A$1:$I$89,3,0)*VLOOKUP('Données projet'!$B$9,Paramètres!$A$1:$I$89,5,0)</f>
        <v>221.58239999999986</v>
      </c>
      <c r="P98" s="14">
        <f t="shared" si="87"/>
        <v>54.458668952651529</v>
      </c>
      <c r="Q98" s="22">
        <f t="shared" si="54"/>
        <v>480.77152842586787</v>
      </c>
      <c r="R98" s="62">
        <f t="shared" si="55"/>
        <v>764.54262368118918</v>
      </c>
      <c r="S98" s="62">
        <f ca="1">AVERAGE(OFFSET($R$3,0,0,'Données projet'!$E$9+1,1))-AVERAGE(OFFSET($H$3,0,0,'Données projet'!$E$9+1,1))</f>
        <v>338.33619350800484</v>
      </c>
      <c r="T98" s="62">
        <f t="shared" si="88"/>
        <v>173.80539144233424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14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1.9895196601282805E-13</v>
      </c>
      <c r="AJ98" s="14">
        <f>AI98*VLOOKUP('Données projet'!$B$10,Paramètres!$A$1:$I$89,3,0)*VLOOKUP('Données projet'!$B$10,Paramètres!$A$1:$I$89,5,0)</f>
        <v>1.8001173884840681E-13</v>
      </c>
      <c r="AK98" s="14">
        <f t="shared" si="89"/>
        <v>2.5254331426407198E-12</v>
      </c>
      <c r="AL98" s="22">
        <f t="shared" si="58"/>
        <v>4.7119831685935622E-12</v>
      </c>
      <c r="AM98" s="62">
        <f t="shared" si="59"/>
        <v>283.77109525532603</v>
      </c>
      <c r="AN98" s="62">
        <f ca="1">AVERAGE(OFFSET($AM$3,0,0,'Données projet'!$E$10+1,1))-AVERAGE(OFFSET($H$3,0,0,'Données projet'!$E$10+1,1))</f>
        <v>308.01218908312546</v>
      </c>
      <c r="AO98" s="62">
        <f t="shared" si="90"/>
        <v>433.94915035190684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1.2197652425373109</v>
      </c>
      <c r="AV98" s="23">
        <f>EXP(-LN(2)/25)*AV97+(1-EXP(-LN(2)/25))/(LN(2)/25)*Calculateur!AQ98*Calculateur!AS98*VLOOKUP('Données projet'!$B$10,Paramètres!$A$1:$I$89,3,0)*0.475*44/12</f>
        <v>1.2881998830586157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2.5079651255959265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212</v>
      </c>
      <c r="BB98" s="13">
        <f>VLOOKUP(A98,'Données projet'!$A$87:$I$107,9,0)</f>
        <v>3.8</v>
      </c>
      <c r="BC98" s="13">
        <f t="array" ref="BC98">INDEX(BB:BB,MIN(IF(ISNUMBER(BB98:BB294),ROW(BB98:BB294),"")))</f>
        <v>3.8</v>
      </c>
      <c r="BD98" s="13">
        <f>IF('Données projet'!$A$88&gt;35,BD97+BC98-BL97,IF(A98&lt;'Données projet'!$A$88,$BA$205^A98,IF(A98='Données projet'!$A$88,'Données projet'!$B$88,BD97+BC98-BL97)))</f>
        <v>211.99999999999986</v>
      </c>
      <c r="BE98" s="14">
        <f>BD98*VLOOKUP('Données projet'!$B$11,Paramètres!$A$1:$I$89,3,0)*VLOOKUP('Données projet'!$B$11,Paramètres!$A$1:$I$89,5,0)</f>
        <v>214.9679999999999</v>
      </c>
      <c r="BF98" s="14">
        <f t="shared" si="91"/>
        <v>53.019736939092994</v>
      </c>
      <c r="BG98" s="22">
        <f t="shared" si="61"/>
        <v>466.74530850225341</v>
      </c>
      <c r="BH98" s="62">
        <f t="shared" si="62"/>
        <v>750.51640375757472</v>
      </c>
      <c r="BI98" s="62">
        <f ca="1">AVERAGE(OFFSET($BH$3,0,0,'Données projet'!$E$11+1,1))-AVERAGE(OFFSET($H$3,0,0,'Données projet'!$E$11+1,1))</f>
        <v>329.96352570744875</v>
      </c>
      <c r="BJ98" s="62">
        <f t="shared" si="92"/>
        <v>170.12252063636961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8.3000000000000007</v>
      </c>
      <c r="BY98" s="13">
        <f>IF('Données projet'!$A$114&gt;35,BY97+BX98-CG97,IF(A98&lt;'Données projet'!$A$114,$BV$205^A98,IF(A98='Données projet'!$A$114,'Données projet'!$B$114,BY97+BX98-CG97)))</f>
        <v>333.50000000000006</v>
      </c>
      <c r="BZ98" s="14">
        <f>BY98*VLOOKUP('Données projet'!$B$12,Paramètres!$A$1:$I$89,3,0)*VLOOKUP('Données projet'!$B$12,Paramètres!$A$1:$I$89,5,0)</f>
        <v>156.07800000000003</v>
      </c>
      <c r="CA98" s="14">
        <f t="shared" si="93"/>
        <v>39.956623674978466</v>
      </c>
      <c r="CB98" s="22">
        <f t="shared" si="64"/>
        <v>341.42696956725422</v>
      </c>
      <c r="CC98" s="62">
        <f t="shared" si="65"/>
        <v>625.19806482257559</v>
      </c>
      <c r="CD98" s="62">
        <f ca="1">AVERAGE(OFFSET($CC$3,0,0,'Données projet'!$E$12+1,1))-AVERAGE(OFFSET($H$3,0,0,'Données projet'!$E$12+1,1))</f>
        <v>276.21705775006376</v>
      </c>
      <c r="CE98" s="62">
        <f t="shared" si="94"/>
        <v>234.24947280606958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376.32432344617206</v>
      </c>
      <c r="CZ98" s="62">
        <f t="shared" si="96"/>
        <v>302.77411534670466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0.45514758107244385</v>
      </c>
      <c r="DG98" s="23">
        <f>EXP(-LN(2)/25)*DG97+(1-EXP(-LN(2)/25))/(LN(2)/25)*Calculateur!DB98*Calculateur!DD98*VLOOKUP('Données projet'!$B$13,Paramètres!$A$1:$I$89,3,0)*0.475*44/12</f>
        <v>0.60756349202948423</v>
      </c>
      <c r="DH98" s="23">
        <f>EXP(-LN(2)/2)*DH97+(1-EXP(-LN(2)/2))/(LN(2)/2)*DB98*DE98*VLOOKUP('Données projet'!$B$13,Paramètres!$A$1:$I$89,3,0)*0.475*44/12</f>
        <v>1.1147099151385859E-10</v>
      </c>
      <c r="DI98" s="24">
        <f t="shared" si="69"/>
        <v>1.0627110732133991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67.392116887814893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2.75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10.083333333333334</v>
      </c>
      <c r="H99" s="70">
        <f t="shared" si="56"/>
        <v>216.33333333333334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3.6</v>
      </c>
      <c r="N99" s="14">
        <f>IF('Données projet'!$A$36&gt;35,N98+M99-V98,IF(A99&lt;'Données projet'!$A$36,$K$205^A99,IF(A99='Données projet'!$A$36,'Données projet'!$B$36,N98+M99-V98)))</f>
        <v>201.59999999999985</v>
      </c>
      <c r="O99" s="14">
        <f>N99*VLOOKUP('Données projet'!$B$9,Paramètres!$A$1:$I$89,3,0)*VLOOKUP('Données projet'!$B$9,Paramètres!$A$1:$I$89,5,0)</f>
        <v>210.71231999999989</v>
      </c>
      <c r="P99" s="14">
        <f t="shared" si="87"/>
        <v>52.091214849236422</v>
      </c>
      <c r="Q99" s="22">
        <f t="shared" ref="Q99:Q130" si="107">(O99+P99)*0.475*44/12</f>
        <v>457.71615652908662</v>
      </c>
      <c r="R99" s="62">
        <f t="shared" si="55"/>
        <v>741.65313523709972</v>
      </c>
      <c r="S99" s="62">
        <f ca="1">AVERAGE(OFFSET($R$3,0,0,'Données projet'!$E$9+1,1))-AVERAGE(OFFSET($H$3,0,0,'Données projet'!$E$9+1,1))</f>
        <v>338.33619350800484</v>
      </c>
      <c r="T99" s="62">
        <f t="shared" si="88"/>
        <v>173.80539144233424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1.9895196601282805E-13</v>
      </c>
      <c r="AJ99" s="14">
        <f>AI99*VLOOKUP('Données projet'!$B$10,Paramètres!$A$1:$I$89,3,0)*VLOOKUP('Données projet'!$B$10,Paramètres!$A$1:$I$89,5,0)</f>
        <v>1.8001173884840681E-13</v>
      </c>
      <c r="AK99" s="14">
        <f t="shared" si="89"/>
        <v>2.5254331426407198E-12</v>
      </c>
      <c r="AL99" s="22">
        <f t="shared" si="58"/>
        <v>4.7119831685935622E-12</v>
      </c>
      <c r="AM99" s="62">
        <f t="shared" si="59"/>
        <v>283.93697870801782</v>
      </c>
      <c r="AN99" s="62">
        <f ca="1">AVERAGE(OFFSET($AM$3,0,0,'Données projet'!$E$10+1,1))-AVERAGE(OFFSET($H$3,0,0,'Données projet'!$E$10+1,1))</f>
        <v>308.01218908312546</v>
      </c>
      <c r="AO99" s="62">
        <f t="shared" si="90"/>
        <v>433.94915035190684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1.19584639011449</v>
      </c>
      <c r="AV99" s="23">
        <f>EXP(-LN(2)/25)*AV98+(1-EXP(-LN(2)/25))/(LN(2)/25)*Calculateur!AQ99*Calculateur!AS99*VLOOKUP('Données projet'!$B$10,Paramètres!$A$1:$I$89,3,0)*0.475*44/12</f>
        <v>1.2529739895128902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2.4488203796273802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3.6</v>
      </c>
      <c r="BD99" s="13">
        <f>IF('Données projet'!$A$88&gt;35,BD98+BC99-BL98,IF(A99&lt;'Données projet'!$A$88,$BA$205^A99,IF(A99='Données projet'!$A$88,'Données projet'!$B$88,BD98+BC99-BL98)))</f>
        <v>201.59999999999985</v>
      </c>
      <c r="BE99" s="14">
        <f>BD99*VLOOKUP('Données projet'!$B$11,Paramètres!$A$1:$I$89,3,0)*VLOOKUP('Données projet'!$B$11,Paramètres!$A$1:$I$89,5,0)</f>
        <v>204.42239999999987</v>
      </c>
      <c r="BF99" s="14">
        <f t="shared" si="91"/>
        <v>50.714836797527262</v>
      </c>
      <c r="BG99" s="22">
        <f t="shared" si="61"/>
        <v>444.36402075569305</v>
      </c>
      <c r="BH99" s="62">
        <f t="shared" si="62"/>
        <v>728.30099946370615</v>
      </c>
      <c r="BI99" s="62">
        <f ca="1">AVERAGE(OFFSET($BH$3,0,0,'Données projet'!$E$11+1,1))-AVERAGE(OFFSET($H$3,0,0,'Données projet'!$E$11+1,1))</f>
        <v>329.96352570744875</v>
      </c>
      <c r="BJ99" s="62">
        <f t="shared" si="92"/>
        <v>170.12252063636961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8.3000000000000007</v>
      </c>
      <c r="BY99" s="13">
        <f>IF('Données projet'!$A$114&gt;35,BY98+BX99-CG98,IF(A99&lt;'Données projet'!$A$114,$BV$205^A99,IF(A99='Données projet'!$A$114,'Données projet'!$B$114,BY98+BX99-CG98)))</f>
        <v>341.80000000000007</v>
      </c>
      <c r="BZ99" s="14">
        <f>BY99*VLOOKUP('Données projet'!$B$12,Paramètres!$A$1:$I$89,3,0)*VLOOKUP('Données projet'!$B$12,Paramètres!$A$1:$I$89,5,0)</f>
        <v>159.96240000000003</v>
      </c>
      <c r="CA99" s="14">
        <f t="shared" si="93"/>
        <v>40.834034505739851</v>
      </c>
      <c r="CB99" s="22">
        <f t="shared" si="64"/>
        <v>349.7204567641636</v>
      </c>
      <c r="CC99" s="62">
        <f t="shared" si="65"/>
        <v>633.65743547217676</v>
      </c>
      <c r="CD99" s="62">
        <f ca="1">AVERAGE(OFFSET($CC$3,0,0,'Données projet'!$E$12+1,1))-AVERAGE(OFFSET($H$3,0,0,'Données projet'!$E$12+1,1))</f>
        <v>276.21705775006376</v>
      </c>
      <c r="CE99" s="62">
        <f t="shared" si="94"/>
        <v>234.24947280606958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376.32432344617206</v>
      </c>
      <c r="CZ99" s="62">
        <f t="shared" si="96"/>
        <v>302.77411534670466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0.44622241462022572</v>
      </c>
      <c r="DG99" s="23">
        <f>EXP(-LN(2)/25)*DG98+(1-EXP(-LN(2)/25))/(LN(2)/25)*Calculateur!DB99*Calculateur!DD99*VLOOKUP('Données projet'!$B$13,Paramètres!$A$1:$I$89,3,0)*0.475*44/12</f>
        <v>0.59094963638956255</v>
      </c>
      <c r="DH99" s="23">
        <f>EXP(-LN(2)/2)*DH98+(1-EXP(-LN(2)/2))/(LN(2)/2)*DB99*DE99*VLOOKUP('Données projet'!$B$13,Paramètres!$A$1:$I$89,3,0)*0.475*44/12</f>
        <v>7.8821894005037504E-11</v>
      </c>
      <c r="DI99" s="24">
        <f t="shared" si="69"/>
        <v>1.0371720510886102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67.437357829458108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2.75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10.083333333333334</v>
      </c>
      <c r="H100" s="70">
        <f t="shared" si="56"/>
        <v>216.33333333333334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3.6</v>
      </c>
      <c r="N100" s="14">
        <f>IF('Données projet'!$A$36&gt;35,N99+M100-V99,IF(A100&lt;'Données projet'!$A$36,$K$205^A100,IF(A100='Données projet'!$A$36,'Données projet'!$B$36,N99+M100-V99)))</f>
        <v>205.19999999999985</v>
      </c>
      <c r="O100" s="14">
        <f>N100*VLOOKUP('Données projet'!$B$9,Paramètres!$A$1:$I$89,3,0)*VLOOKUP('Données projet'!$B$9,Paramètres!$A$1:$I$89,5,0)</f>
        <v>214.47503999999984</v>
      </c>
      <c r="P100" s="14">
        <f t="shared" si="87"/>
        <v>52.912291212091354</v>
      </c>
      <c r="Q100" s="22">
        <f t="shared" si="107"/>
        <v>465.69960186105874</v>
      </c>
      <c r="R100" s="62">
        <f t="shared" si="55"/>
        <v>749.79958631471936</v>
      </c>
      <c r="S100" s="62">
        <f ca="1">AVERAGE(OFFSET($R$3,0,0,'Données projet'!$E$9+1,1))-AVERAGE(OFFSET($H$3,0,0,'Données projet'!$E$9+1,1))</f>
        <v>338.33619350800484</v>
      </c>
      <c r="T100" s="62">
        <f t="shared" si="88"/>
        <v>173.80539144233424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1.9895196601282805E-13</v>
      </c>
      <c r="AJ100" s="14">
        <f>AI100*VLOOKUP('Données projet'!$B$10,Paramètres!$A$1:$I$89,3,0)*VLOOKUP('Données projet'!$B$10,Paramètres!$A$1:$I$89,5,0)</f>
        <v>1.8001173884840681E-13</v>
      </c>
      <c r="AK100" s="14">
        <f t="shared" si="89"/>
        <v>2.5254331426407198E-12</v>
      </c>
      <c r="AL100" s="22">
        <f t="shared" si="58"/>
        <v>4.7119831685935622E-12</v>
      </c>
      <c r="AM100" s="62">
        <f t="shared" si="59"/>
        <v>284.09998445366534</v>
      </c>
      <c r="AN100" s="62">
        <f ca="1">AVERAGE(OFFSET($AM$3,0,0,'Données projet'!$E$10+1,1))-AVERAGE(OFFSET($H$3,0,0,'Données projet'!$E$10+1,1))</f>
        <v>308.01218908312546</v>
      </c>
      <c r="AO100" s="62">
        <f t="shared" si="90"/>
        <v>433.94915035190684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1.1723965717986211</v>
      </c>
      <c r="AV100" s="23">
        <f>EXP(-LN(2)/25)*AV99+(1-EXP(-LN(2)/25))/(LN(2)/25)*Calculateur!AQ100*Calculateur!AS100*VLOOKUP('Données projet'!$B$10,Paramètres!$A$1:$I$89,3,0)*0.475*44/12</f>
        <v>1.2187113498786217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2.3911079216772428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3.6</v>
      </c>
      <c r="BD100" s="13">
        <f>IF('Données projet'!$A$88&gt;35,BD99+BC100-BL99,IF(A100&lt;'Données projet'!$A$88,$BA$205^A100,IF(A100='Données projet'!$A$88,'Données projet'!$B$88,BD99+BC100-BL99)))</f>
        <v>205.19999999999985</v>
      </c>
      <c r="BE100" s="14">
        <f>BD100*VLOOKUP('Données projet'!$B$11,Paramètres!$A$1:$I$89,3,0)*VLOOKUP('Données projet'!$B$11,Paramètres!$A$1:$I$89,5,0)</f>
        <v>208.07279999999986</v>
      </c>
      <c r="BF100" s="14">
        <f t="shared" si="91"/>
        <v>51.514218302854317</v>
      </c>
      <c r="BG100" s="22">
        <f t="shared" si="61"/>
        <v>452.114056877471</v>
      </c>
      <c r="BH100" s="62">
        <f t="shared" si="62"/>
        <v>736.21404133113163</v>
      </c>
      <c r="BI100" s="62">
        <f ca="1">AVERAGE(OFFSET($BH$3,0,0,'Données projet'!$E$11+1,1))-AVERAGE(OFFSET($H$3,0,0,'Données projet'!$E$11+1,1))</f>
        <v>329.96352570744875</v>
      </c>
      <c r="BJ100" s="62">
        <f t="shared" si="92"/>
        <v>170.12252063636961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8.3000000000000007</v>
      </c>
      <c r="BY100" s="13">
        <f>IF('Données projet'!$A$114&gt;35,BY99+BX100-CG99,IF(A100&lt;'Données projet'!$A$114,$BV$205^A100,IF(A100='Données projet'!$A$114,'Données projet'!$B$114,BY99+BX100-CG99)))</f>
        <v>350.10000000000008</v>
      </c>
      <c r="BZ100" s="14">
        <f>BY100*VLOOKUP('Données projet'!$B$12,Paramètres!$A$1:$I$89,3,0)*VLOOKUP('Données projet'!$B$12,Paramètres!$A$1:$I$89,5,0)</f>
        <v>163.84680000000003</v>
      </c>
      <c r="CA100" s="14">
        <f t="shared" si="93"/>
        <v>41.708968522008732</v>
      </c>
      <c r="CB100" s="22">
        <f t="shared" si="64"/>
        <v>358.00963017583189</v>
      </c>
      <c r="CC100" s="62">
        <f t="shared" si="65"/>
        <v>642.10961462949251</v>
      </c>
      <c r="CD100" s="62">
        <f ca="1">AVERAGE(OFFSET($CC$3,0,0,'Données projet'!$E$12+1,1))-AVERAGE(OFFSET($H$3,0,0,'Données projet'!$E$12+1,1))</f>
        <v>276.21705775006376</v>
      </c>
      <c r="CE100" s="62">
        <f t="shared" si="94"/>
        <v>234.24947280606958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376.32432344617206</v>
      </c>
      <c r="CZ100" s="62">
        <f t="shared" si="96"/>
        <v>302.77411534670466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0.43747226523832156</v>
      </c>
      <c r="DG100" s="23">
        <f>EXP(-LN(2)/25)*DG99+(1-EXP(-LN(2)/25))/(LN(2)/25)*Calculateur!DB100*Calculateur!DD100*VLOOKUP('Données projet'!$B$13,Paramètres!$A$1:$I$89,3,0)*0.475*44/12</f>
        <v>0.57479008750579919</v>
      </c>
      <c r="DH100" s="23">
        <f>EXP(-LN(2)/2)*DH99+(1-EXP(-LN(2)/2))/(LN(2)/2)*DB100*DE100*VLOOKUP('Données projet'!$B$13,Paramètres!$A$1:$I$89,3,0)*0.475*44/12</f>
        <v>5.5735495756929297E-11</v>
      </c>
      <c r="DI100" s="24">
        <f t="shared" si="69"/>
        <v>1.0122623527998562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67.481813941907433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2.75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10.083333333333334</v>
      </c>
      <c r="H101" s="70">
        <f t="shared" si="56"/>
        <v>216.33333333333334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3.6</v>
      </c>
      <c r="N101" s="14">
        <f>IF('Données projet'!$A$36&gt;35,N100+M101-V100,IF(A101&lt;'Données projet'!$A$36,$K$205^A101,IF(A101='Données projet'!$A$36,'Données projet'!$B$36,N100+M101-V100)))</f>
        <v>208.79999999999984</v>
      </c>
      <c r="O101" s="14">
        <f>N101*VLOOKUP('Données projet'!$B$9,Paramètres!$A$1:$I$89,3,0)*VLOOKUP('Données projet'!$B$9,Paramètres!$A$1:$I$89,5,0)</f>
        <v>218.23775999999987</v>
      </c>
      <c r="P101" s="14">
        <f t="shared" si="87"/>
        <v>53.731692470599022</v>
      </c>
      <c r="Q101" s="22">
        <f t="shared" si="107"/>
        <v>473.68012971962634</v>
      </c>
      <c r="R101" s="62">
        <f t="shared" si="55"/>
        <v>757.94029213367367</v>
      </c>
      <c r="S101" s="62">
        <f ca="1">AVERAGE(OFFSET($R$3,0,0,'Données projet'!$E$9+1,1))-AVERAGE(OFFSET($H$3,0,0,'Données projet'!$E$9+1,1))</f>
        <v>338.33619350800484</v>
      </c>
      <c r="T101" s="62">
        <f t="shared" si="88"/>
        <v>173.80539144233424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1.9895196601282805E-13</v>
      </c>
      <c r="AJ101" s="14">
        <f>AI101*VLOOKUP('Données projet'!$B$10,Paramètres!$A$1:$I$89,3,0)*VLOOKUP('Données projet'!$B$10,Paramètres!$A$1:$I$89,5,0)</f>
        <v>1.8001173884840681E-13</v>
      </c>
      <c r="AK101" s="14">
        <f t="shared" si="89"/>
        <v>2.5254331426407198E-12</v>
      </c>
      <c r="AL101" s="22">
        <f t="shared" si="58"/>
        <v>4.7119831685935622E-12</v>
      </c>
      <c r="AM101" s="62">
        <f t="shared" si="59"/>
        <v>284.26016241405199</v>
      </c>
      <c r="AN101" s="62">
        <f ca="1">AVERAGE(OFFSET($AM$3,0,0,'Données projet'!$E$10+1,1))-AVERAGE(OFFSET($H$3,0,0,'Données projet'!$E$10+1,1))</f>
        <v>308.01218908312546</v>
      </c>
      <c r="AO101" s="62">
        <f t="shared" si="90"/>
        <v>433.94915035190684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1.1494065901169495</v>
      </c>
      <c r="AV101" s="23">
        <f>EXP(-LN(2)/25)*AV100+(1-EXP(-LN(2)/25))/(LN(2)/25)*Calculateur!AQ101*Calculateur!AS101*VLOOKUP('Données projet'!$B$10,Paramètres!$A$1:$I$89,3,0)*0.475*44/12</f>
        <v>1.1853856239269462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2.3347922140438957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3.6</v>
      </c>
      <c r="BD101" s="13">
        <f>IF('Données projet'!$A$88&gt;35,BD100+BC101-BL100,IF(A101&lt;'Données projet'!$A$88,$BA$205^A101,IF(A101='Données projet'!$A$88,'Données projet'!$B$88,BD100+BC101-BL100)))</f>
        <v>208.79999999999984</v>
      </c>
      <c r="BE101" s="14">
        <f>BD101*VLOOKUP('Données projet'!$B$11,Paramètres!$A$1:$I$89,3,0)*VLOOKUP('Données projet'!$B$11,Paramètres!$A$1:$I$89,5,0)</f>
        <v>211.72319999999988</v>
      </c>
      <c r="BF101" s="14">
        <f t="shared" si="91"/>
        <v>52.311968964212028</v>
      </c>
      <c r="BG101" s="22">
        <f t="shared" si="61"/>
        <v>459.86125261266903</v>
      </c>
      <c r="BH101" s="62">
        <f t="shared" si="62"/>
        <v>744.12141502671625</v>
      </c>
      <c r="BI101" s="62">
        <f ca="1">AVERAGE(OFFSET($BH$3,0,0,'Données projet'!$E$11+1,1))-AVERAGE(OFFSET($H$3,0,0,'Données projet'!$E$11+1,1))</f>
        <v>329.96352570744875</v>
      </c>
      <c r="BJ101" s="62">
        <f t="shared" si="92"/>
        <v>170.12252063636961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8.3000000000000007</v>
      </c>
      <c r="BY101" s="13">
        <f>IF('Données projet'!$A$114&gt;35,BY100+BX101-CG100,IF(A101&lt;'Données projet'!$A$114,$BV$205^A101,IF(A101='Données projet'!$A$114,'Données projet'!$B$114,BY100+BX101-CG100)))</f>
        <v>358.40000000000009</v>
      </c>
      <c r="BZ101" s="14">
        <f>BY101*VLOOKUP('Données projet'!$B$12,Paramètres!$A$1:$I$89,3,0)*VLOOKUP('Données projet'!$B$12,Paramètres!$A$1:$I$89,5,0)</f>
        <v>167.73120000000006</v>
      </c>
      <c r="CA101" s="14">
        <f t="shared" si="93"/>
        <v>42.581491199832655</v>
      </c>
      <c r="CB101" s="22">
        <f t="shared" si="64"/>
        <v>366.29460383970871</v>
      </c>
      <c r="CC101" s="62">
        <f t="shared" si="65"/>
        <v>650.55476625375604</v>
      </c>
      <c r="CD101" s="62">
        <f ca="1">AVERAGE(OFFSET($CC$3,0,0,'Données projet'!$E$12+1,1))-AVERAGE(OFFSET($H$3,0,0,'Données projet'!$E$12+1,1))</f>
        <v>276.21705775006376</v>
      </c>
      <c r="CE101" s="62">
        <f t="shared" si="94"/>
        <v>234.24947280606958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376.32432344617206</v>
      </c>
      <c r="CZ101" s="62">
        <f t="shared" si="96"/>
        <v>302.77411534670466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0.42889370094873241</v>
      </c>
      <c r="DG101" s="23">
        <f>EXP(-LN(2)/25)*DG100+(1-EXP(-LN(2)/25))/(LN(2)/25)*Calculateur!DB101*Calculateur!DD101*VLOOKUP('Données projet'!$B$13,Paramètres!$A$1:$I$89,3,0)*0.475*44/12</f>
        <v>0.55907242233605614</v>
      </c>
      <c r="DH101" s="23">
        <f>EXP(-LN(2)/2)*DH100+(1-EXP(-LN(2)/2))/(LN(2)/2)*DB101*DE101*VLOOKUP('Données projet'!$B$13,Paramètres!$A$1:$I$89,3,0)*0.475*44/12</f>
        <v>3.9410947002518752E-11</v>
      </c>
      <c r="DI101" s="24">
        <f t="shared" si="69"/>
        <v>0.98796612332419942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67.525498840194714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2.75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10.083333333333334</v>
      </c>
      <c r="H102" s="70">
        <f t="shared" si="56"/>
        <v>216.33333333333334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3.6</v>
      </c>
      <c r="N102" s="14">
        <f>IF('Données projet'!$A$36&gt;35,N101+M102-V101,IF(A102&lt;'Données projet'!$A$36,$K$205^A102,IF(A102='Données projet'!$A$36,'Données projet'!$B$36,N101+M102-V101)))</f>
        <v>212.39999999999984</v>
      </c>
      <c r="O102" s="14">
        <f>N102*VLOOKUP('Données projet'!$B$9,Paramètres!$A$1:$I$89,3,0)*VLOOKUP('Données projet'!$B$9,Paramètres!$A$1:$I$89,5,0)</f>
        <v>222.00047999999987</v>
      </c>
      <c r="P102" s="14">
        <f t="shared" si="87"/>
        <v>54.549450838514574</v>
      </c>
      <c r="Q102" s="22">
        <f t="shared" si="107"/>
        <v>481.6577962104127</v>
      </c>
      <c r="R102" s="62">
        <f t="shared" si="55"/>
        <v>766.07535785533832</v>
      </c>
      <c r="S102" s="62">
        <f ca="1">AVERAGE(OFFSET($R$3,0,0,'Données projet'!$E$9+1,1))-AVERAGE(OFFSET($H$3,0,0,'Données projet'!$E$9+1,1))</f>
        <v>338.33619350800484</v>
      </c>
      <c r="T102" s="62">
        <f t="shared" si="88"/>
        <v>173.80539144233424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1.9895196601282805E-13</v>
      </c>
      <c r="AJ102" s="14">
        <f>AI102*VLOOKUP('Données projet'!$B$10,Paramètres!$A$1:$I$89,3,0)*VLOOKUP('Données projet'!$B$10,Paramètres!$A$1:$I$89,5,0)</f>
        <v>1.8001173884840681E-13</v>
      </c>
      <c r="AK102" s="14">
        <f t="shared" si="89"/>
        <v>2.5254331426407198E-12</v>
      </c>
      <c r="AL102" s="22">
        <f t="shared" si="58"/>
        <v>4.7119831685935622E-12</v>
      </c>
      <c r="AM102" s="62">
        <f t="shared" si="59"/>
        <v>284.41756164493029</v>
      </c>
      <c r="AN102" s="62">
        <f ca="1">AVERAGE(OFFSET($AM$3,0,0,'Données projet'!$E$10+1,1))-AVERAGE(OFFSET($H$3,0,0,'Données projet'!$E$10+1,1))</f>
        <v>308.01218908312546</v>
      </c>
      <c r="AO102" s="62">
        <f t="shared" si="90"/>
        <v>433.94915035190684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1.1268674279535513</v>
      </c>
      <c r="AV102" s="23">
        <f>EXP(-LN(2)/25)*AV101+(1-EXP(-LN(2)/25))/(LN(2)/25)*Calculateur!AQ102*Calculateur!AS102*VLOOKUP('Données projet'!$B$10,Paramètres!$A$1:$I$89,3,0)*0.475*44/12</f>
        <v>1.1529711917039431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2.2798386196574945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3.6</v>
      </c>
      <c r="BD102" s="13">
        <f>IF('Données projet'!$A$88&gt;35,BD101+BC102-BL101,IF(A102&lt;'Données projet'!$A$88,$BA$205^A102,IF(A102='Données projet'!$A$88,'Données projet'!$B$88,BD101+BC102-BL101)))</f>
        <v>212.39999999999984</v>
      </c>
      <c r="BE102" s="14">
        <f>BD102*VLOOKUP('Données projet'!$B$11,Paramètres!$A$1:$I$89,3,0)*VLOOKUP('Données projet'!$B$11,Paramètres!$A$1:$I$89,5,0)</f>
        <v>215.37359999999984</v>
      </c>
      <c r="BF102" s="14">
        <f t="shared" si="91"/>
        <v>53.108120144188867</v>
      </c>
      <c r="BG102" s="22">
        <f t="shared" si="61"/>
        <v>467.60566258446198</v>
      </c>
      <c r="BH102" s="62">
        <f t="shared" si="62"/>
        <v>752.02322422938755</v>
      </c>
      <c r="BI102" s="62">
        <f ca="1">AVERAGE(OFFSET($BH$3,0,0,'Données projet'!$E$11+1,1))-AVERAGE(OFFSET($H$3,0,0,'Données projet'!$E$11+1,1))</f>
        <v>329.96352570744875</v>
      </c>
      <c r="BJ102" s="62">
        <f t="shared" si="92"/>
        <v>170.12252063636961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8.3000000000000007</v>
      </c>
      <c r="BY102" s="13">
        <f>IF('Données projet'!$A$114&gt;35,BY101+BX102-CG101,IF(A102&lt;'Données projet'!$A$114,$BV$205^A102,IF(A102='Données projet'!$A$114,'Données projet'!$B$114,BY101+BX102-CG101)))</f>
        <v>366.7000000000001</v>
      </c>
      <c r="BZ102" s="14">
        <f>BY102*VLOOKUP('Données projet'!$B$12,Paramètres!$A$1:$I$89,3,0)*VLOOKUP('Données projet'!$B$12,Paramètres!$A$1:$I$89,5,0)</f>
        <v>171.61560000000006</v>
      </c>
      <c r="CA102" s="14">
        <f t="shared" si="93"/>
        <v>43.45166480956653</v>
      </c>
      <c r="CB102" s="22">
        <f t="shared" si="64"/>
        <v>374.57548620999506</v>
      </c>
      <c r="CC102" s="62">
        <f t="shared" si="65"/>
        <v>658.99304785492063</v>
      </c>
      <c r="CD102" s="62">
        <f ca="1">AVERAGE(OFFSET($CC$3,0,0,'Données projet'!$E$12+1,1))-AVERAGE(OFFSET($H$3,0,0,'Données projet'!$E$12+1,1))</f>
        <v>276.21705775006376</v>
      </c>
      <c r="CE102" s="62">
        <f t="shared" si="94"/>
        <v>234.24947280606958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376.32432344617206</v>
      </c>
      <c r="CZ102" s="62">
        <f t="shared" si="96"/>
        <v>302.77411534670466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0.42048335707245454</v>
      </c>
      <c r="DG102" s="23">
        <f>EXP(-LN(2)/25)*DG101+(1-EXP(-LN(2)/25))/(LN(2)/25)*Calculateur!DB102*Calculateur!DD102*VLOOKUP('Données projet'!$B$13,Paramètres!$A$1:$I$89,3,0)*0.475*44/12</f>
        <v>0.54378455754693578</v>
      </c>
      <c r="DH102" s="23">
        <f>EXP(-LN(2)/2)*DH101+(1-EXP(-LN(2)/2))/(LN(2)/2)*DB102*DE102*VLOOKUP('Données projet'!$B$13,Paramètres!$A$1:$I$89,3,0)*0.475*44/12</f>
        <v>2.7867747878464649E-11</v>
      </c>
      <c r="DI102" s="24">
        <f t="shared" si="69"/>
        <v>0.96426791464725803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67.568425903161511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2.75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10.083333333333334</v>
      </c>
      <c r="H103" s="70">
        <f t="shared" si="56"/>
        <v>216.33333333333334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216</v>
      </c>
      <c r="L103" s="13">
        <f>VLOOKUP(A103,'Données projet'!$A$35:$I$55,9,0)</f>
        <v>3.6</v>
      </c>
      <c r="M103" s="13">
        <f t="array" ref="M103">INDEX(L:L,MIN(IF(ISNUMBER(L103:L299),ROW(L103:L299),"")))</f>
        <v>3.6</v>
      </c>
      <c r="N103" s="14">
        <f>IF('Données projet'!$A$36&gt;35,N102+M103-V102,IF(A103&lt;'Données projet'!$A$36,$K$205^A103,IF(A103='Données projet'!$A$36,'Données projet'!$B$36,N102+M103-V102)))</f>
        <v>215.99999999999983</v>
      </c>
      <c r="O103" s="14">
        <f>N103*VLOOKUP('Données projet'!$B$9,Paramètres!$A$1:$I$89,3,0)*VLOOKUP('Données projet'!$B$9,Paramètres!$A$1:$I$89,5,0)</f>
        <v>225.76319999999984</v>
      </c>
      <c r="P103" s="14">
        <f t="shared" si="87"/>
        <v>55.365597375021352</v>
      </c>
      <c r="Q103" s="22">
        <f t="shared" si="107"/>
        <v>489.63265542816185</v>
      </c>
      <c r="R103" s="62">
        <f t="shared" si="55"/>
        <v>774.20488577920196</v>
      </c>
      <c r="S103" s="62">
        <f ca="1">AVERAGE(OFFSET($R$3,0,0,'Données projet'!$E$9+1,1))-AVERAGE(OFFSET($H$3,0,0,'Données projet'!$E$9+1,1))</f>
        <v>338.33619350800484</v>
      </c>
      <c r="T103" s="62">
        <f t="shared" si="88"/>
        <v>173.80539144233424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13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1.9895196601282805E-13</v>
      </c>
      <c r="AJ103" s="14">
        <f>AI103*VLOOKUP('Données projet'!$B$10,Paramètres!$A$1:$I$89,3,0)*VLOOKUP('Données projet'!$B$10,Paramètres!$A$1:$I$89,5,0)</f>
        <v>1.8001173884840681E-13</v>
      </c>
      <c r="AK103" s="14">
        <f t="shared" si="89"/>
        <v>2.5254331426407198E-12</v>
      </c>
      <c r="AL103" s="22">
        <f t="shared" si="58"/>
        <v>4.7119831685935622E-12</v>
      </c>
      <c r="AM103" s="62">
        <f t="shared" si="59"/>
        <v>284.57223035104477</v>
      </c>
      <c r="AN103" s="62">
        <f ca="1">AVERAGE(OFFSET($AM$3,0,0,'Données projet'!$E$10+1,1))-AVERAGE(OFFSET($H$3,0,0,'Données projet'!$E$10+1,1))</f>
        <v>308.01218908312546</v>
      </c>
      <c r="AO103" s="62">
        <f t="shared" si="90"/>
        <v>433.94915035190684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1.104770245012646</v>
      </c>
      <c r="AV103" s="23">
        <f>EXP(-LN(2)/25)*AV102+(1-EXP(-LN(2)/25))/(LN(2)/25)*Calculateur!AQ103*Calculateur!AS103*VLOOKUP('Données projet'!$B$10,Paramètres!$A$1:$I$89,3,0)*0.475*44/12</f>
        <v>1.1214431338346791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2.2262133788473251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216</v>
      </c>
      <c r="BB103" s="13">
        <f>VLOOKUP(A103,'Données projet'!$A$87:$I$107,9,0)</f>
        <v>3.6</v>
      </c>
      <c r="BC103" s="13">
        <f t="array" ref="BC103">INDEX(BB:BB,MIN(IF(ISNUMBER(BB103:BB299),ROW(BB103:BB299),"")))</f>
        <v>3.6</v>
      </c>
      <c r="BD103" s="13">
        <f>IF('Données projet'!$A$88&gt;35,BD102+BC103-BL102,IF(A103&lt;'Données projet'!$A$88,$BA$205^A103,IF(A103='Données projet'!$A$88,'Données projet'!$B$88,BD102+BC103-BL102)))</f>
        <v>215.99999999999983</v>
      </c>
      <c r="BE103" s="14">
        <f>BD103*VLOOKUP('Données projet'!$B$11,Paramètres!$A$1:$I$89,3,0)*VLOOKUP('Données projet'!$B$11,Paramètres!$A$1:$I$89,5,0)</f>
        <v>219.02399999999983</v>
      </c>
      <c r="BF103" s="14">
        <f t="shared" si="91"/>
        <v>53.902702081308306</v>
      </c>
      <c r="BG103" s="22">
        <f t="shared" si="61"/>
        <v>475.34733945827821</v>
      </c>
      <c r="BH103" s="62">
        <f t="shared" si="62"/>
        <v>759.91956980931832</v>
      </c>
      <c r="BI103" s="62">
        <f ca="1">AVERAGE(OFFSET($BH$3,0,0,'Données projet'!$E$11+1,1))-AVERAGE(OFFSET($H$3,0,0,'Données projet'!$E$11+1,1))</f>
        <v>329.96352570744875</v>
      </c>
      <c r="BJ103" s="62">
        <f t="shared" si="92"/>
        <v>170.12252063636961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13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375</v>
      </c>
      <c r="BW103" s="13">
        <f>VLOOKUP(A103,'Données projet'!$A$113:$I$133,9,0)</f>
        <v>8.3000000000000007</v>
      </c>
      <c r="BX103" s="13">
        <f t="array" ref="BX103">INDEX(BW:BW,MIN(IF(ISNUMBER(BW103:BW299),ROW(BW103:BW299),"")))</f>
        <v>8.3000000000000007</v>
      </c>
      <c r="BY103" s="13">
        <f>IF('Données projet'!$A$114&gt;35,BY102+BX103-CG102,IF(A103&lt;'Données projet'!$A$114,$BV$205^A103,IF(A103='Données projet'!$A$114,'Données projet'!$B$114,BY102+BX103-CG102)))</f>
        <v>375.00000000000011</v>
      </c>
      <c r="BZ103" s="14">
        <f>BY103*VLOOKUP('Données projet'!$B$12,Paramètres!$A$1:$I$89,3,0)*VLOOKUP('Données projet'!$B$12,Paramètres!$A$1:$I$89,5,0)</f>
        <v>175.50000000000006</v>
      </c>
      <c r="CA103" s="14">
        <f t="shared" si="93"/>
        <v>44.319548641773906</v>
      </c>
      <c r="CB103" s="22">
        <f t="shared" si="64"/>
        <v>382.85238055108965</v>
      </c>
      <c r="CC103" s="62">
        <f t="shared" si="65"/>
        <v>667.42461090212964</v>
      </c>
      <c r="CD103" s="62">
        <f ca="1">AVERAGE(OFFSET($CC$3,0,0,'Données projet'!$E$12+1,1))-AVERAGE(OFFSET($H$3,0,0,'Données projet'!$E$12+1,1))</f>
        <v>276.21705775006376</v>
      </c>
      <c r="CE103" s="62">
        <f t="shared" si="94"/>
        <v>234.24947280606958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375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376.32432344617206</v>
      </c>
      <c r="CZ103" s="62">
        <f t="shared" si="96"/>
        <v>302.77411534670466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0.41223793490978727</v>
      </c>
      <c r="DG103" s="23">
        <f>EXP(-LN(2)/25)*DG102+(1-EXP(-LN(2)/25))/(LN(2)/25)*Calculateur!DB103*Calculateur!DD103*VLOOKUP('Données projet'!$B$13,Paramètres!$A$1:$I$89,3,0)*0.475*44/12</f>
        <v>0.52891474022442775</v>
      </c>
      <c r="DH103" s="23">
        <f>EXP(-LN(2)/2)*DH102+(1-EXP(-LN(2)/2))/(LN(2)/2)*DB103*DE103*VLOOKUP('Données projet'!$B$13,Paramètres!$A$1:$I$89,3,0)*0.475*44/12</f>
        <v>1.9705473501259376E-11</v>
      </c>
      <c r="DI103" s="24">
        <f t="shared" si="69"/>
        <v>0.94115267515392043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67.610608277556381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2.75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10.083333333333334</v>
      </c>
      <c r="H104" s="70">
        <f t="shared" si="56"/>
        <v>216.33333333333334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3.4</v>
      </c>
      <c r="N104" s="14">
        <f>IF('Données projet'!$A$36&gt;35,N103+M104-V103,IF(A104&lt;'Données projet'!$A$36,$K$205^A104,IF(A104='Données projet'!$A$36,'Données projet'!$B$36,N103+M104-V103)))</f>
        <v>206.39999999999984</v>
      </c>
      <c r="O104" s="14">
        <f>N104*VLOOKUP('Données projet'!$B$9,Paramètres!$A$1:$I$89,3,0)*VLOOKUP('Données projet'!$B$9,Paramètres!$A$1:$I$89,5,0)</f>
        <v>215.72927999999985</v>
      </c>
      <c r="P104" s="14">
        <f t="shared" si="87"/>
        <v>53.185609472386865</v>
      </c>
      <c r="Q104" s="22">
        <f t="shared" si="107"/>
        <v>468.36009916440685</v>
      </c>
      <c r="R104" s="62">
        <f t="shared" si="55"/>
        <v>753.0843150652978</v>
      </c>
      <c r="S104" s="62">
        <f ca="1">AVERAGE(OFFSET($R$3,0,0,'Données projet'!$E$9+1,1))-AVERAGE(OFFSET($H$3,0,0,'Données projet'!$E$9+1,1))</f>
        <v>338.33619350800484</v>
      </c>
      <c r="T104" s="62">
        <f t="shared" si="88"/>
        <v>173.80539144233424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1.9895196601282805E-13</v>
      </c>
      <c r="AJ104" s="14">
        <f>AI104*VLOOKUP('Données projet'!$B$10,Paramètres!$A$1:$I$89,3,0)*VLOOKUP('Données projet'!$B$10,Paramètres!$A$1:$I$89,5,0)</f>
        <v>1.8001173884840681E-13</v>
      </c>
      <c r="AK104" s="14">
        <f t="shared" si="89"/>
        <v>2.5254331426407198E-12</v>
      </c>
      <c r="AL104" s="22">
        <f t="shared" si="58"/>
        <v>4.7119831685935622E-12</v>
      </c>
      <c r="AM104" s="62">
        <f t="shared" si="59"/>
        <v>284.72421590089567</v>
      </c>
      <c r="AN104" s="62">
        <f ca="1">AVERAGE(OFFSET($AM$3,0,0,'Données projet'!$E$10+1,1))-AVERAGE(OFFSET($H$3,0,0,'Données projet'!$E$10+1,1))</f>
        <v>308.01218908312546</v>
      </c>
      <c r="AO104" s="62">
        <f t="shared" si="90"/>
        <v>433.94915035190684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1.083106374351261</v>
      </c>
      <c r="AV104" s="23">
        <f>EXP(-LN(2)/25)*AV103+(1-EXP(-LN(2)/25))/(LN(2)/25)*Calculateur!AQ104*Calculateur!AS104*VLOOKUP('Données projet'!$B$10,Paramètres!$A$1:$I$89,3,0)*0.475*44/12</f>
        <v>1.0907772123658386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2.1738835867170998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3.4</v>
      </c>
      <c r="BD104" s="13">
        <f>IF('Données projet'!$A$88&gt;35,BD103+BC104-BL103,IF(A104&lt;'Données projet'!$A$88,$BA$205^A104,IF(A104='Données projet'!$A$88,'Données projet'!$B$88,BD103+BC104-BL103)))</f>
        <v>206.39999999999984</v>
      </c>
      <c r="BE104" s="14">
        <f>BD104*VLOOKUP('Données projet'!$B$11,Paramètres!$A$1:$I$89,3,0)*VLOOKUP('Données projet'!$B$11,Paramètres!$A$1:$I$89,5,0)</f>
        <v>209.28959999999987</v>
      </c>
      <c r="BF104" s="14">
        <f t="shared" si="91"/>
        <v>51.780314822292169</v>
      </c>
      <c r="BG104" s="22">
        <f t="shared" si="61"/>
        <v>454.69676831549197</v>
      </c>
      <c r="BH104" s="62">
        <f t="shared" si="62"/>
        <v>739.42098421638298</v>
      </c>
      <c r="BI104" s="62">
        <f ca="1">AVERAGE(OFFSET($BH$3,0,0,'Données projet'!$E$11+1,1))-AVERAGE(OFFSET($H$3,0,0,'Données projet'!$E$11+1,1))</f>
        <v>329.96352570744875</v>
      </c>
      <c r="BJ104" s="62">
        <f t="shared" si="92"/>
        <v>170.12252063636961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1.1368683772161603E-13</v>
      </c>
      <c r="BZ104" s="14">
        <f>BY104*VLOOKUP('Données projet'!$B$12,Paramètres!$A$1:$I$89,3,0)*VLOOKUP('Données projet'!$B$12,Paramètres!$A$1:$I$89,5,0)</f>
        <v>5.3205440053716299E-14</v>
      </c>
      <c r="CA104" s="14">
        <f t="shared" si="93"/>
        <v>8.602146238565607E-13</v>
      </c>
      <c r="CB104" s="22">
        <f t="shared" si="64"/>
        <v>1.590873277977066E-12</v>
      </c>
      <c r="CC104" s="62">
        <f t="shared" si="65"/>
        <v>284.72421590089255</v>
      </c>
      <c r="CD104" s="62">
        <f ca="1">AVERAGE(OFFSET($CC$3,0,0,'Données projet'!$E$12+1,1))-AVERAGE(OFFSET($H$3,0,0,'Données projet'!$E$12+1,1))</f>
        <v>276.21705775006376</v>
      </c>
      <c r="CE104" s="62">
        <f t="shared" si="94"/>
        <v>234.24947280606958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376.32432344617206</v>
      </c>
      <c r="CZ104" s="62">
        <f t="shared" si="96"/>
        <v>302.77411534670466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0.40415420044651895</v>
      </c>
      <c r="DG104" s="23">
        <f>EXP(-LN(2)/25)*DG103+(1-EXP(-LN(2)/25))/(LN(2)/25)*Calculateur!DB104*Calculateur!DD104*VLOOKUP('Données projet'!$B$13,Paramètres!$A$1:$I$89,3,0)*0.475*44/12</f>
        <v>0.51445153883857342</v>
      </c>
      <c r="DH104" s="23">
        <f>EXP(-LN(2)/2)*DH103+(1-EXP(-LN(2)/2))/(LN(2)/2)*DB104*DE104*VLOOKUP('Données projet'!$B$13,Paramètres!$A$1:$I$89,3,0)*0.475*44/12</f>
        <v>1.3933873939232324E-11</v>
      </c>
      <c r="DI104" s="24">
        <f t="shared" si="69"/>
        <v>0.91860573929902622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67.652058882061169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2.75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10.083333333333334</v>
      </c>
      <c r="H105" s="70">
        <f t="shared" si="56"/>
        <v>216.33333333333334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3.4</v>
      </c>
      <c r="N105" s="14">
        <f>IF('Données projet'!$A$36&gt;35,N104+M105-V104,IF(A105&lt;'Données projet'!$A$36,$K$205^A105,IF(A105='Données projet'!$A$36,'Données projet'!$B$36,N104+M105-V104)))</f>
        <v>209.79999999999984</v>
      </c>
      <c r="O105" s="14">
        <f>N105*VLOOKUP('Données projet'!$B$9,Paramètres!$A$1:$I$89,3,0)*VLOOKUP('Données projet'!$B$9,Paramètres!$A$1:$I$89,5,0)</f>
        <v>219.28295999999983</v>
      </c>
      <c r="P105" s="14">
        <f t="shared" si="87"/>
        <v>53.959011021227646</v>
      </c>
      <c r="Q105" s="22">
        <f t="shared" si="107"/>
        <v>475.89643286197116</v>
      </c>
      <c r="R105" s="62">
        <f t="shared" si="55"/>
        <v>760.76999770321186</v>
      </c>
      <c r="S105" s="62">
        <f ca="1">AVERAGE(OFFSET($R$3,0,0,'Données projet'!$E$9+1,1))-AVERAGE(OFFSET($H$3,0,0,'Données projet'!$E$9+1,1))</f>
        <v>338.33619350800484</v>
      </c>
      <c r="T105" s="62">
        <f t="shared" si="88"/>
        <v>173.80539144233424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1.9895196601282805E-13</v>
      </c>
      <c r="AJ105" s="14">
        <f>AI105*VLOOKUP('Données projet'!$B$10,Paramètres!$A$1:$I$89,3,0)*VLOOKUP('Données projet'!$B$10,Paramètres!$A$1:$I$89,5,0)</f>
        <v>1.8001173884840681E-13</v>
      </c>
      <c r="AK105" s="14">
        <f t="shared" si="89"/>
        <v>2.5254331426407198E-12</v>
      </c>
      <c r="AL105" s="22">
        <f t="shared" si="58"/>
        <v>4.7119831685935622E-12</v>
      </c>
      <c r="AM105" s="62">
        <f t="shared" si="59"/>
        <v>284.87356484124535</v>
      </c>
      <c r="AN105" s="62">
        <f ca="1">AVERAGE(OFFSET($AM$3,0,0,'Données projet'!$E$10+1,1))-AVERAGE(OFFSET($H$3,0,0,'Données projet'!$E$10+1,1))</f>
        <v>308.01218908312546</v>
      </c>
      <c r="AO105" s="62">
        <f t="shared" si="90"/>
        <v>433.94915035190684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1.0618673189798893</v>
      </c>
      <c r="AV105" s="23">
        <f>EXP(-LN(2)/25)*AV104+(1-EXP(-LN(2)/25))/(LN(2)/25)*Calculateur!AQ105*Calculateur!AS105*VLOOKUP('Données projet'!$B$10,Paramètres!$A$1:$I$89,3,0)*0.475*44/12</f>
        <v>1.060949852132214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2.1228171711121036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3.4</v>
      </c>
      <c r="BD105" s="13">
        <f>IF('Données projet'!$A$88&gt;35,BD104+BC105-BL104,IF(A105&lt;'Données projet'!$A$88,$BA$205^A105,IF(A105='Données projet'!$A$88,'Données projet'!$B$88,BD104+BC105-BL104)))</f>
        <v>209.79999999999984</v>
      </c>
      <c r="BE105" s="14">
        <f>BD105*VLOOKUP('Données projet'!$B$11,Paramètres!$A$1:$I$89,3,0)*VLOOKUP('Données projet'!$B$11,Paramètres!$A$1:$I$89,5,0)</f>
        <v>212.73719999999983</v>
      </c>
      <c r="BF105" s="14">
        <f t="shared" si="91"/>
        <v>52.533281199481387</v>
      </c>
      <c r="BG105" s="22">
        <f t="shared" si="61"/>
        <v>462.01275475576307</v>
      </c>
      <c r="BH105" s="62">
        <f t="shared" si="62"/>
        <v>746.88631959700365</v>
      </c>
      <c r="BI105" s="62">
        <f ca="1">AVERAGE(OFFSET($BH$3,0,0,'Données projet'!$E$11+1,1))-AVERAGE(OFFSET($H$3,0,0,'Données projet'!$E$11+1,1))</f>
        <v>329.96352570744875</v>
      </c>
      <c r="BJ105" s="62">
        <f t="shared" si="92"/>
        <v>170.12252063636961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1.1368683772161603E-13</v>
      </c>
      <c r="BZ105" s="14">
        <f>BY105*VLOOKUP('Données projet'!$B$12,Paramètres!$A$1:$I$89,3,0)*VLOOKUP('Données projet'!$B$12,Paramètres!$A$1:$I$89,5,0)</f>
        <v>5.3205440053716299E-14</v>
      </c>
      <c r="CA105" s="14">
        <f t="shared" si="93"/>
        <v>8.602146238565607E-13</v>
      </c>
      <c r="CB105" s="22">
        <f t="shared" si="64"/>
        <v>1.590873277977066E-12</v>
      </c>
      <c r="CC105" s="62">
        <f t="shared" si="65"/>
        <v>284.87356484124223</v>
      </c>
      <c r="CD105" s="62">
        <f ca="1">AVERAGE(OFFSET($CC$3,0,0,'Données projet'!$E$12+1,1))-AVERAGE(OFFSET($H$3,0,0,'Données projet'!$E$12+1,1))</f>
        <v>276.21705775006376</v>
      </c>
      <c r="CE105" s="62">
        <f t="shared" si="94"/>
        <v>234.24947280606958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376.32432344617206</v>
      </c>
      <c r="CZ105" s="62">
        <f t="shared" si="96"/>
        <v>302.77411534670466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0.39622898308548415</v>
      </c>
      <c r="DG105" s="23">
        <f>EXP(-LN(2)/25)*DG104+(1-EXP(-LN(2)/25))/(LN(2)/25)*Calculateur!DB105*Calculateur!DD105*VLOOKUP('Données projet'!$B$13,Paramètres!$A$1:$I$89,3,0)*0.475*44/12</f>
        <v>0.50038383445520196</v>
      </c>
      <c r="DH105" s="23">
        <f>EXP(-LN(2)/2)*DH104+(1-EXP(-LN(2)/2))/(LN(2)/2)*DB105*DE105*VLOOKUP('Données projet'!$B$13,Paramètres!$A$1:$I$89,3,0)*0.475*44/12</f>
        <v>9.852736750629688E-12</v>
      </c>
      <c r="DI105" s="24">
        <f t="shared" si="69"/>
        <v>0.8966128175505389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67.692790411247444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2.75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10.083333333333334</v>
      </c>
      <c r="H106" s="70">
        <f t="shared" si="56"/>
        <v>216.33333333333334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3.4</v>
      </c>
      <c r="N106" s="14">
        <f>IF('Données projet'!$A$36&gt;35,N105+M106-V105,IF(A106&lt;'Données projet'!$A$36,$K$205^A106,IF(A106='Données projet'!$A$36,'Données projet'!$B$36,N105+M106-V105)))</f>
        <v>213.19999999999985</v>
      </c>
      <c r="O106" s="14">
        <f>N106*VLOOKUP('Données projet'!$B$9,Paramètres!$A$1:$I$89,3,0)*VLOOKUP('Données projet'!$B$9,Paramètres!$A$1:$I$89,5,0)</f>
        <v>222.83663999999987</v>
      </c>
      <c r="P106" s="14">
        <f t="shared" si="87"/>
        <v>54.730954957867766</v>
      </c>
      <c r="Q106" s="22">
        <f t="shared" si="107"/>
        <v>483.43022788495273</v>
      </c>
      <c r="R106" s="62">
        <f t="shared" si="55"/>
        <v>768.4505507963222</v>
      </c>
      <c r="S106" s="62">
        <f ca="1">AVERAGE(OFFSET($R$3,0,0,'Données projet'!$E$9+1,1))-AVERAGE(OFFSET($H$3,0,0,'Données projet'!$E$9+1,1))</f>
        <v>338.33619350800484</v>
      </c>
      <c r="T106" s="62">
        <f t="shared" si="88"/>
        <v>173.80539144233424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1.9895196601282805E-13</v>
      </c>
      <c r="AJ106" s="14">
        <f>AI106*VLOOKUP('Données projet'!$B$10,Paramètres!$A$1:$I$89,3,0)*VLOOKUP('Données projet'!$B$10,Paramètres!$A$1:$I$89,5,0)</f>
        <v>1.8001173884840681E-13</v>
      </c>
      <c r="AK106" s="14">
        <f t="shared" si="89"/>
        <v>2.5254331426407198E-12</v>
      </c>
      <c r="AL106" s="22">
        <f t="shared" si="58"/>
        <v>4.7119831685935622E-12</v>
      </c>
      <c r="AM106" s="62">
        <f t="shared" si="59"/>
        <v>285.02032291137425</v>
      </c>
      <c r="AN106" s="62">
        <f ca="1">AVERAGE(OFFSET($AM$3,0,0,'Données projet'!$E$10+1,1))-AVERAGE(OFFSET($H$3,0,0,'Données projet'!$E$10+1,1))</f>
        <v>308.01218908312546</v>
      </c>
      <c r="AO106" s="62">
        <f t="shared" si="90"/>
        <v>433.94915035190684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1.0410447485298056</v>
      </c>
      <c r="AV106" s="23">
        <f>EXP(-LN(2)/25)*AV105+(1-EXP(-LN(2)/25))/(LN(2)/25)*Calculateur!AQ106*Calculateur!AS106*VLOOKUP('Données projet'!$B$10,Paramètres!$A$1:$I$89,3,0)*0.475*44/12</f>
        <v>1.0319381226327307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2.0729828711625364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3.4</v>
      </c>
      <c r="BD106" s="13">
        <f>IF('Données projet'!$A$88&gt;35,BD105+BC106-BL105,IF(A106&lt;'Données projet'!$A$88,$BA$205^A106,IF(A106='Données projet'!$A$88,'Données projet'!$B$88,BD105+BC106-BL105)))</f>
        <v>213.19999999999985</v>
      </c>
      <c r="BE106" s="14">
        <f>BD106*VLOOKUP('Données projet'!$B$11,Paramètres!$A$1:$I$89,3,0)*VLOOKUP('Données projet'!$B$11,Paramètres!$A$1:$I$89,5,0)</f>
        <v>216.18479999999985</v>
      </c>
      <c r="BF106" s="14">
        <f t="shared" si="91"/>
        <v>53.284828478170326</v>
      </c>
      <c r="BG106" s="22">
        <f t="shared" si="61"/>
        <v>469.32626959947976</v>
      </c>
      <c r="BH106" s="62">
        <f t="shared" si="62"/>
        <v>754.34659251084929</v>
      </c>
      <c r="BI106" s="62">
        <f ca="1">AVERAGE(OFFSET($BH$3,0,0,'Données projet'!$E$11+1,1))-AVERAGE(OFFSET($H$3,0,0,'Données projet'!$E$11+1,1))</f>
        <v>329.96352570744875</v>
      </c>
      <c r="BJ106" s="62">
        <f t="shared" si="92"/>
        <v>170.12252063636961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1.1368683772161603E-13</v>
      </c>
      <c r="BZ106" s="14">
        <f>BY106*VLOOKUP('Données projet'!$B$12,Paramètres!$A$1:$I$89,3,0)*VLOOKUP('Données projet'!$B$12,Paramètres!$A$1:$I$89,5,0)</f>
        <v>5.3205440053716299E-14</v>
      </c>
      <c r="CA106" s="14">
        <f t="shared" si="93"/>
        <v>8.602146238565607E-13</v>
      </c>
      <c r="CB106" s="22">
        <f t="shared" si="64"/>
        <v>1.590873277977066E-12</v>
      </c>
      <c r="CC106" s="62">
        <f t="shared" si="65"/>
        <v>285.02032291137112</v>
      </c>
      <c r="CD106" s="62">
        <f ca="1">AVERAGE(OFFSET($CC$3,0,0,'Données projet'!$E$12+1,1))-AVERAGE(OFFSET($H$3,0,0,'Données projet'!$E$12+1,1))</f>
        <v>276.21705775006376</v>
      </c>
      <c r="CE106" s="62">
        <f t="shared" si="94"/>
        <v>234.24947280606958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376.32432344617206</v>
      </c>
      <c r="CZ106" s="62">
        <f t="shared" si="96"/>
        <v>302.77411534670466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0.38845917440299399</v>
      </c>
      <c r="DG106" s="23">
        <f>EXP(-LN(2)/25)*DG105+(1-EXP(-LN(2)/25))/(LN(2)/25)*Calculateur!DB106*Calculateur!DD106*VLOOKUP('Données projet'!$B$13,Paramètres!$A$1:$I$89,3,0)*0.475*44/12</f>
        <v>0.48670081218798222</v>
      </c>
      <c r="DH106" s="23">
        <f>EXP(-LN(2)/2)*DH105+(1-EXP(-LN(2)/2))/(LN(2)/2)*DB106*DE106*VLOOKUP('Données projet'!$B$13,Paramètres!$A$1:$I$89,3,0)*0.475*44/12</f>
        <v>6.9669369696161622E-12</v>
      </c>
      <c r="DI106" s="24">
        <f t="shared" si="69"/>
        <v>0.87515998659794325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67.732815339464409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2.75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10.083333333333334</v>
      </c>
      <c r="H107" s="70">
        <f t="shared" si="56"/>
        <v>216.33333333333334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3.4</v>
      </c>
      <c r="N107" s="14">
        <f>IF('Données projet'!$A$36&gt;35,N106+M107-V106,IF(A107&lt;'Données projet'!$A$36,$K$205^A107,IF(A107='Données projet'!$A$36,'Données projet'!$B$36,N106+M107-V106)))</f>
        <v>216.59999999999985</v>
      </c>
      <c r="O107" s="14">
        <f>N107*VLOOKUP('Données projet'!$B$9,Paramètres!$A$1:$I$89,3,0)*VLOOKUP('Données projet'!$B$9,Paramètres!$A$1:$I$89,5,0)</f>
        <v>226.39031999999986</v>
      </c>
      <c r="P107" s="14">
        <f t="shared" si="87"/>
        <v>55.501467211416568</v>
      </c>
      <c r="Q107" s="22">
        <f t="shared" si="107"/>
        <v>490.96152939321701</v>
      </c>
      <c r="R107" s="62">
        <f t="shared" si="55"/>
        <v>776.12606445030053</v>
      </c>
      <c r="S107" s="62">
        <f ca="1">AVERAGE(OFFSET($R$3,0,0,'Données projet'!$E$9+1,1))-AVERAGE(OFFSET($H$3,0,0,'Données projet'!$E$9+1,1))</f>
        <v>338.33619350800484</v>
      </c>
      <c r="T107" s="62">
        <f t="shared" si="88"/>
        <v>173.80539144233424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1.9895196601282805E-13</v>
      </c>
      <c r="AJ107" s="14">
        <f>AI107*VLOOKUP('Données projet'!$B$10,Paramètres!$A$1:$I$89,3,0)*VLOOKUP('Données projet'!$B$10,Paramètres!$A$1:$I$89,5,0)</f>
        <v>1.8001173884840681E-13</v>
      </c>
      <c r="AK107" s="14">
        <f t="shared" si="89"/>
        <v>2.5254331426407198E-12</v>
      </c>
      <c r="AL107" s="22">
        <f t="shared" si="58"/>
        <v>4.7119831685935622E-12</v>
      </c>
      <c r="AM107" s="62">
        <f t="shared" si="59"/>
        <v>285.16453505708824</v>
      </c>
      <c r="AN107" s="62">
        <f ca="1">AVERAGE(OFFSET($AM$3,0,0,'Données projet'!$E$10+1,1))-AVERAGE(OFFSET($H$3,0,0,'Données projet'!$E$10+1,1))</f>
        <v>308.01218908312546</v>
      </c>
      <c r="AO107" s="62">
        <f t="shared" si="90"/>
        <v>433.94915035190684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1.0206304959857342</v>
      </c>
      <c r="AV107" s="23">
        <f>EXP(-LN(2)/25)*AV106+(1-EXP(-LN(2)/25))/(LN(2)/25)*Calculateur!AQ107*Calculateur!AS107*VLOOKUP('Données projet'!$B$10,Paramètres!$A$1:$I$89,3,0)*0.475*44/12</f>
        <v>1.0037197204020714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2.0243502163878055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3.4</v>
      </c>
      <c r="BD107" s="13">
        <f>IF('Données projet'!$A$88&gt;35,BD106+BC107-BL106,IF(A107&lt;'Données projet'!$A$88,$BA$205^A107,IF(A107='Données projet'!$A$88,'Données projet'!$B$88,BD106+BC107-BL106)))</f>
        <v>216.59999999999985</v>
      </c>
      <c r="BE107" s="14">
        <f>BD107*VLOOKUP('Données projet'!$B$11,Paramètres!$A$1:$I$89,3,0)*VLOOKUP('Données projet'!$B$11,Paramètres!$A$1:$I$89,5,0)</f>
        <v>219.63239999999988</v>
      </c>
      <c r="BF107" s="14">
        <f t="shared" si="91"/>
        <v>54.034981902357458</v>
      </c>
      <c r="BG107" s="22">
        <f t="shared" si="61"/>
        <v>476.63735681327233</v>
      </c>
      <c r="BH107" s="62">
        <f t="shared" si="62"/>
        <v>761.8018918703558</v>
      </c>
      <c r="BI107" s="62">
        <f ca="1">AVERAGE(OFFSET($BH$3,0,0,'Données projet'!$E$11+1,1))-AVERAGE(OFFSET($H$3,0,0,'Données projet'!$E$11+1,1))</f>
        <v>329.96352570744875</v>
      </c>
      <c r="BJ107" s="62">
        <f t="shared" si="92"/>
        <v>170.12252063636961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1.1368683772161603E-13</v>
      </c>
      <c r="BZ107" s="14">
        <f>BY107*VLOOKUP('Données projet'!$B$12,Paramètres!$A$1:$I$89,3,0)*VLOOKUP('Données projet'!$B$12,Paramètres!$A$1:$I$89,5,0)</f>
        <v>5.3205440053716299E-14</v>
      </c>
      <c r="CA107" s="14">
        <f t="shared" si="93"/>
        <v>8.602146238565607E-13</v>
      </c>
      <c r="CB107" s="22">
        <f t="shared" si="64"/>
        <v>1.590873277977066E-12</v>
      </c>
      <c r="CC107" s="62">
        <f t="shared" si="65"/>
        <v>285.16453505708512</v>
      </c>
      <c r="CD107" s="62">
        <f ca="1">AVERAGE(OFFSET($CC$3,0,0,'Données projet'!$E$12+1,1))-AVERAGE(OFFSET($H$3,0,0,'Données projet'!$E$12+1,1))</f>
        <v>276.21705775006376</v>
      </c>
      <c r="CE107" s="62">
        <f t="shared" si="94"/>
        <v>234.24947280606958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376.32432344617206</v>
      </c>
      <c r="CZ107" s="62">
        <f t="shared" si="96"/>
        <v>302.77411534670466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0.38084172692965212</v>
      </c>
      <c r="DG107" s="23">
        <f>EXP(-LN(2)/25)*DG106+(1-EXP(-LN(2)/25))/(LN(2)/25)*Calculateur!DB107*Calculateur!DD107*VLOOKUP('Données projet'!$B$13,Paramètres!$A$1:$I$89,3,0)*0.475*44/12</f>
        <v>0.47339195288421848</v>
      </c>
      <c r="DH107" s="23">
        <f>EXP(-LN(2)/2)*DH106+(1-EXP(-LN(2)/2))/(LN(2)/2)*DB107*DE107*VLOOKUP('Données projet'!$B$13,Paramètres!$A$1:$I$89,3,0)*0.475*44/12</f>
        <v>4.926368375314844E-12</v>
      </c>
      <c r="DI107" s="24">
        <f t="shared" si="69"/>
        <v>0.85423367981879694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67.772145924659142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2.75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10.083333333333334</v>
      </c>
      <c r="H108" s="70">
        <f t="shared" si="56"/>
        <v>216.33333333333334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220</v>
      </c>
      <c r="L108" s="13">
        <f>VLOOKUP(A108,'Données projet'!$A$35:$I$55,9,0)</f>
        <v>3.4</v>
      </c>
      <c r="M108" s="13">
        <f t="array" ref="M108">INDEX(L:L,MIN(IF(ISNUMBER(L108:L304),ROW(L108:L304),"")))</f>
        <v>3.4</v>
      </c>
      <c r="N108" s="14">
        <f>IF('Données projet'!$A$36&gt;35,N107+M108-V107,IF(A108&lt;'Données projet'!$A$36,$K$205^A108,IF(A108='Données projet'!$A$36,'Données projet'!$B$36,N107+M108-V107)))</f>
        <v>219.99999999999986</v>
      </c>
      <c r="O108" s="14">
        <f>N108*VLOOKUP('Données projet'!$B$9,Paramètres!$A$1:$I$89,3,0)*VLOOKUP('Données projet'!$B$9,Paramètres!$A$1:$I$89,5,0)</f>
        <v>229.94399999999987</v>
      </c>
      <c r="P108" s="14">
        <f t="shared" si="87"/>
        <v>56.270572850262369</v>
      </c>
      <c r="Q108" s="22">
        <f t="shared" si="107"/>
        <v>498.49038104754004</v>
      </c>
      <c r="R108" s="62">
        <f t="shared" si="55"/>
        <v>783.79662649201941</v>
      </c>
      <c r="S108" s="62">
        <f ca="1">AVERAGE(OFFSET($R$3,0,0,'Données projet'!$E$9+1,1))-AVERAGE(OFFSET($H$3,0,0,'Données projet'!$E$9+1,1))</f>
        <v>338.33619350800484</v>
      </c>
      <c r="T108" s="62">
        <f t="shared" si="88"/>
        <v>173.80539144233424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13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1.9895196601282805E-13</v>
      </c>
      <c r="AJ108" s="14">
        <f>AI108*VLOOKUP('Données projet'!$B$10,Paramètres!$A$1:$I$89,3,0)*VLOOKUP('Données projet'!$B$10,Paramètres!$A$1:$I$89,5,0)</f>
        <v>1.8001173884840681E-13</v>
      </c>
      <c r="AK108" s="14">
        <f t="shared" si="89"/>
        <v>2.5254331426407198E-12</v>
      </c>
      <c r="AL108" s="22">
        <f t="shared" si="58"/>
        <v>4.7119831685935622E-12</v>
      </c>
      <c r="AM108" s="62">
        <f t="shared" si="59"/>
        <v>285.30624544448415</v>
      </c>
      <c r="AN108" s="62">
        <f ca="1">AVERAGE(OFFSET($AM$3,0,0,'Données projet'!$E$10+1,1))-AVERAGE(OFFSET($H$3,0,0,'Données projet'!$E$10+1,1))</f>
        <v>308.01218908312546</v>
      </c>
      <c r="AO108" s="62">
        <f t="shared" si="90"/>
        <v>433.94915035190684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1.0006165544825874</v>
      </c>
      <c r="AV108" s="23">
        <f>EXP(-LN(2)/25)*AV107+(1-EXP(-LN(2)/25))/(LN(2)/25)*Calculateur!AQ108*Calculateur!AS108*VLOOKUP('Données projet'!$B$10,Paramètres!$A$1:$I$89,3,0)*0.475*44/12</f>
        <v>0.9762729518643507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1.9768895063469381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220</v>
      </c>
      <c r="BB108" s="13">
        <f>VLOOKUP(A108,'Données projet'!$A$87:$I$107,9,0)</f>
        <v>3.4</v>
      </c>
      <c r="BC108" s="13">
        <f t="array" ref="BC108">INDEX(BB:BB,MIN(IF(ISNUMBER(BB108:BB304),ROW(BB108:BB304),"")))</f>
        <v>3.4</v>
      </c>
      <c r="BD108" s="13">
        <f>IF('Données projet'!$A$88&gt;35,BD107+BC108-BL107,IF(A108&lt;'Données projet'!$A$88,$BA$205^A108,IF(A108='Données projet'!$A$88,'Données projet'!$B$88,BD107+BC108-BL107)))</f>
        <v>219.99999999999986</v>
      </c>
      <c r="BE108" s="14">
        <f>BD108*VLOOKUP('Données projet'!$B$11,Paramètres!$A$1:$I$89,3,0)*VLOOKUP('Données projet'!$B$11,Paramètres!$A$1:$I$89,5,0)</f>
        <v>223.07999999999987</v>
      </c>
      <c r="BF108" s="14">
        <f t="shared" si="91"/>
        <v>54.783765878062617</v>
      </c>
      <c r="BG108" s="22">
        <f t="shared" si="61"/>
        <v>483.94605890429216</v>
      </c>
      <c r="BH108" s="62">
        <f t="shared" si="62"/>
        <v>769.25230434877153</v>
      </c>
      <c r="BI108" s="62">
        <f ca="1">AVERAGE(OFFSET($BH$3,0,0,'Données projet'!$E$11+1,1))-AVERAGE(OFFSET($H$3,0,0,'Données projet'!$E$11+1,1))</f>
        <v>329.96352570744875</v>
      </c>
      <c r="BJ108" s="62">
        <f t="shared" si="92"/>
        <v>170.12252063636961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13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1.1368683772161603E-13</v>
      </c>
      <c r="BZ108" s="14">
        <f>BY108*VLOOKUP('Données projet'!$B$12,Paramètres!$A$1:$I$89,3,0)*VLOOKUP('Données projet'!$B$12,Paramètres!$A$1:$I$89,5,0)</f>
        <v>5.3205440053716299E-14</v>
      </c>
      <c r="CA108" s="14">
        <f t="shared" si="93"/>
        <v>8.602146238565607E-13</v>
      </c>
      <c r="CB108" s="22">
        <f t="shared" si="64"/>
        <v>1.590873277977066E-12</v>
      </c>
      <c r="CC108" s="62">
        <f t="shared" si="65"/>
        <v>285.30624544448102</v>
      </c>
      <c r="CD108" s="62">
        <f ca="1">AVERAGE(OFFSET($CC$3,0,0,'Données projet'!$E$12+1,1))-AVERAGE(OFFSET($H$3,0,0,'Données projet'!$E$12+1,1))</f>
        <v>276.21705775006376</v>
      </c>
      <c r="CE108" s="62">
        <f t="shared" si="94"/>
        <v>234.24947280606958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376.32432344617206</v>
      </c>
      <c r="CZ108" s="62">
        <f t="shared" si="96"/>
        <v>302.77411534670466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0.37337365295507829</v>
      </c>
      <c r="DG108" s="23">
        <f>EXP(-LN(2)/25)*DG107+(1-EXP(-LN(2)/25))/(LN(2)/25)*Calculateur!DB108*Calculateur!DD108*VLOOKUP('Données projet'!$B$13,Paramètres!$A$1:$I$89,3,0)*0.475*44/12</f>
        <v>0.46044702503799867</v>
      </c>
      <c r="DH108" s="23">
        <f>EXP(-LN(2)/2)*DH107+(1-EXP(-LN(2)/2))/(LN(2)/2)*DB108*DE108*VLOOKUP('Données projet'!$B$13,Paramètres!$A$1:$I$89,3,0)*0.475*44/12</f>
        <v>3.4834684848080811E-12</v>
      </c>
      <c r="DI108" s="24">
        <f t="shared" si="69"/>
        <v>0.83382067799656046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67.810794212130759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2.75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10.083333333333334</v>
      </c>
      <c r="H109" s="70">
        <f t="shared" si="56"/>
        <v>216.33333333333334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209.99999999999986</v>
      </c>
      <c r="O109" s="14">
        <f>N109*VLOOKUP('Données projet'!$B$9,Paramètres!$A$1:$I$89,3,0)*VLOOKUP('Données projet'!$B$9,Paramètres!$A$1:$I$89,5,0)</f>
        <v>219.49199999999985</v>
      </c>
      <c r="P109" s="14">
        <f t="shared" si="87"/>
        <v>54.004459579686618</v>
      </c>
      <c r="Q109" s="22">
        <f t="shared" si="107"/>
        <v>476.33966710128726</v>
      </c>
      <c r="R109" s="62">
        <f t="shared" si="55"/>
        <v>761.78516457475826</v>
      </c>
      <c r="S109" s="62">
        <f ca="1">AVERAGE(OFFSET($R$3,0,0,'Données projet'!$E$9+1,1))-AVERAGE(OFFSET($H$3,0,0,'Données projet'!$E$9+1,1))</f>
        <v>338.33619350800484</v>
      </c>
      <c r="T109" s="62">
        <f t="shared" si="88"/>
        <v>173.80539144233424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1.9895196601282805E-13</v>
      </c>
      <c r="AJ109" s="14">
        <f>AI109*VLOOKUP('Données projet'!$B$10,Paramètres!$A$1:$I$89,3,0)*VLOOKUP('Données projet'!$B$10,Paramètres!$A$1:$I$89,5,0)</f>
        <v>1.8001173884840681E-13</v>
      </c>
      <c r="AK109" s="14">
        <f t="shared" si="89"/>
        <v>2.5254331426407198E-12</v>
      </c>
      <c r="AL109" s="22">
        <f t="shared" si="58"/>
        <v>4.7119831685935622E-12</v>
      </c>
      <c r="AM109" s="62">
        <f t="shared" si="59"/>
        <v>285.44549747347577</v>
      </c>
      <c r="AN109" s="62">
        <f ca="1">AVERAGE(OFFSET($AM$3,0,0,'Données projet'!$E$10+1,1))-AVERAGE(OFFSET($H$3,0,0,'Données projet'!$E$10+1,1))</f>
        <v>308.01218908312546</v>
      </c>
      <c r="AO109" s="62">
        <f t="shared" si="90"/>
        <v>433.94915035190684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0.98099507416501841</v>
      </c>
      <c r="AV109" s="23">
        <f>EXP(-LN(2)/25)*AV108+(1-EXP(-LN(2)/25))/(LN(2)/25)*Calculateur!AQ109*Calculateur!AS109*VLOOKUP('Données projet'!$B$10,Paramètres!$A$1:$I$89,3,0)*0.475*44/12</f>
        <v>0.94957671665565679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1.9305717908206752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3</v>
      </c>
      <c r="BD109" s="13">
        <f>IF('Données projet'!$A$88&gt;35,BD108+BC109-BL108,IF(A109&lt;'Données projet'!$A$88,$BA$205^A109,IF(A109='Données projet'!$A$88,'Données projet'!$B$88,BD108+BC109-BL108)))</f>
        <v>209.99999999999986</v>
      </c>
      <c r="BE109" s="14">
        <f>BD109*VLOOKUP('Données projet'!$B$11,Paramètres!$A$1:$I$89,3,0)*VLOOKUP('Données projet'!$B$11,Paramètres!$A$1:$I$89,5,0)</f>
        <v>212.93999999999988</v>
      </c>
      <c r="BF109" s="14">
        <f t="shared" si="91"/>
        <v>52.577528895212815</v>
      </c>
      <c r="BG109" s="22">
        <f t="shared" si="61"/>
        <v>462.44302949249544</v>
      </c>
      <c r="BH109" s="62">
        <f t="shared" si="62"/>
        <v>747.88852696596655</v>
      </c>
      <c r="BI109" s="62">
        <f ca="1">AVERAGE(OFFSET($BH$3,0,0,'Données projet'!$E$11+1,1))-AVERAGE(OFFSET($H$3,0,0,'Données projet'!$E$11+1,1))</f>
        <v>329.96352570744875</v>
      </c>
      <c r="BJ109" s="62">
        <f t="shared" si="92"/>
        <v>170.12252063636961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1.1368683772161603E-13</v>
      </c>
      <c r="BZ109" s="14">
        <f>BY109*VLOOKUP('Données projet'!$B$12,Paramètres!$A$1:$I$89,3,0)*VLOOKUP('Données projet'!$B$12,Paramètres!$A$1:$I$89,5,0)</f>
        <v>5.3205440053716299E-14</v>
      </c>
      <c r="CA109" s="14">
        <f t="shared" si="93"/>
        <v>8.602146238565607E-13</v>
      </c>
      <c r="CB109" s="22">
        <f t="shared" si="64"/>
        <v>1.590873277977066E-12</v>
      </c>
      <c r="CC109" s="62">
        <f t="shared" si="65"/>
        <v>285.44549747347264</v>
      </c>
      <c r="CD109" s="62">
        <f ca="1">AVERAGE(OFFSET($CC$3,0,0,'Données projet'!$E$12+1,1))-AVERAGE(OFFSET($H$3,0,0,'Données projet'!$E$12+1,1))</f>
        <v>276.21705775006376</v>
      </c>
      <c r="CE109" s="62">
        <f t="shared" si="94"/>
        <v>234.24947280606958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376.32432344617206</v>
      </c>
      <c r="CZ109" s="62">
        <f t="shared" si="96"/>
        <v>302.77411534670466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0.36605202335607051</v>
      </c>
      <c r="DG109" s="23">
        <f>EXP(-LN(2)/25)*DG108+(1-EXP(-LN(2)/25))/(LN(2)/25)*Calculateur!DB109*Calculateur!DD109*VLOOKUP('Données projet'!$B$13,Paramètres!$A$1:$I$89,3,0)*0.475*44/12</f>
        <v>0.44785607692447793</v>
      </c>
      <c r="DH109" s="23">
        <f>EXP(-LN(2)/2)*DH108+(1-EXP(-LN(2)/2))/(LN(2)/2)*DB109*DE109*VLOOKUP('Données projet'!$B$13,Paramètres!$A$1:$I$89,3,0)*0.475*44/12</f>
        <v>2.463184187657422E-12</v>
      </c>
      <c r="DI109" s="24">
        <f t="shared" si="69"/>
        <v>0.81390810028301153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67.84877203821938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2.75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10.083333333333334</v>
      </c>
      <c r="H110" s="70">
        <f t="shared" si="56"/>
        <v>216.33333333333334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212.99999999999986</v>
      </c>
      <c r="O110" s="14">
        <f>N110*VLOOKUP('Données projet'!$B$9,Paramètres!$A$1:$I$89,3,0)*VLOOKUP('Données projet'!$B$9,Paramètres!$A$1:$I$89,5,0)</f>
        <v>222.62759999999989</v>
      </c>
      <c r="P110" s="14">
        <f t="shared" si="87"/>
        <v>54.685586371535223</v>
      </c>
      <c r="Q110" s="22">
        <f t="shared" si="107"/>
        <v>482.98713293042357</v>
      </c>
      <c r="R110" s="62">
        <f t="shared" si="55"/>
        <v>768.56946672150411</v>
      </c>
      <c r="S110" s="62">
        <f ca="1">AVERAGE(OFFSET($R$3,0,0,'Données projet'!$E$9+1,1))-AVERAGE(OFFSET($H$3,0,0,'Données projet'!$E$9+1,1))</f>
        <v>338.33619350800484</v>
      </c>
      <c r="T110" s="62">
        <f t="shared" si="88"/>
        <v>173.80539144233424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1.9895196601282805E-13</v>
      </c>
      <c r="AJ110" s="14">
        <f>AI110*VLOOKUP('Données projet'!$B$10,Paramètres!$A$1:$I$89,3,0)*VLOOKUP('Données projet'!$B$10,Paramètres!$A$1:$I$89,5,0)</f>
        <v>1.8001173884840681E-13</v>
      </c>
      <c r="AK110" s="14">
        <f t="shared" si="89"/>
        <v>2.5254331426407198E-12</v>
      </c>
      <c r="AL110" s="22">
        <f t="shared" si="58"/>
        <v>4.7119831685935622E-12</v>
      </c>
      <c r="AM110" s="62">
        <f t="shared" si="59"/>
        <v>285.58233379108526</v>
      </c>
      <c r="AN110" s="62">
        <f ca="1">AVERAGE(OFFSET($AM$3,0,0,'Données projet'!$E$10+1,1))-AVERAGE(OFFSET($H$3,0,0,'Données projet'!$E$10+1,1))</f>
        <v>308.01218908312546</v>
      </c>
      <c r="AO110" s="62">
        <f t="shared" si="90"/>
        <v>433.94915035190684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0.96175835910855567</v>
      </c>
      <c r="AV110" s="23">
        <f>EXP(-LN(2)/25)*AV109+(1-EXP(-LN(2)/25))/(LN(2)/25)*Calculateur!AQ110*Calculateur!AS110*VLOOKUP('Données projet'!$B$10,Paramètres!$A$1:$I$89,3,0)*0.475*44/12</f>
        <v>0.92361049140263862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1.8853688505111943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3</v>
      </c>
      <c r="BD110" s="13">
        <f>IF('Données projet'!$A$88&gt;35,BD109+BC110-BL109,IF(A110&lt;'Données projet'!$A$88,$BA$205^A110,IF(A110='Données projet'!$A$88,'Données projet'!$B$88,BD109+BC110-BL109)))</f>
        <v>212.99999999999986</v>
      </c>
      <c r="BE110" s="14">
        <f>BD110*VLOOKUP('Données projet'!$B$11,Paramètres!$A$1:$I$89,3,0)*VLOOKUP('Données projet'!$B$11,Paramètres!$A$1:$I$89,5,0)</f>
        <v>215.98199999999986</v>
      </c>
      <c r="BF110" s="14">
        <f t="shared" si="91"/>
        <v>53.240658641504993</v>
      </c>
      <c r="BG110" s="22">
        <f t="shared" si="61"/>
        <v>468.89613046728755</v>
      </c>
      <c r="BH110" s="62">
        <f t="shared" si="62"/>
        <v>754.47846425836815</v>
      </c>
      <c r="BI110" s="62">
        <f ca="1">AVERAGE(OFFSET($BH$3,0,0,'Données projet'!$E$11+1,1))-AVERAGE(OFFSET($H$3,0,0,'Données projet'!$E$11+1,1))</f>
        <v>329.96352570744875</v>
      </c>
      <c r="BJ110" s="62">
        <f t="shared" si="92"/>
        <v>170.12252063636961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1.1368683772161603E-13</v>
      </c>
      <c r="BZ110" s="14">
        <f>BY110*VLOOKUP('Données projet'!$B$12,Paramètres!$A$1:$I$89,3,0)*VLOOKUP('Données projet'!$B$12,Paramètres!$A$1:$I$89,5,0)</f>
        <v>5.3205440053716299E-14</v>
      </c>
      <c r="CA110" s="14">
        <f t="shared" si="93"/>
        <v>8.602146238565607E-13</v>
      </c>
      <c r="CB110" s="22">
        <f t="shared" si="64"/>
        <v>1.590873277977066E-12</v>
      </c>
      <c r="CC110" s="62">
        <f t="shared" si="65"/>
        <v>285.58233379108214</v>
      </c>
      <c r="CD110" s="62">
        <f ca="1">AVERAGE(OFFSET($CC$3,0,0,'Données projet'!$E$12+1,1))-AVERAGE(OFFSET($H$3,0,0,'Données projet'!$E$12+1,1))</f>
        <v>276.21705775006376</v>
      </c>
      <c r="CE110" s="62">
        <f t="shared" si="94"/>
        <v>234.24947280606958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376.32432344617206</v>
      </c>
      <c r="CZ110" s="62">
        <f t="shared" si="96"/>
        <v>302.77411534670466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0.35887396644774616</v>
      </c>
      <c r="DG110" s="23">
        <f>EXP(-LN(2)/25)*DG109+(1-EXP(-LN(2)/25))/(LN(2)/25)*Calculateur!DB110*Calculateur!DD110*VLOOKUP('Données projet'!$B$13,Paramètres!$A$1:$I$89,3,0)*0.475*44/12</f>
        <v>0.43560942894925059</v>
      </c>
      <c r="DH110" s="23">
        <f>EXP(-LN(2)/2)*DH109+(1-EXP(-LN(2)/2))/(LN(2)/2)*DB110*DE110*VLOOKUP('Données projet'!$B$13,Paramètres!$A$1:$I$89,3,0)*0.475*44/12</f>
        <v>1.7417342424040405E-12</v>
      </c>
      <c r="DI110" s="24">
        <f t="shared" si="69"/>
        <v>0.79448339539873847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67.886091033931052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2.75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10.083333333333334</v>
      </c>
      <c r="H111" s="70">
        <f t="shared" si="56"/>
        <v>216.33333333333334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215.99999999999986</v>
      </c>
      <c r="O111" s="14">
        <f>N111*VLOOKUP('Données projet'!$B$9,Paramètres!$A$1:$I$89,3,0)*VLOOKUP('Données projet'!$B$9,Paramètres!$A$1:$I$89,5,0)</f>
        <v>225.76319999999987</v>
      </c>
      <c r="P111" s="14">
        <f t="shared" si="87"/>
        <v>55.365597375021352</v>
      </c>
      <c r="Q111" s="22">
        <f t="shared" si="107"/>
        <v>489.63265542816202</v>
      </c>
      <c r="R111" s="62">
        <f t="shared" si="55"/>
        <v>775.34945173266169</v>
      </c>
      <c r="S111" s="62">
        <f ca="1">AVERAGE(OFFSET($R$3,0,0,'Données projet'!$E$9+1,1))-AVERAGE(OFFSET($H$3,0,0,'Données projet'!$E$9+1,1))</f>
        <v>338.33619350800484</v>
      </c>
      <c r="T111" s="62">
        <f t="shared" si="88"/>
        <v>173.80539144233424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1.9895196601282805E-13</v>
      </c>
      <c r="AJ111" s="14">
        <f>AI111*VLOOKUP('Données projet'!$B$10,Paramètres!$A$1:$I$89,3,0)*VLOOKUP('Données projet'!$B$10,Paramètres!$A$1:$I$89,5,0)</f>
        <v>1.8001173884840681E-13</v>
      </c>
      <c r="AK111" s="14">
        <f t="shared" si="89"/>
        <v>2.5254331426407198E-12</v>
      </c>
      <c r="AL111" s="22">
        <f t="shared" si="58"/>
        <v>4.7119831685935622E-12</v>
      </c>
      <c r="AM111" s="62">
        <f t="shared" si="59"/>
        <v>285.71679630450438</v>
      </c>
      <c r="AN111" s="62">
        <f ca="1">AVERAGE(OFFSET($AM$3,0,0,'Données projet'!$E$10+1,1))-AVERAGE(OFFSET($H$3,0,0,'Données projet'!$E$10+1,1))</f>
        <v>308.01218908312546</v>
      </c>
      <c r="AO111" s="62">
        <f t="shared" si="90"/>
        <v>433.94915035190684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0.94289886430111258</v>
      </c>
      <c r="AV111" s="23">
        <f>EXP(-LN(2)/25)*AV110+(1-EXP(-LN(2)/25))/(LN(2)/25)*Calculateur!AQ111*Calculateur!AS111*VLOOKUP('Données projet'!$B$10,Paramètres!$A$1:$I$89,3,0)*0.475*44/12</f>
        <v>0.89835431394466869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1.8412531782457813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3</v>
      </c>
      <c r="BD111" s="13">
        <f>IF('Données projet'!$A$88&gt;35,BD110+BC111-BL110,IF(A111&lt;'Données projet'!$A$88,$BA$205^A111,IF(A111='Données projet'!$A$88,'Données projet'!$B$88,BD110+BC111-BL110)))</f>
        <v>215.99999999999986</v>
      </c>
      <c r="BE111" s="14">
        <f>BD111*VLOOKUP('Données projet'!$B$11,Paramètres!$A$1:$I$89,3,0)*VLOOKUP('Données projet'!$B$11,Paramètres!$A$1:$I$89,5,0)</f>
        <v>219.02399999999989</v>
      </c>
      <c r="BF111" s="14">
        <f t="shared" si="91"/>
        <v>53.902702081308306</v>
      </c>
      <c r="BG111" s="22">
        <f t="shared" si="61"/>
        <v>475.34733945827838</v>
      </c>
      <c r="BH111" s="62">
        <f t="shared" si="62"/>
        <v>761.06413576277805</v>
      </c>
      <c r="BI111" s="62">
        <f ca="1">AVERAGE(OFFSET($BH$3,0,0,'Données projet'!$E$11+1,1))-AVERAGE(OFFSET($H$3,0,0,'Données projet'!$E$11+1,1))</f>
        <v>329.96352570744875</v>
      </c>
      <c r="BJ111" s="62">
        <f t="shared" si="92"/>
        <v>170.12252063636961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1.1368683772161603E-13</v>
      </c>
      <c r="BZ111" s="14">
        <f>BY111*VLOOKUP('Données projet'!$B$12,Paramètres!$A$1:$I$89,3,0)*VLOOKUP('Données projet'!$B$12,Paramètres!$A$1:$I$89,5,0)</f>
        <v>5.3205440053716299E-14</v>
      </c>
      <c r="CA111" s="14">
        <f t="shared" si="93"/>
        <v>8.602146238565607E-13</v>
      </c>
      <c r="CB111" s="22">
        <f t="shared" si="64"/>
        <v>1.590873277977066E-12</v>
      </c>
      <c r="CC111" s="62">
        <f t="shared" si="65"/>
        <v>285.71679630450126</v>
      </c>
      <c r="CD111" s="62">
        <f ca="1">AVERAGE(OFFSET($CC$3,0,0,'Données projet'!$E$12+1,1))-AVERAGE(OFFSET($H$3,0,0,'Données projet'!$E$12+1,1))</f>
        <v>276.21705775006376</v>
      </c>
      <c r="CE111" s="62">
        <f t="shared" si="94"/>
        <v>234.24947280606958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376.32432344617206</v>
      </c>
      <c r="CZ111" s="62">
        <f t="shared" si="96"/>
        <v>302.77411534670466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0.35183666685721166</v>
      </c>
      <c r="DG111" s="23">
        <f>EXP(-LN(2)/25)*DG110+(1-EXP(-LN(2)/25))/(LN(2)/25)*Calculateur!DB111*Calculateur!DD111*VLOOKUP('Données projet'!$B$13,Paramètres!$A$1:$I$89,3,0)*0.475*44/12</f>
        <v>0.42369766620692906</v>
      </c>
      <c r="DH111" s="23">
        <f>EXP(-LN(2)/2)*DH110+(1-EXP(-LN(2)/2))/(LN(2)/2)*DB111*DE111*VLOOKUP('Données projet'!$B$13,Paramètres!$A$1:$I$89,3,0)*0.475*44/12</f>
        <v>1.231592093828711E-12</v>
      </c>
      <c r="DI111" s="24">
        <f t="shared" si="69"/>
        <v>0.77553433306537223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67.92276262849991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2.75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10.083333333333334</v>
      </c>
      <c r="H112" s="70">
        <f t="shared" si="56"/>
        <v>216.33333333333334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218.99999999999986</v>
      </c>
      <c r="O112" s="14">
        <f>N112*VLOOKUP('Données projet'!$B$9,Paramètres!$A$1:$I$89,3,0)*VLOOKUP('Données projet'!$B$9,Paramètres!$A$1:$I$89,5,0)</f>
        <v>228.89879999999985</v>
      </c>
      <c r="P112" s="14">
        <f t="shared" si="87"/>
        <v>56.044509878204614</v>
      </c>
      <c r="Q112" s="22">
        <f t="shared" si="107"/>
        <v>496.27626470453941</v>
      </c>
      <c r="R112" s="62">
        <f t="shared" si="55"/>
        <v>782.12519089846353</v>
      </c>
      <c r="S112" s="62">
        <f ca="1">AVERAGE(OFFSET($R$3,0,0,'Données projet'!$E$9+1,1))-AVERAGE(OFFSET($H$3,0,0,'Données projet'!$E$9+1,1))</f>
        <v>338.33619350800484</v>
      </c>
      <c r="T112" s="62">
        <f t="shared" si="88"/>
        <v>173.80539144233424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1.9895196601282805E-13</v>
      </c>
      <c r="AJ112" s="14">
        <f>AI112*VLOOKUP('Données projet'!$B$10,Paramètres!$A$1:$I$89,3,0)*VLOOKUP('Données projet'!$B$10,Paramètres!$A$1:$I$89,5,0)</f>
        <v>1.8001173884840681E-13</v>
      </c>
      <c r="AK112" s="14">
        <f t="shared" si="89"/>
        <v>2.5254331426407198E-12</v>
      </c>
      <c r="AL112" s="22">
        <f t="shared" si="58"/>
        <v>4.7119831685935622E-12</v>
      </c>
      <c r="AM112" s="62">
        <f t="shared" si="59"/>
        <v>285.84892619392883</v>
      </c>
      <c r="AN112" s="62">
        <f ca="1">AVERAGE(OFFSET($AM$3,0,0,'Données projet'!$E$10+1,1))-AVERAGE(OFFSET($H$3,0,0,'Données projet'!$E$10+1,1))</f>
        <v>308.01218908312546</v>
      </c>
      <c r="AO112" s="62">
        <f t="shared" si="90"/>
        <v>433.94915035190684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0.92440919268368749</v>
      </c>
      <c r="AV112" s="23">
        <f>EXP(-LN(2)/25)*AV111+(1-EXP(-LN(2)/25))/(LN(2)/25)*Calculateur!AQ112*Calculateur!AS112*VLOOKUP('Données projet'!$B$10,Paramètres!$A$1:$I$89,3,0)*0.475*44/12</f>
        <v>0.87378876798745153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1.7981979606711391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3</v>
      </c>
      <c r="BD112" s="13">
        <f>IF('Données projet'!$A$88&gt;35,BD111+BC112-BL111,IF(A112&lt;'Données projet'!$A$88,$BA$205^A112,IF(A112='Données projet'!$A$88,'Données projet'!$B$88,BD111+BC112-BL111)))</f>
        <v>218.99999999999986</v>
      </c>
      <c r="BE112" s="14">
        <f>BD112*VLOOKUP('Données projet'!$B$11,Paramètres!$A$1:$I$89,3,0)*VLOOKUP('Données projet'!$B$11,Paramètres!$A$1:$I$89,5,0)</f>
        <v>222.06599999999986</v>
      </c>
      <c r="BF112" s="14">
        <f t="shared" si="91"/>
        <v>54.563676045889295</v>
      </c>
      <c r="BG112" s="22">
        <f t="shared" si="61"/>
        <v>481.79668577992356</v>
      </c>
      <c r="BH112" s="62">
        <f t="shared" si="62"/>
        <v>767.64561197384774</v>
      </c>
      <c r="BI112" s="62">
        <f ca="1">AVERAGE(OFFSET($BH$3,0,0,'Données projet'!$E$11+1,1))-AVERAGE(OFFSET($H$3,0,0,'Données projet'!$E$11+1,1))</f>
        <v>329.96352570744875</v>
      </c>
      <c r="BJ112" s="62">
        <f t="shared" si="92"/>
        <v>170.12252063636961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1.1368683772161603E-13</v>
      </c>
      <c r="BZ112" s="14">
        <f>BY112*VLOOKUP('Données projet'!$B$12,Paramètres!$A$1:$I$89,3,0)*VLOOKUP('Données projet'!$B$12,Paramètres!$A$1:$I$89,5,0)</f>
        <v>5.3205440053716299E-14</v>
      </c>
      <c r="CA112" s="14">
        <f t="shared" si="93"/>
        <v>8.602146238565607E-13</v>
      </c>
      <c r="CB112" s="22">
        <f t="shared" si="64"/>
        <v>1.590873277977066E-12</v>
      </c>
      <c r="CC112" s="62">
        <f t="shared" si="65"/>
        <v>285.84892619392571</v>
      </c>
      <c r="CD112" s="62">
        <f ca="1">AVERAGE(OFFSET($CC$3,0,0,'Données projet'!$E$12+1,1))-AVERAGE(OFFSET($H$3,0,0,'Données projet'!$E$12+1,1))</f>
        <v>276.21705775006376</v>
      </c>
      <c r="CE112" s="62">
        <f t="shared" si="94"/>
        <v>234.24947280606958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376.32432344617206</v>
      </c>
      <c r="CZ112" s="62">
        <f t="shared" si="96"/>
        <v>302.77411534670466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0.3449373644193186</v>
      </c>
      <c r="DG112" s="23">
        <f>EXP(-LN(2)/25)*DG111+(1-EXP(-LN(2)/25))/(LN(2)/25)*Calculateur!DB112*Calculateur!DD112*VLOOKUP('Données projet'!$B$13,Paramètres!$A$1:$I$89,3,0)*0.475*44/12</f>
        <v>0.41211163124320871</v>
      </c>
      <c r="DH112" s="23">
        <f>EXP(-LN(2)/2)*DH111+(1-EXP(-LN(2)/2))/(LN(2)/2)*DB112*DE112*VLOOKUP('Données projet'!$B$13,Paramètres!$A$1:$I$89,3,0)*0.475*44/12</f>
        <v>8.7086712120202027E-13</v>
      </c>
      <c r="DI112" s="24">
        <f t="shared" si="69"/>
        <v>0.75704899566339812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67.958798052888397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2.75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10.083333333333334</v>
      </c>
      <c r="H113" s="70">
        <f t="shared" si="56"/>
        <v>216.33333333333334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222</v>
      </c>
      <c r="L113" s="13">
        <f>VLOOKUP(A113,'Données projet'!$A$35:$I$55,9,0)</f>
        <v>3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221.99999999999986</v>
      </c>
      <c r="O113" s="14">
        <f>N113*VLOOKUP('Données projet'!$B$9,Paramètres!$A$1:$I$89,3,0)*VLOOKUP('Données projet'!$B$9,Paramètres!$A$1:$I$89,5,0)</f>
        <v>232.03439999999989</v>
      </c>
      <c r="P113" s="14">
        <f t="shared" si="87"/>
        <v>56.722340668285831</v>
      </c>
      <c r="Q113" s="22">
        <f t="shared" si="107"/>
        <v>502.91798999726421</v>
      </c>
      <c r="R113" s="62">
        <f t="shared" si="55"/>
        <v>788.89675392242953</v>
      </c>
      <c r="S113" s="62">
        <f ca="1">AVERAGE(OFFSET($R$3,0,0,'Données projet'!$E$9+1,1))-AVERAGE(OFFSET($H$3,0,0,'Données projet'!$E$9+1,1))</f>
        <v>338.33619350800484</v>
      </c>
      <c r="T113" s="62">
        <f t="shared" si="88"/>
        <v>173.80539144233424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1.9895196601282805E-13</v>
      </c>
      <c r="AJ113" s="14">
        <f>AI113*VLOOKUP('Données projet'!$B$10,Paramètres!$A$1:$I$89,3,0)*VLOOKUP('Données projet'!$B$10,Paramètres!$A$1:$I$89,5,0)</f>
        <v>1.8001173884840681E-13</v>
      </c>
      <c r="AK113" s="14">
        <f t="shared" si="89"/>
        <v>2.5254331426407198E-12</v>
      </c>
      <c r="AL113" s="22">
        <f t="shared" si="58"/>
        <v>4.7119831685935622E-12</v>
      </c>
      <c r="AM113" s="62">
        <f t="shared" si="59"/>
        <v>285.97876392516997</v>
      </c>
      <c r="AN113" s="62">
        <f ca="1">AVERAGE(OFFSET($AM$3,0,0,'Données projet'!$E$10+1,1))-AVERAGE(OFFSET($H$3,0,0,'Données projet'!$E$10+1,1))</f>
        <v>308.01218908312546</v>
      </c>
      <c r="AO113" s="62">
        <f t="shared" si="90"/>
        <v>433.94915035190684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0.90628209224909395</v>
      </c>
      <c r="AV113" s="23">
        <f>EXP(-LN(2)/25)*AV112+(1-EXP(-LN(2)/25))/(LN(2)/25)*Calculateur!AQ113*Calculateur!AS113*VLOOKUP('Données projet'!$B$10,Paramètres!$A$1:$I$89,3,0)*0.475*44/12</f>
        <v>0.84989496817628041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1.7561770604253744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222</v>
      </c>
      <c r="BB113" s="13">
        <f>VLOOKUP(A113,'Données projet'!$A$87:$I$107,9,0)</f>
        <v>3</v>
      </c>
      <c r="BC113" s="13">
        <f t="array" ref="BC113">INDEX(BB:BB,MIN(IF(ISNUMBER(BB113:BB309),ROW(BB113:BB309),"")))</f>
        <v>3</v>
      </c>
      <c r="BD113" s="13">
        <f>IF('Données projet'!$A$88&gt;35,BD112+BC113-BL112,IF(A113&lt;'Données projet'!$A$88,$BA$205^A113,IF(A113='Données projet'!$A$88,'Données projet'!$B$88,BD112+BC113-BL112)))</f>
        <v>221.99999999999986</v>
      </c>
      <c r="BE113" s="14">
        <f>BD113*VLOOKUP('Données projet'!$B$11,Paramètres!$A$1:$I$89,3,0)*VLOOKUP('Données projet'!$B$11,Paramètres!$A$1:$I$89,5,0)</f>
        <v>225.10799999999989</v>
      </c>
      <c r="BF113" s="14">
        <f t="shared" si="91"/>
        <v>55.223596878889587</v>
      </c>
      <c r="BG113" s="22">
        <f t="shared" si="61"/>
        <v>488.24419789739909</v>
      </c>
      <c r="BH113" s="62">
        <f t="shared" si="62"/>
        <v>774.22296182256434</v>
      </c>
      <c r="BI113" s="62">
        <f ca="1">AVERAGE(OFFSET($BH$3,0,0,'Données projet'!$E$11+1,1))-AVERAGE(OFFSET($H$3,0,0,'Données projet'!$E$11+1,1))</f>
        <v>329.96352570744875</v>
      </c>
      <c r="BJ113" s="62">
        <f t="shared" si="92"/>
        <v>170.12252063636961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1.1368683772161603E-13</v>
      </c>
      <c r="BZ113" s="14">
        <f>BY113*VLOOKUP('Données projet'!$B$12,Paramètres!$A$1:$I$89,3,0)*VLOOKUP('Données projet'!$B$12,Paramètres!$A$1:$I$89,5,0)</f>
        <v>5.3205440053716299E-14</v>
      </c>
      <c r="CA113" s="14">
        <f t="shared" si="93"/>
        <v>8.602146238565607E-13</v>
      </c>
      <c r="CB113" s="22">
        <f t="shared" si="64"/>
        <v>1.590873277977066E-12</v>
      </c>
      <c r="CC113" s="62">
        <f t="shared" si="65"/>
        <v>285.97876392516685</v>
      </c>
      <c r="CD113" s="62">
        <f ca="1">AVERAGE(OFFSET($CC$3,0,0,'Données projet'!$E$12+1,1))-AVERAGE(OFFSET($H$3,0,0,'Données projet'!$E$12+1,1))</f>
        <v>276.21705775006376</v>
      </c>
      <c r="CE113" s="62">
        <f t="shared" si="94"/>
        <v>234.24947280606958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376.32432344617206</v>
      </c>
      <c r="CZ113" s="62">
        <f t="shared" si="96"/>
        <v>302.77411534670466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0.33817335309407365</v>
      </c>
      <c r="DG113" s="23">
        <f>EXP(-LN(2)/25)*DG112+(1-EXP(-LN(2)/25))/(LN(2)/25)*Calculateur!DB113*Calculateur!DD113*VLOOKUP('Données projet'!$B$13,Paramètres!$A$1:$I$89,3,0)*0.475*44/12</f>
        <v>0.40084241701485435</v>
      </c>
      <c r="DH113" s="23">
        <f>EXP(-LN(2)/2)*DH112+(1-EXP(-LN(2)/2))/(LN(2)/2)*DB113*DE113*VLOOKUP('Données projet'!$B$13,Paramètres!$A$1:$I$89,3,0)*0.475*44/12</f>
        <v>6.157960469143555E-13</v>
      </c>
      <c r="DI113" s="24">
        <f t="shared" si="69"/>
        <v>0.73901577010954378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67.994208343226887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2.75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10.083333333333334</v>
      </c>
      <c r="H114" s="70">
        <f t="shared" si="56"/>
        <v>216.33333333333334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</v>
      </c>
      <c r="N114" s="14">
        <f>IF('Données projet'!$A$36&gt;35,N113+M114-V113,IF(A114&lt;'Données projet'!$A$36,$K$205^A114,IF(A114='Données projet'!$A$36,'Données projet'!$B$36,N113+M114-V113)))</f>
        <v>211.79999999999987</v>
      </c>
      <c r="O114" s="14">
        <f>N114*VLOOKUP('Données projet'!$B$9,Paramètres!$A$1:$I$89,3,0)*VLOOKUP('Données projet'!$B$9,Paramètres!$A$1:$I$89,5,0)</f>
        <v>221.37335999999988</v>
      </c>
      <c r="P114" s="14">
        <f t="shared" si="87"/>
        <v>54.413270534861574</v>
      </c>
      <c r="Q114" s="22">
        <f t="shared" si="107"/>
        <v>480.32838151488369</v>
      </c>
      <c r="R114" s="62">
        <f t="shared" si="55"/>
        <v>766.4347307769267</v>
      </c>
      <c r="S114" s="62">
        <f ca="1">AVERAGE(OFFSET($R$3,0,0,'Données projet'!$E$9+1,1))-AVERAGE(OFFSET($H$3,0,0,'Données projet'!$E$9+1,1))</f>
        <v>338.33619350800484</v>
      </c>
      <c r="T114" s="62">
        <f t="shared" si="88"/>
        <v>173.80539144233424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1.9895196601282805E-13</v>
      </c>
      <c r="AJ114" s="14">
        <f>AI114*VLOOKUP('Données projet'!$B$10,Paramètres!$A$1:$I$89,3,0)*VLOOKUP('Données projet'!$B$10,Paramètres!$A$1:$I$89,5,0)</f>
        <v>1.8001173884840681E-13</v>
      </c>
      <c r="AK114" s="14">
        <f t="shared" si="89"/>
        <v>2.5254331426407198E-12</v>
      </c>
      <c r="AL114" s="22">
        <f t="shared" si="58"/>
        <v>4.7119831685935622E-12</v>
      </c>
      <c r="AM114" s="62">
        <f t="shared" si="59"/>
        <v>286.10634926204773</v>
      </c>
      <c r="AN114" s="62">
        <f ca="1">AVERAGE(OFFSET($AM$3,0,0,'Données projet'!$E$10+1,1))-AVERAGE(OFFSET($H$3,0,0,'Données projet'!$E$10+1,1))</f>
        <v>308.01218908312546</v>
      </c>
      <c r="AO114" s="62">
        <f t="shared" si="90"/>
        <v>433.94915035190684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0.88851045319758326</v>
      </c>
      <c r="AV114" s="23">
        <f>EXP(-LN(2)/25)*AV113+(1-EXP(-LN(2)/25))/(LN(2)/25)*Calculateur!AQ114*Calculateur!AS114*VLOOKUP('Données projet'!$B$10,Paramètres!$A$1:$I$89,3,0)*0.475*44/12</f>
        <v>0.82665454557746609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1.7151649987750495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211.79999999999987</v>
      </c>
      <c r="BE114" s="14">
        <f>BD114*VLOOKUP('Données projet'!$B$11,Paramètres!$A$1:$I$89,3,0)*VLOOKUP('Données projet'!$B$11,Paramètres!$A$1:$I$89,5,0)</f>
        <v>214.76519999999991</v>
      </c>
      <c r="BF114" s="14">
        <f t="shared" si="91"/>
        <v>52.975538059190747</v>
      </c>
      <c r="BG114" s="22">
        <f t="shared" si="61"/>
        <v>466.31511878642374</v>
      </c>
      <c r="BH114" s="62">
        <f t="shared" si="62"/>
        <v>752.42146804846675</v>
      </c>
      <c r="BI114" s="62">
        <f ca="1">AVERAGE(OFFSET($BH$3,0,0,'Données projet'!$E$11+1,1))-AVERAGE(OFFSET($H$3,0,0,'Données projet'!$E$11+1,1))</f>
        <v>329.96352570744875</v>
      </c>
      <c r="BJ114" s="62">
        <f t="shared" si="92"/>
        <v>170.12252063636961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1.1368683772161603E-13</v>
      </c>
      <c r="BZ114" s="14">
        <f>BY114*VLOOKUP('Données projet'!$B$12,Paramètres!$A$1:$I$89,3,0)*VLOOKUP('Données projet'!$B$12,Paramètres!$A$1:$I$89,5,0)</f>
        <v>5.3205440053716299E-14</v>
      </c>
      <c r="CA114" s="14">
        <f t="shared" si="93"/>
        <v>8.602146238565607E-13</v>
      </c>
      <c r="CB114" s="22">
        <f t="shared" si="64"/>
        <v>1.590873277977066E-12</v>
      </c>
      <c r="CC114" s="62">
        <f t="shared" si="65"/>
        <v>286.1063492620446</v>
      </c>
      <c r="CD114" s="62">
        <f ca="1">AVERAGE(OFFSET($CC$3,0,0,'Données projet'!$E$12+1,1))-AVERAGE(OFFSET($H$3,0,0,'Données projet'!$E$12+1,1))</f>
        <v>276.21705775006376</v>
      </c>
      <c r="CE114" s="62">
        <f t="shared" si="94"/>
        <v>234.24947280606958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376.32432344617206</v>
      </c>
      <c r="CZ114" s="62">
        <f t="shared" si="96"/>
        <v>302.77411534670466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0.33154197990527723</v>
      </c>
      <c r="DG114" s="23">
        <f>EXP(-LN(2)/25)*DG113+(1-EXP(-LN(2)/25))/(LN(2)/25)*Calculateur!DB114*Calculateur!DD114*VLOOKUP('Données projet'!$B$13,Paramètres!$A$1:$I$89,3,0)*0.475*44/12</f>
        <v>0.38988136004219659</v>
      </c>
      <c r="DH114" s="23">
        <f>EXP(-LN(2)/2)*DH113+(1-EXP(-LN(2)/2))/(LN(2)/2)*DB114*DE114*VLOOKUP('Données projet'!$B$13,Paramètres!$A$1:$I$89,3,0)*0.475*44/12</f>
        <v>4.3543356060101014E-13</v>
      </c>
      <c r="DI114" s="24">
        <f t="shared" si="69"/>
        <v>0.7214233399479093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68.029004344193538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2.75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10.083333333333334</v>
      </c>
      <c r="H115" s="70">
        <f t="shared" si="56"/>
        <v>216.33333333333334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</v>
      </c>
      <c r="N115" s="14">
        <f>IF('Données projet'!$A$36&gt;35,N114+M115-V114,IF(A115&lt;'Données projet'!$A$36,$K$205^A115,IF(A115='Données projet'!$A$36,'Données projet'!$B$36,N114+M115-V114)))</f>
        <v>214.59999999999988</v>
      </c>
      <c r="O115" s="14">
        <f>N115*VLOOKUP('Données projet'!$B$9,Paramètres!$A$1:$I$89,3,0)*VLOOKUP('Données projet'!$B$9,Paramètres!$A$1:$I$89,5,0)</f>
        <v>224.2999199999999</v>
      </c>
      <c r="P115" s="14">
        <f t="shared" si="87"/>
        <v>55.048396648853249</v>
      </c>
      <c r="Q115" s="22">
        <f t="shared" si="107"/>
        <v>486.53165149675254</v>
      </c>
      <c r="R115" s="62">
        <f t="shared" si="55"/>
        <v>772.76337277531661</v>
      </c>
      <c r="S115" s="62">
        <f ca="1">AVERAGE(OFFSET($R$3,0,0,'Données projet'!$E$9+1,1))-AVERAGE(OFFSET($H$3,0,0,'Données projet'!$E$9+1,1))</f>
        <v>338.33619350800484</v>
      </c>
      <c r="T115" s="62">
        <f t="shared" si="88"/>
        <v>173.80539144233424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1.9895196601282805E-13</v>
      </c>
      <c r="AJ115" s="14">
        <f>AI115*VLOOKUP('Données projet'!$B$10,Paramètres!$A$1:$I$89,3,0)*VLOOKUP('Données projet'!$B$10,Paramètres!$A$1:$I$89,5,0)</f>
        <v>1.8001173884840681E-13</v>
      </c>
      <c r="AK115" s="14">
        <f t="shared" si="89"/>
        <v>2.5254331426407198E-12</v>
      </c>
      <c r="AL115" s="22">
        <f t="shared" si="58"/>
        <v>4.7119831685935622E-12</v>
      </c>
      <c r="AM115" s="62">
        <f t="shared" si="59"/>
        <v>286.23172127856873</v>
      </c>
      <c r="AN115" s="62">
        <f ca="1">AVERAGE(OFFSET($AM$3,0,0,'Données projet'!$E$10+1,1))-AVERAGE(OFFSET($H$3,0,0,'Données projet'!$E$10+1,1))</f>
        <v>308.01218908312546</v>
      </c>
      <c r="AO115" s="62">
        <f t="shared" si="90"/>
        <v>433.94915035190684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0.87108730514824317</v>
      </c>
      <c r="AV115" s="23">
        <f>EXP(-LN(2)/25)*AV114+(1-EXP(-LN(2)/25))/(LN(2)/25)*Calculateur!AQ115*Calculateur!AS115*VLOOKUP('Données projet'!$B$10,Paramètres!$A$1:$I$89,3,0)*0.475*44/12</f>
        <v>0.80404963355677705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1.6751369387050201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214.59999999999988</v>
      </c>
      <c r="BE115" s="14">
        <f>BD115*VLOOKUP('Données projet'!$B$11,Paramètres!$A$1:$I$89,3,0)*VLOOKUP('Données projet'!$B$11,Paramètres!$A$1:$I$89,5,0)</f>
        <v>217.60439999999988</v>
      </c>
      <c r="BF115" s="14">
        <f t="shared" si="91"/>
        <v>53.593882578706356</v>
      </c>
      <c r="BG115" s="22">
        <f t="shared" si="61"/>
        <v>472.3370088245801</v>
      </c>
      <c r="BH115" s="62">
        <f t="shared" si="62"/>
        <v>758.56873010314416</v>
      </c>
      <c r="BI115" s="62">
        <f ca="1">AVERAGE(OFFSET($BH$3,0,0,'Données projet'!$E$11+1,1))-AVERAGE(OFFSET($H$3,0,0,'Données projet'!$E$11+1,1))</f>
        <v>329.96352570744875</v>
      </c>
      <c r="BJ115" s="62">
        <f t="shared" si="92"/>
        <v>170.12252063636961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1.1368683772161603E-13</v>
      </c>
      <c r="BZ115" s="14">
        <f>BY115*VLOOKUP('Données projet'!$B$12,Paramètres!$A$1:$I$89,3,0)*VLOOKUP('Données projet'!$B$12,Paramètres!$A$1:$I$89,5,0)</f>
        <v>5.3205440053716299E-14</v>
      </c>
      <c r="CA115" s="14">
        <f t="shared" si="93"/>
        <v>8.602146238565607E-13</v>
      </c>
      <c r="CB115" s="22">
        <f t="shared" si="64"/>
        <v>1.590873277977066E-12</v>
      </c>
      <c r="CC115" s="62">
        <f t="shared" si="65"/>
        <v>286.2317212785656</v>
      </c>
      <c r="CD115" s="62">
        <f ca="1">AVERAGE(OFFSET($CC$3,0,0,'Données projet'!$E$12+1,1))-AVERAGE(OFFSET($H$3,0,0,'Données projet'!$E$12+1,1))</f>
        <v>276.21705775006376</v>
      </c>
      <c r="CE115" s="62">
        <f t="shared" si="94"/>
        <v>234.24947280606958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376.32432344617206</v>
      </c>
      <c r="CZ115" s="62">
        <f t="shared" si="96"/>
        <v>302.77411534670466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0.32504064389997483</v>
      </c>
      <c r="DG115" s="23">
        <f>EXP(-LN(2)/25)*DG114+(1-EXP(-LN(2)/25))/(LN(2)/25)*Calculateur!DB115*Calculateur!DD115*VLOOKUP('Données projet'!$B$13,Paramètres!$A$1:$I$89,3,0)*0.475*44/12</f>
        <v>0.37922003374887309</v>
      </c>
      <c r="DH115" s="23">
        <f>EXP(-LN(2)/2)*DH114+(1-EXP(-LN(2)/2))/(LN(2)/2)*DB115*DE115*VLOOKUP('Données projet'!$B$13,Paramètres!$A$1:$I$89,3,0)*0.475*44/12</f>
        <v>3.0789802345717775E-13</v>
      </c>
      <c r="DI115" s="24">
        <f t="shared" si="69"/>
        <v>0.70426067764915579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68.063196712335639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2.75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10.083333333333334</v>
      </c>
      <c r="H116" s="70">
        <f t="shared" si="56"/>
        <v>216.33333333333334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</v>
      </c>
      <c r="N116" s="14">
        <f>IF('Données projet'!$A$36&gt;35,N115+M116-V115,IF(A116&lt;'Données projet'!$A$36,$K$205^A116,IF(A116='Données projet'!$A$36,'Données projet'!$B$36,N115+M116-V115)))</f>
        <v>217.39999999999989</v>
      </c>
      <c r="O116" s="14">
        <f>N116*VLOOKUP('Données projet'!$B$9,Paramètres!$A$1:$I$89,3,0)*VLOOKUP('Données projet'!$B$9,Paramètres!$A$1:$I$89,5,0)</f>
        <v>227.2264799999999</v>
      </c>
      <c r="P116" s="14">
        <f t="shared" si="87"/>
        <v>55.682558879342537</v>
      </c>
      <c r="Q116" s="22">
        <f t="shared" si="107"/>
        <v>492.73324271485473</v>
      </c>
      <c r="R116" s="62">
        <f t="shared" si="55"/>
        <v>779.08816108574297</v>
      </c>
      <c r="S116" s="62">
        <f ca="1">AVERAGE(OFFSET($R$3,0,0,'Données projet'!$E$9+1,1))-AVERAGE(OFFSET($H$3,0,0,'Données projet'!$E$9+1,1))</f>
        <v>338.33619350800484</v>
      </c>
      <c r="T116" s="62">
        <f t="shared" si="88"/>
        <v>173.80539144233424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1.9895196601282805E-13</v>
      </c>
      <c r="AJ116" s="14">
        <f>AI116*VLOOKUP('Données projet'!$B$10,Paramètres!$A$1:$I$89,3,0)*VLOOKUP('Données projet'!$B$10,Paramètres!$A$1:$I$89,5,0)</f>
        <v>1.8001173884840681E-13</v>
      </c>
      <c r="AK116" s="14">
        <f t="shared" si="89"/>
        <v>2.5254331426407198E-12</v>
      </c>
      <c r="AL116" s="22">
        <f t="shared" si="58"/>
        <v>4.7119831685935622E-12</v>
      </c>
      <c r="AM116" s="62">
        <f t="shared" si="59"/>
        <v>286.35491837089296</v>
      </c>
      <c r="AN116" s="62">
        <f ca="1">AVERAGE(OFFSET($AM$3,0,0,'Données projet'!$E$10+1,1))-AVERAGE(OFFSET($H$3,0,0,'Données projet'!$E$10+1,1))</f>
        <v>308.01218908312546</v>
      </c>
      <c r="AO116" s="62">
        <f t="shared" si="90"/>
        <v>433.94915035190684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0.85400581440507972</v>
      </c>
      <c r="AV116" s="23">
        <f>EXP(-LN(2)/25)*AV115+(1-EXP(-LN(2)/25))/(LN(2)/25)*Calculateur!AQ116*Calculateur!AS116*VLOOKUP('Données projet'!$B$10,Paramètres!$A$1:$I$89,3,0)*0.475*44/12</f>
        <v>0.78206285404403442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1.6360686684491141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217.39999999999989</v>
      </c>
      <c r="BE116" s="14">
        <f>BD116*VLOOKUP('Données projet'!$B$11,Paramètres!$A$1:$I$89,3,0)*VLOOKUP('Données projet'!$B$11,Paramètres!$A$1:$I$89,5,0)</f>
        <v>220.44359999999992</v>
      </c>
      <c r="BF116" s="14">
        <f t="shared" si="91"/>
        <v>54.211288682893063</v>
      </c>
      <c r="BG116" s="22">
        <f t="shared" si="61"/>
        <v>478.35726445603859</v>
      </c>
      <c r="BH116" s="62">
        <f t="shared" si="62"/>
        <v>764.71218282692689</v>
      </c>
      <c r="BI116" s="62">
        <f ca="1">AVERAGE(OFFSET($BH$3,0,0,'Données projet'!$E$11+1,1))-AVERAGE(OFFSET($H$3,0,0,'Données projet'!$E$11+1,1))</f>
        <v>329.96352570744875</v>
      </c>
      <c r="BJ116" s="62">
        <f t="shared" si="92"/>
        <v>170.12252063636961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1.1368683772161603E-13</v>
      </c>
      <c r="BZ116" s="14">
        <f>BY116*VLOOKUP('Données projet'!$B$12,Paramètres!$A$1:$I$89,3,0)*VLOOKUP('Données projet'!$B$12,Paramètres!$A$1:$I$89,5,0)</f>
        <v>5.3205440053716299E-14</v>
      </c>
      <c r="CA116" s="14">
        <f t="shared" si="93"/>
        <v>8.602146238565607E-13</v>
      </c>
      <c r="CB116" s="22">
        <f t="shared" si="64"/>
        <v>1.590873277977066E-12</v>
      </c>
      <c r="CC116" s="62">
        <f t="shared" si="65"/>
        <v>286.35491837088983</v>
      </c>
      <c r="CD116" s="62">
        <f ca="1">AVERAGE(OFFSET($CC$3,0,0,'Données projet'!$E$12+1,1))-AVERAGE(OFFSET($H$3,0,0,'Données projet'!$E$12+1,1))</f>
        <v>276.21705775006376</v>
      </c>
      <c r="CE116" s="62">
        <f t="shared" si="94"/>
        <v>234.24947280606958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376.32432344617206</v>
      </c>
      <c r="CZ116" s="62">
        <f t="shared" si="96"/>
        <v>302.77411534670466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0.31866679512831303</v>
      </c>
      <c r="DG116" s="23">
        <f>EXP(-LN(2)/25)*DG115+(1-EXP(-LN(2)/25))/(LN(2)/25)*Calculateur!DB116*Calculateur!DD116*VLOOKUP('Données projet'!$B$13,Paramètres!$A$1:$I$89,3,0)*0.475*44/12</f>
        <v>0.36885024198369532</v>
      </c>
      <c r="DH116" s="23">
        <f>EXP(-LN(2)/2)*DH115+(1-EXP(-LN(2)/2))/(LN(2)/2)*DB116*DE116*VLOOKUP('Données projet'!$B$13,Paramètres!$A$1:$I$89,3,0)*0.475*44/12</f>
        <v>2.1771678030050507E-13</v>
      </c>
      <c r="DI116" s="24">
        <f t="shared" si="69"/>
        <v>0.687517037112226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68.096795919333147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2.75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10.083333333333334</v>
      </c>
      <c r="H117" s="70">
        <f t="shared" si="56"/>
        <v>216.33333333333334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</v>
      </c>
      <c r="N117" s="14">
        <f>IF('Données projet'!$A$36&gt;35,N116+M117-V116,IF(A117&lt;'Données projet'!$A$36,$K$205^A117,IF(A117='Données projet'!$A$36,'Données projet'!$B$36,N116+M117-V116)))</f>
        <v>220.1999999999999</v>
      </c>
      <c r="O117" s="14">
        <f>N117*VLOOKUP('Données projet'!$B$9,Paramètres!$A$1:$I$89,3,0)*VLOOKUP('Données projet'!$B$9,Paramètres!$A$1:$I$89,5,0)</f>
        <v>230.15303999999992</v>
      </c>
      <c r="P117" s="14">
        <f t="shared" si="87"/>
        <v>56.315771076066149</v>
      </c>
      <c r="Q117" s="22">
        <f t="shared" si="107"/>
        <v>498.93317929081496</v>
      </c>
      <c r="R117" s="62">
        <f t="shared" si="55"/>
        <v>785.40915755990295</v>
      </c>
      <c r="S117" s="62">
        <f ca="1">AVERAGE(OFFSET($R$3,0,0,'Données projet'!$E$9+1,1))-AVERAGE(OFFSET($H$3,0,0,'Données projet'!$E$9+1,1))</f>
        <v>338.33619350800484</v>
      </c>
      <c r="T117" s="62">
        <f t="shared" si="88"/>
        <v>173.80539144233424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1.9895196601282805E-13</v>
      </c>
      <c r="AJ117" s="14">
        <f>AI117*VLOOKUP('Données projet'!$B$10,Paramètres!$A$1:$I$89,3,0)*VLOOKUP('Données projet'!$B$10,Paramètres!$A$1:$I$89,5,0)</f>
        <v>1.8001173884840681E-13</v>
      </c>
      <c r="AK117" s="14">
        <f t="shared" si="89"/>
        <v>2.5254331426407198E-12</v>
      </c>
      <c r="AL117" s="22">
        <f t="shared" si="58"/>
        <v>4.7119831685935622E-12</v>
      </c>
      <c r="AM117" s="62">
        <f t="shared" si="59"/>
        <v>286.47597826909271</v>
      </c>
      <c r="AN117" s="62">
        <f ca="1">AVERAGE(OFFSET($AM$3,0,0,'Données projet'!$E$10+1,1))-AVERAGE(OFFSET($H$3,0,0,'Données projet'!$E$10+1,1))</f>
        <v>308.01218908312546</v>
      </c>
      <c r="AO117" s="62">
        <f t="shared" si="90"/>
        <v>433.94915035190684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0.83725928127670912</v>
      </c>
      <c r="AV117" s="23">
        <f>EXP(-LN(2)/25)*AV116+(1-EXP(-LN(2)/25))/(LN(2)/25)*Calculateur!AQ117*Calculateur!AS117*VLOOKUP('Données projet'!$B$10,Paramètres!$A$1:$I$89,3,0)*0.475*44/12</f>
        <v>0.76067730417330226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1.5979365854500114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220.1999999999999</v>
      </c>
      <c r="BE117" s="14">
        <f>BD117*VLOOKUP('Données projet'!$B$11,Paramètres!$A$1:$I$89,3,0)*VLOOKUP('Données projet'!$B$11,Paramètres!$A$1:$I$89,5,0)</f>
        <v>223.28279999999992</v>
      </c>
      <c r="BF117" s="14">
        <f t="shared" si="91"/>
        <v>54.82776985554348</v>
      </c>
      <c r="BG117" s="22">
        <f t="shared" si="61"/>
        <v>484.37590916507139</v>
      </c>
      <c r="BH117" s="62">
        <f t="shared" si="62"/>
        <v>770.85188743415938</v>
      </c>
      <c r="BI117" s="62">
        <f ca="1">AVERAGE(OFFSET($BH$3,0,0,'Données projet'!$E$11+1,1))-AVERAGE(OFFSET($H$3,0,0,'Données projet'!$E$11+1,1))</f>
        <v>329.96352570744875</v>
      </c>
      <c r="BJ117" s="62">
        <f t="shared" si="92"/>
        <v>170.12252063636961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1.1368683772161603E-13</v>
      </c>
      <c r="BZ117" s="14">
        <f>BY117*VLOOKUP('Données projet'!$B$12,Paramètres!$A$1:$I$89,3,0)*VLOOKUP('Données projet'!$B$12,Paramètres!$A$1:$I$89,5,0)</f>
        <v>5.3205440053716299E-14</v>
      </c>
      <c r="CA117" s="14">
        <f t="shared" si="93"/>
        <v>8.602146238565607E-13</v>
      </c>
      <c r="CB117" s="22">
        <f t="shared" si="64"/>
        <v>1.590873277977066E-12</v>
      </c>
      <c r="CC117" s="62">
        <f t="shared" si="65"/>
        <v>286.47597826908958</v>
      </c>
      <c r="CD117" s="62">
        <f ca="1">AVERAGE(OFFSET($CC$3,0,0,'Données projet'!$E$12+1,1))-AVERAGE(OFFSET($H$3,0,0,'Données projet'!$E$12+1,1))</f>
        <v>276.21705775006376</v>
      </c>
      <c r="CE117" s="62">
        <f t="shared" si="94"/>
        <v>234.24947280606958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376.32432344617206</v>
      </c>
      <c r="CZ117" s="62">
        <f t="shared" si="96"/>
        <v>302.77411534670466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0.31241793364339965</v>
      </c>
      <c r="DG117" s="23">
        <f>EXP(-LN(2)/25)*DG116+(1-EXP(-LN(2)/25))/(LN(2)/25)*Calculateur!DB117*Calculateur!DD117*VLOOKUP('Données projet'!$B$13,Paramètres!$A$1:$I$89,3,0)*0.475*44/12</f>
        <v>0.35876401271965996</v>
      </c>
      <c r="DH117" s="23">
        <f>EXP(-LN(2)/2)*DH116+(1-EXP(-LN(2)/2))/(LN(2)/2)*DB117*DE117*VLOOKUP('Données projet'!$B$13,Paramètres!$A$1:$I$89,3,0)*0.475*44/12</f>
        <v>1.5394901172858888E-13</v>
      </c>
      <c r="DI117" s="24">
        <f t="shared" si="69"/>
        <v>0.6711819463632136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68.12981225520582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2.75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10.083333333333334</v>
      </c>
      <c r="H118" s="70">
        <f t="shared" si="56"/>
        <v>216.33333333333334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223</v>
      </c>
      <c r="L118" s="13">
        <f>VLOOKUP(A118,'Données projet'!$A$35:$I$55,9,0)</f>
        <v>2.8</v>
      </c>
      <c r="M118" s="13">
        <f t="array" ref="M118">INDEX(L:L,MIN(IF(ISNUMBER(L118:L314),ROW(L118:L314),"")))</f>
        <v>2.8</v>
      </c>
      <c r="N118" s="14">
        <f>IF('Données projet'!$A$36&gt;35,N117+M118-V117,IF(A118&lt;'Données projet'!$A$36,$K$205^A118,IF(A118='Données projet'!$A$36,'Données projet'!$B$36,N117+M118-V117)))</f>
        <v>222.99999999999991</v>
      </c>
      <c r="O118" s="14">
        <f>N118*VLOOKUP('Données projet'!$B$9,Paramètres!$A$1:$I$89,3,0)*VLOOKUP('Données projet'!$B$9,Paramètres!$A$1:$I$89,5,0)</f>
        <v>233.07959999999991</v>
      </c>
      <c r="P118" s="14">
        <f t="shared" si="87"/>
        <v>56.948046716289042</v>
      </c>
      <c r="Q118" s="22">
        <f t="shared" si="107"/>
        <v>505.13148469753651</v>
      </c>
      <c r="R118" s="62">
        <f t="shared" si="55"/>
        <v>791.72642274624002</v>
      </c>
      <c r="S118" s="62">
        <f ca="1">AVERAGE(OFFSET($R$3,0,0,'Données projet'!$E$9+1,1))-AVERAGE(OFFSET($H$3,0,0,'Données projet'!$E$9+1,1))</f>
        <v>338.33619350800484</v>
      </c>
      <c r="T118" s="62">
        <f t="shared" si="88"/>
        <v>173.80539144233424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13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1.9895196601282805E-13</v>
      </c>
      <c r="AJ118" s="14">
        <f>AI118*VLOOKUP('Données projet'!$B$10,Paramètres!$A$1:$I$89,3,0)*VLOOKUP('Données projet'!$B$10,Paramètres!$A$1:$I$89,5,0)</f>
        <v>1.8001173884840681E-13</v>
      </c>
      <c r="AK118" s="14">
        <f t="shared" si="89"/>
        <v>2.5254331426407198E-12</v>
      </c>
      <c r="AL118" s="22">
        <f t="shared" si="58"/>
        <v>4.7119831685935622E-12</v>
      </c>
      <c r="AM118" s="62">
        <f t="shared" si="59"/>
        <v>286.59493804870823</v>
      </c>
      <c r="AN118" s="62">
        <f ca="1">AVERAGE(OFFSET($AM$3,0,0,'Données projet'!$E$10+1,1))-AVERAGE(OFFSET($H$3,0,0,'Données projet'!$E$10+1,1))</f>
        <v>308.01218908312546</v>
      </c>
      <c r="AO118" s="62">
        <f t="shared" si="90"/>
        <v>433.94915035190684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0.8208411374486092</v>
      </c>
      <c r="AV118" s="23">
        <f>EXP(-LN(2)/25)*AV117+(1-EXP(-LN(2)/25))/(LN(2)/25)*Calculateur!AQ118*Calculateur!AS118*VLOOKUP('Données projet'!$B$10,Paramètres!$A$1:$I$89,3,0)*0.475*44/12</f>
        <v>0.73987654328840247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1.5607176807370116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223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222.99999999999991</v>
      </c>
      <c r="BE118" s="14">
        <f>BD118*VLOOKUP('Données projet'!$B$11,Paramètres!$A$1:$I$89,3,0)*VLOOKUP('Données projet'!$B$11,Paramètres!$A$1:$I$89,5,0)</f>
        <v>226.12199999999996</v>
      </c>
      <c r="BF118" s="14">
        <f t="shared" si="91"/>
        <v>55.443339217820046</v>
      </c>
      <c r="BG118" s="22">
        <f t="shared" si="61"/>
        <v>490.39296580436979</v>
      </c>
      <c r="BH118" s="62">
        <f t="shared" si="62"/>
        <v>776.98790385307325</v>
      </c>
      <c r="BI118" s="62">
        <f ca="1">AVERAGE(OFFSET($BH$3,0,0,'Données projet'!$E$11+1,1))-AVERAGE(OFFSET($H$3,0,0,'Données projet'!$E$11+1,1))</f>
        <v>329.96352570744875</v>
      </c>
      <c r="BJ118" s="62">
        <f t="shared" si="92"/>
        <v>170.12252063636961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13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1.1368683772161603E-13</v>
      </c>
      <c r="BZ118" s="14">
        <f>BY118*VLOOKUP('Données projet'!$B$12,Paramètres!$A$1:$I$89,3,0)*VLOOKUP('Données projet'!$B$12,Paramètres!$A$1:$I$89,5,0)</f>
        <v>5.3205440053716299E-14</v>
      </c>
      <c r="CA118" s="14">
        <f t="shared" si="93"/>
        <v>8.602146238565607E-13</v>
      </c>
      <c r="CB118" s="22">
        <f t="shared" si="64"/>
        <v>1.590873277977066E-12</v>
      </c>
      <c r="CC118" s="62">
        <f t="shared" si="65"/>
        <v>286.5949380487051</v>
      </c>
      <c r="CD118" s="62">
        <f ca="1">AVERAGE(OFFSET($CC$3,0,0,'Données projet'!$E$12+1,1))-AVERAGE(OFFSET($H$3,0,0,'Données projet'!$E$12+1,1))</f>
        <v>276.21705775006376</v>
      </c>
      <c r="CE118" s="62">
        <f t="shared" si="94"/>
        <v>234.24947280606958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376.32432344617206</v>
      </c>
      <c r="CZ118" s="62">
        <f t="shared" si="96"/>
        <v>302.77411534670466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0.30629160852077625</v>
      </c>
      <c r="DG118" s="23">
        <f>EXP(-LN(2)/25)*DG117+(1-EXP(-LN(2)/25))/(LN(2)/25)*Calculateur!DB118*Calculateur!DD118*VLOOKUP('Données projet'!$B$13,Paramètres!$A$1:$I$89,3,0)*0.475*44/12</f>
        <v>0.34895359192526137</v>
      </c>
      <c r="DH118" s="23">
        <f>EXP(-LN(2)/2)*DH117+(1-EXP(-LN(2)/2))/(LN(2)/2)*DB118*DE118*VLOOKUP('Données projet'!$B$13,Paramètres!$A$1:$I$89,3,0)*0.475*44/12</f>
        <v>1.0885839015025253E-13</v>
      </c>
      <c r="DI118" s="24">
        <f t="shared" si="69"/>
        <v>0.65524520044614654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68.162255831464591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2.75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10.083333333333334</v>
      </c>
      <c r="H119" s="70">
        <f t="shared" si="56"/>
        <v>216.33333333333334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2.4</v>
      </c>
      <c r="N119" s="14">
        <f>IF('Données projet'!$A$36&gt;35,N118+M119-V118,IF(A119&lt;'Données projet'!$A$36,$K$205^A119,IF(A119='Données projet'!$A$36,'Données projet'!$B$36,N118+M119-V118)))</f>
        <v>212.39999999999992</v>
      </c>
      <c r="O119" s="14">
        <f>N119*VLOOKUP('Données projet'!$B$9,Paramètres!$A$1:$I$89,3,0)*VLOOKUP('Données projet'!$B$9,Paramètres!$A$1:$I$89,5,0)</f>
        <v>222.00047999999995</v>
      </c>
      <c r="P119" s="14">
        <f t="shared" si="87"/>
        <v>54.549450838514574</v>
      </c>
      <c r="Q119" s="22">
        <f t="shared" si="107"/>
        <v>481.65779621041276</v>
      </c>
      <c r="R119" s="62">
        <f t="shared" si="55"/>
        <v>768.3696303525096</v>
      </c>
      <c r="S119" s="62">
        <f ca="1">AVERAGE(OFFSET($R$3,0,0,'Données projet'!$E$9+1,1))-AVERAGE(OFFSET($H$3,0,0,'Données projet'!$E$9+1,1))</f>
        <v>338.33619350800484</v>
      </c>
      <c r="T119" s="62">
        <f t="shared" si="88"/>
        <v>173.80539144233424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1.9895196601282805E-13</v>
      </c>
      <c r="AJ119" s="14">
        <f>AI119*VLOOKUP('Données projet'!$B$10,Paramètres!$A$1:$I$89,3,0)*VLOOKUP('Données projet'!$B$10,Paramètres!$A$1:$I$89,5,0)</f>
        <v>1.8001173884840681E-13</v>
      </c>
      <c r="AK119" s="14">
        <f t="shared" si="89"/>
        <v>2.5254331426407198E-12</v>
      </c>
      <c r="AL119" s="22">
        <f t="shared" si="58"/>
        <v>4.7119831685935622E-12</v>
      </c>
      <c r="AM119" s="62">
        <f t="shared" si="59"/>
        <v>286.71183414210157</v>
      </c>
      <c r="AN119" s="62">
        <f ca="1">AVERAGE(OFFSET($AM$3,0,0,'Données projet'!$E$10+1,1))-AVERAGE(OFFSET($H$3,0,0,'Données projet'!$E$10+1,1))</f>
        <v>308.01218908312546</v>
      </c>
      <c r="AO119" s="62">
        <f t="shared" si="90"/>
        <v>433.94915035190684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0.80474494340689939</v>
      </c>
      <c r="AV119" s="23">
        <f>EXP(-LN(2)/25)*AV118+(1-EXP(-LN(2)/25))/(LN(2)/25)*Calculateur!AQ119*Calculateur!AS119*VLOOKUP('Données projet'!$B$10,Paramètres!$A$1:$I$89,3,0)*0.475*44/12</f>
        <v>0.71964458030376466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1.5243895237106639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2.4</v>
      </c>
      <c r="BD119" s="13">
        <f>IF('Données projet'!$A$88&gt;35,BD118+BC119-BL118,IF(A119&lt;'Données projet'!$A$88,$BA$205^A119,IF(A119='Données projet'!$A$88,'Données projet'!$B$88,BD118+BC119-BL118)))</f>
        <v>212.39999999999992</v>
      </c>
      <c r="BE119" s="14">
        <f>BD119*VLOOKUP('Données projet'!$B$11,Paramètres!$A$1:$I$89,3,0)*VLOOKUP('Données projet'!$B$11,Paramètres!$A$1:$I$89,5,0)</f>
        <v>215.37359999999993</v>
      </c>
      <c r="BF119" s="14">
        <f t="shared" si="91"/>
        <v>53.108120144188916</v>
      </c>
      <c r="BG119" s="22">
        <f t="shared" si="61"/>
        <v>467.60566258446215</v>
      </c>
      <c r="BH119" s="62">
        <f t="shared" si="62"/>
        <v>754.31749672655906</v>
      </c>
      <c r="BI119" s="62">
        <f ca="1">AVERAGE(OFFSET($BH$3,0,0,'Données projet'!$E$11+1,1))-AVERAGE(OFFSET($H$3,0,0,'Données projet'!$E$11+1,1))</f>
        <v>329.96352570744875</v>
      </c>
      <c r="BJ119" s="62">
        <f t="shared" si="92"/>
        <v>170.12252063636961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1.1368683772161603E-13</v>
      </c>
      <c r="BZ119" s="14">
        <f>BY119*VLOOKUP('Données projet'!$B$12,Paramètres!$A$1:$I$89,3,0)*VLOOKUP('Données projet'!$B$12,Paramètres!$A$1:$I$89,5,0)</f>
        <v>5.3205440053716299E-14</v>
      </c>
      <c r="CA119" s="14">
        <f t="shared" si="93"/>
        <v>8.602146238565607E-13</v>
      </c>
      <c r="CB119" s="22">
        <f t="shared" si="64"/>
        <v>1.590873277977066E-12</v>
      </c>
      <c r="CC119" s="62">
        <f t="shared" si="65"/>
        <v>286.71183414209844</v>
      </c>
      <c r="CD119" s="62">
        <f ca="1">AVERAGE(OFFSET($CC$3,0,0,'Données projet'!$E$12+1,1))-AVERAGE(OFFSET($H$3,0,0,'Données projet'!$E$12+1,1))</f>
        <v>276.21705775006376</v>
      </c>
      <c r="CE119" s="62">
        <f t="shared" si="94"/>
        <v>234.24947280606958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376.32432344617206</v>
      </c>
      <c r="CZ119" s="62">
        <f t="shared" si="96"/>
        <v>302.77411534670466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0.30028541689711813</v>
      </c>
      <c r="DG119" s="23">
        <f>EXP(-LN(2)/25)*DG118+(1-EXP(-LN(2)/25))/(LN(2)/25)*Calculateur!DB119*Calculateur!DD119*VLOOKUP('Données projet'!$B$13,Paramètres!$A$1:$I$89,3,0)*0.475*44/12</f>
        <v>0.33941143760339326</v>
      </c>
      <c r="DH119" s="23">
        <f>EXP(-LN(2)/2)*DH118+(1-EXP(-LN(2)/2))/(LN(2)/2)*DB119*DE119*VLOOKUP('Données projet'!$B$13,Paramètres!$A$1:$I$89,3,0)*0.475*44/12</f>
        <v>7.6974505864294438E-14</v>
      </c>
      <c r="DI119" s="24">
        <f t="shared" si="69"/>
        <v>0.63969685450058833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68.194136584208223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2.75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10.083333333333334</v>
      </c>
      <c r="H120" s="70">
        <f t="shared" si="56"/>
        <v>216.33333333333334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2.4</v>
      </c>
      <c r="N120" s="14">
        <f>IF('Données projet'!$A$36&gt;35,N119+M120-V119,IF(A120&lt;'Données projet'!$A$36,$K$205^A120,IF(A120='Données projet'!$A$36,'Données projet'!$B$36,N119+M120-V119)))</f>
        <v>214.79999999999993</v>
      </c>
      <c r="O120" s="14">
        <f>N120*VLOOKUP('Données projet'!$B$9,Paramètres!$A$1:$I$89,3,0)*VLOOKUP('Données projet'!$B$9,Paramètres!$A$1:$I$89,5,0)</f>
        <v>224.50895999999995</v>
      </c>
      <c r="P120" s="14">
        <f t="shared" si="87"/>
        <v>55.093725750341399</v>
      </c>
      <c r="Q120" s="22">
        <f t="shared" si="107"/>
        <v>486.97467768184441</v>
      </c>
      <c r="R120" s="62">
        <f t="shared" si="55"/>
        <v>773.80138003145476</v>
      </c>
      <c r="S120" s="62">
        <f ca="1">AVERAGE(OFFSET($R$3,0,0,'Données projet'!$E$9+1,1))-AVERAGE(OFFSET($H$3,0,0,'Données projet'!$E$9+1,1))</f>
        <v>338.33619350800484</v>
      </c>
      <c r="T120" s="62">
        <f t="shared" si="88"/>
        <v>173.80539144233424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1.9895196601282805E-13</v>
      </c>
      <c r="AJ120" s="14">
        <f>AI120*VLOOKUP('Données projet'!$B$10,Paramètres!$A$1:$I$89,3,0)*VLOOKUP('Données projet'!$B$10,Paramètres!$A$1:$I$89,5,0)</f>
        <v>1.8001173884840681E-13</v>
      </c>
      <c r="AK120" s="14">
        <f t="shared" si="89"/>
        <v>2.5254331426407198E-12</v>
      </c>
      <c r="AL120" s="22">
        <f t="shared" si="58"/>
        <v>4.7119831685935622E-12</v>
      </c>
      <c r="AM120" s="62">
        <f t="shared" si="59"/>
        <v>286.82670234961506</v>
      </c>
      <c r="AN120" s="62">
        <f ca="1">AVERAGE(OFFSET($AM$3,0,0,'Données projet'!$E$10+1,1))-AVERAGE(OFFSET($H$3,0,0,'Données projet'!$E$10+1,1))</f>
        <v>308.01218908312546</v>
      </c>
      <c r="AO120" s="62">
        <f t="shared" si="90"/>
        <v>433.94915035190684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0.78896438591263851</v>
      </c>
      <c r="AV120" s="23">
        <f>EXP(-LN(2)/25)*AV119+(1-EXP(-LN(2)/25))/(LN(2)/25)*Calculateur!AQ120*Calculateur!AS120*VLOOKUP('Données projet'!$B$10,Paramètres!$A$1:$I$89,3,0)*0.475*44/12</f>
        <v>0.69996586141089445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1.4889302473235331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2.4</v>
      </c>
      <c r="BD120" s="13">
        <f>IF('Données projet'!$A$88&gt;35,BD119+BC120-BL119,IF(A120&lt;'Données projet'!$A$88,$BA$205^A120,IF(A120='Données projet'!$A$88,'Données projet'!$B$88,BD119+BC120-BL119)))</f>
        <v>214.79999999999993</v>
      </c>
      <c r="BE120" s="14">
        <f>BD120*VLOOKUP('Données projet'!$B$11,Paramètres!$A$1:$I$89,3,0)*VLOOKUP('Données projet'!$B$11,Paramètres!$A$1:$I$89,5,0)</f>
        <v>217.80719999999994</v>
      </c>
      <c r="BF120" s="14">
        <f t="shared" si="91"/>
        <v>53.638013973813976</v>
      </c>
      <c r="BG120" s="22">
        <f t="shared" si="61"/>
        <v>472.76708100439259</v>
      </c>
      <c r="BH120" s="62">
        <f t="shared" si="62"/>
        <v>759.59378335400288</v>
      </c>
      <c r="BI120" s="62">
        <f ca="1">AVERAGE(OFFSET($BH$3,0,0,'Données projet'!$E$11+1,1))-AVERAGE(OFFSET($H$3,0,0,'Données projet'!$E$11+1,1))</f>
        <v>329.96352570744875</v>
      </c>
      <c r="BJ120" s="62">
        <f t="shared" si="92"/>
        <v>170.12252063636961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1.1368683772161603E-13</v>
      </c>
      <c r="BZ120" s="14">
        <f>BY120*VLOOKUP('Données projet'!$B$12,Paramètres!$A$1:$I$89,3,0)*VLOOKUP('Données projet'!$B$12,Paramètres!$A$1:$I$89,5,0)</f>
        <v>5.3205440053716299E-14</v>
      </c>
      <c r="CA120" s="14">
        <f t="shared" si="93"/>
        <v>8.602146238565607E-13</v>
      </c>
      <c r="CB120" s="22">
        <f t="shared" si="64"/>
        <v>1.590873277977066E-12</v>
      </c>
      <c r="CC120" s="62">
        <f t="shared" si="65"/>
        <v>286.82670234961194</v>
      </c>
      <c r="CD120" s="62">
        <f ca="1">AVERAGE(OFFSET($CC$3,0,0,'Données projet'!$E$12+1,1))-AVERAGE(OFFSET($H$3,0,0,'Données projet'!$E$12+1,1))</f>
        <v>276.21705775006376</v>
      </c>
      <c r="CE120" s="62">
        <f t="shared" si="94"/>
        <v>234.24947280606958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376.32432344617206</v>
      </c>
      <c r="CZ120" s="62">
        <f t="shared" si="96"/>
        <v>302.77411534670466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0.29439700302778482</v>
      </c>
      <c r="DG120" s="23">
        <f>EXP(-LN(2)/25)*DG119+(1-EXP(-LN(2)/25))/(LN(2)/25)*Calculateur!DB120*Calculateur!DD120*VLOOKUP('Données projet'!$B$13,Paramètres!$A$1:$I$89,3,0)*0.475*44/12</f>
        <v>0.3301302139932567</v>
      </c>
      <c r="DH120" s="23">
        <f>EXP(-LN(2)/2)*DH119+(1-EXP(-LN(2)/2))/(LN(2)/2)*DB120*DE120*VLOOKUP('Données projet'!$B$13,Paramètres!$A$1:$I$89,3,0)*0.475*44/12</f>
        <v>5.4429195075126267E-14</v>
      </c>
      <c r="DI120" s="24">
        <f t="shared" si="69"/>
        <v>0.62452721702109593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68.225464277166452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2.75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10.083333333333334</v>
      </c>
      <c r="H121" s="70">
        <f t="shared" si="56"/>
        <v>216.33333333333334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2.4</v>
      </c>
      <c r="N121" s="14">
        <f>IF('Données projet'!$A$36&gt;35,N120+M121-V120,IF(A121&lt;'Données projet'!$A$36,$K$205^A121,IF(A121='Données projet'!$A$36,'Données projet'!$B$36,N120+M121-V120)))</f>
        <v>217.19999999999993</v>
      </c>
      <c r="O121" s="14">
        <f>N121*VLOOKUP('Données projet'!$B$9,Paramètres!$A$1:$I$89,3,0)*VLOOKUP('Données projet'!$B$9,Paramètres!$A$1:$I$89,5,0)</f>
        <v>227.01743999999997</v>
      </c>
      <c r="P121" s="14">
        <f t="shared" si="87"/>
        <v>55.637293245260757</v>
      </c>
      <c r="Q121" s="22">
        <f t="shared" si="107"/>
        <v>492.29032706882913</v>
      </c>
      <c r="R121" s="62">
        <f t="shared" si="55"/>
        <v>779.22990491935934</v>
      </c>
      <c r="S121" s="62">
        <f ca="1">AVERAGE(OFFSET($R$3,0,0,'Données projet'!$E$9+1,1))-AVERAGE(OFFSET($H$3,0,0,'Données projet'!$E$9+1,1))</f>
        <v>338.33619350800484</v>
      </c>
      <c r="T121" s="62">
        <f t="shared" si="88"/>
        <v>173.80539144233424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1.9895196601282805E-13</v>
      </c>
      <c r="AJ121" s="14">
        <f>AI121*VLOOKUP('Données projet'!$B$10,Paramètres!$A$1:$I$89,3,0)*VLOOKUP('Données projet'!$B$10,Paramètres!$A$1:$I$89,5,0)</f>
        <v>1.8001173884840681E-13</v>
      </c>
      <c r="AK121" s="14">
        <f t="shared" si="89"/>
        <v>2.5254331426407198E-12</v>
      </c>
      <c r="AL121" s="22">
        <f t="shared" si="58"/>
        <v>4.7119831685935622E-12</v>
      </c>
      <c r="AM121" s="62">
        <f t="shared" si="59"/>
        <v>286.93957785053493</v>
      </c>
      <c r="AN121" s="62">
        <f ca="1">AVERAGE(OFFSET($AM$3,0,0,'Données projet'!$E$10+1,1))-AVERAGE(OFFSET($H$3,0,0,'Données projet'!$E$10+1,1))</f>
        <v>308.01218908312546</v>
      </c>
      <c r="AO121" s="62">
        <f t="shared" si="90"/>
        <v>433.94915035190684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0.7734932755256505</v>
      </c>
      <c r="AV121" s="23">
        <f>EXP(-LN(2)/25)*AV120+(1-EXP(-LN(2)/25))/(LN(2)/25)*Calculateur!AQ121*Calculateur!AS121*VLOOKUP('Données projet'!$B$10,Paramètres!$A$1:$I$89,3,0)*0.475*44/12</f>
        <v>0.68082525812100869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1.4543185336466591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2.4</v>
      </c>
      <c r="BD121" s="13">
        <f>IF('Données projet'!$A$88&gt;35,BD120+BC121-BL120,IF(A121&lt;'Données projet'!$A$88,$BA$205^A121,IF(A121='Données projet'!$A$88,'Données projet'!$B$88,BD120+BC121-BL120)))</f>
        <v>217.19999999999993</v>
      </c>
      <c r="BE121" s="14">
        <f>BD121*VLOOKUP('Données projet'!$B$11,Paramètres!$A$1:$I$89,3,0)*VLOOKUP('Données projet'!$B$11,Paramètres!$A$1:$I$89,5,0)</f>
        <v>220.24079999999992</v>
      </c>
      <c r="BF121" s="14">
        <f t="shared" si="91"/>
        <v>54.167219078226751</v>
      </c>
      <c r="BG121" s="22">
        <f t="shared" si="61"/>
        <v>477.9272998945782</v>
      </c>
      <c r="BH121" s="62">
        <f t="shared" si="62"/>
        <v>764.86687774510847</v>
      </c>
      <c r="BI121" s="62">
        <f ca="1">AVERAGE(OFFSET($BH$3,0,0,'Données projet'!$E$11+1,1))-AVERAGE(OFFSET($H$3,0,0,'Données projet'!$E$11+1,1))</f>
        <v>329.96352570744875</v>
      </c>
      <c r="BJ121" s="62">
        <f t="shared" si="92"/>
        <v>170.12252063636961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1.1368683772161603E-13</v>
      </c>
      <c r="BZ121" s="14">
        <f>BY121*VLOOKUP('Données projet'!$B$12,Paramètres!$A$1:$I$89,3,0)*VLOOKUP('Données projet'!$B$12,Paramètres!$A$1:$I$89,5,0)</f>
        <v>5.3205440053716299E-14</v>
      </c>
      <c r="CA121" s="14">
        <f t="shared" si="93"/>
        <v>8.602146238565607E-13</v>
      </c>
      <c r="CB121" s="22">
        <f t="shared" si="64"/>
        <v>1.590873277977066E-12</v>
      </c>
      <c r="CC121" s="62">
        <f t="shared" si="65"/>
        <v>286.9395778505318</v>
      </c>
      <c r="CD121" s="62">
        <f ca="1">AVERAGE(OFFSET($CC$3,0,0,'Données projet'!$E$12+1,1))-AVERAGE(OFFSET($H$3,0,0,'Données projet'!$E$12+1,1))</f>
        <v>276.21705775006376</v>
      </c>
      <c r="CE121" s="62">
        <f t="shared" si="94"/>
        <v>234.24947280606958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376.32432344617206</v>
      </c>
      <c r="CZ121" s="62">
        <f t="shared" si="96"/>
        <v>302.77411534670466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0.28862405736285129</v>
      </c>
      <c r="DG121" s="23">
        <f>EXP(-LN(2)/25)*DG120+(1-EXP(-LN(2)/25))/(LN(2)/25)*Calculateur!DB121*Calculateur!DD121*VLOOKUP('Données projet'!$B$13,Paramètres!$A$1:$I$89,3,0)*0.475*44/12</f>
        <v>0.32110278593081765</v>
      </c>
      <c r="DH121" s="23">
        <f>EXP(-LN(2)/2)*DH120+(1-EXP(-LN(2)/2))/(LN(2)/2)*DB121*DE121*VLOOKUP('Données projet'!$B$13,Paramètres!$A$1:$I$89,3,0)*0.475*44/12</f>
        <v>3.8487252932147219E-14</v>
      </c>
      <c r="DI121" s="24">
        <f t="shared" si="69"/>
        <v>0.60972684329370741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68.256248504690063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2.75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10.083333333333334</v>
      </c>
      <c r="H122" s="70">
        <f t="shared" si="56"/>
        <v>216.33333333333334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2.4</v>
      </c>
      <c r="N122" s="14">
        <f>IF('Données projet'!$A$36&gt;35,N121+M122-V121,IF(A122&lt;'Données projet'!$A$36,$K$205^A122,IF(A122='Données projet'!$A$36,'Données projet'!$B$36,N121+M122-V121)))</f>
        <v>219.59999999999994</v>
      </c>
      <c r="O122" s="14">
        <f>N122*VLOOKUP('Données projet'!$B$9,Paramètres!$A$1:$I$89,3,0)*VLOOKUP('Données projet'!$B$9,Paramètres!$A$1:$I$89,5,0)</f>
        <v>229.52591999999999</v>
      </c>
      <c r="P122" s="14">
        <f t="shared" si="87"/>
        <v>56.180162044652285</v>
      </c>
      <c r="Q122" s="22">
        <f t="shared" si="107"/>
        <v>497.60475956110264</v>
      </c>
      <c r="R122" s="62">
        <f t="shared" si="55"/>
        <v>784.65525477496374</v>
      </c>
      <c r="S122" s="62">
        <f ca="1">AVERAGE(OFFSET($R$3,0,0,'Données projet'!$E$9+1,1))-AVERAGE(OFFSET($H$3,0,0,'Données projet'!$E$9+1,1))</f>
        <v>338.33619350800484</v>
      </c>
      <c r="T122" s="62">
        <f t="shared" si="88"/>
        <v>173.80539144233424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1.9895196601282805E-13</v>
      </c>
      <c r="AJ122" s="14">
        <f>AI122*VLOOKUP('Données projet'!$B$10,Paramètres!$A$1:$I$89,3,0)*VLOOKUP('Données projet'!$B$10,Paramètres!$A$1:$I$89,5,0)</f>
        <v>1.8001173884840681E-13</v>
      </c>
      <c r="AK122" s="14">
        <f t="shared" si="89"/>
        <v>2.5254331426407198E-12</v>
      </c>
      <c r="AL122" s="22">
        <f t="shared" si="58"/>
        <v>4.7119831685935622E-12</v>
      </c>
      <c r="AM122" s="62">
        <f t="shared" si="59"/>
        <v>287.05049521386582</v>
      </c>
      <c r="AN122" s="62">
        <f ca="1">AVERAGE(OFFSET($AM$3,0,0,'Données projet'!$E$10+1,1))-AVERAGE(OFFSET($H$3,0,0,'Données projet'!$E$10+1,1))</f>
        <v>308.01218908312546</v>
      </c>
      <c r="AO122" s="62">
        <f t="shared" si="90"/>
        <v>433.94915035190684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0.75832554417690579</v>
      </c>
      <c r="AV122" s="23">
        <f>EXP(-LN(2)/25)*AV121+(1-EXP(-LN(2)/25))/(LN(2)/25)*Calculateur!AQ122*Calculateur!AS122*VLOOKUP('Données projet'!$B$10,Paramètres!$A$1:$I$89,3,0)*0.475*44/12</f>
        <v>0.66220805563464546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1.4205335998115514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2.4</v>
      </c>
      <c r="BD122" s="13">
        <f>IF('Données projet'!$A$88&gt;35,BD121+BC122-BL121,IF(A122&lt;'Données projet'!$A$88,$BA$205^A122,IF(A122='Données projet'!$A$88,'Données projet'!$B$88,BD121+BC122-BL121)))</f>
        <v>219.59999999999994</v>
      </c>
      <c r="BE122" s="14">
        <f>BD122*VLOOKUP('Données projet'!$B$11,Paramètres!$A$1:$I$89,3,0)*VLOOKUP('Données projet'!$B$11,Paramètres!$A$1:$I$89,5,0)</f>
        <v>222.67439999999993</v>
      </c>
      <c r="BF122" s="14">
        <f t="shared" si="91"/>
        <v>54.695743948366427</v>
      </c>
      <c r="BG122" s="22">
        <f t="shared" si="61"/>
        <v>483.08633404340475</v>
      </c>
      <c r="BH122" s="62">
        <f t="shared" si="62"/>
        <v>770.13682925726584</v>
      </c>
      <c r="BI122" s="62">
        <f ca="1">AVERAGE(OFFSET($BH$3,0,0,'Données projet'!$E$11+1,1))-AVERAGE(OFFSET($H$3,0,0,'Données projet'!$E$11+1,1))</f>
        <v>329.96352570744875</v>
      </c>
      <c r="BJ122" s="62">
        <f t="shared" si="92"/>
        <v>170.12252063636961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1.1368683772161603E-13</v>
      </c>
      <c r="BZ122" s="14">
        <f>BY122*VLOOKUP('Données projet'!$B$12,Paramètres!$A$1:$I$89,3,0)*VLOOKUP('Données projet'!$B$12,Paramètres!$A$1:$I$89,5,0)</f>
        <v>5.3205440053716299E-14</v>
      </c>
      <c r="CA122" s="14">
        <f t="shared" si="93"/>
        <v>8.602146238565607E-13</v>
      </c>
      <c r="CB122" s="22">
        <f t="shared" si="64"/>
        <v>1.590873277977066E-12</v>
      </c>
      <c r="CC122" s="62">
        <f t="shared" si="65"/>
        <v>287.05049521386269</v>
      </c>
      <c r="CD122" s="62">
        <f ca="1">AVERAGE(OFFSET($CC$3,0,0,'Données projet'!$E$12+1,1))-AVERAGE(OFFSET($H$3,0,0,'Données projet'!$E$12+1,1))</f>
        <v>276.21705775006376</v>
      </c>
      <c r="CE122" s="62">
        <f t="shared" si="94"/>
        <v>234.24947280606958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376.32432344617206</v>
      </c>
      <c r="CZ122" s="62">
        <f t="shared" si="96"/>
        <v>302.77411534670466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0.28296431564125796</v>
      </c>
      <c r="DG122" s="23">
        <f>EXP(-LN(2)/25)*DG121+(1-EXP(-LN(2)/25))/(LN(2)/25)*Calculateur!DB122*Calculateur!DD122*VLOOKUP('Données projet'!$B$13,Paramètres!$A$1:$I$89,3,0)*0.475*44/12</f>
        <v>0.31232221336347782</v>
      </c>
      <c r="DH122" s="23">
        <f>EXP(-LN(2)/2)*DH121+(1-EXP(-LN(2)/2))/(LN(2)/2)*DB122*DE122*VLOOKUP('Données projet'!$B$13,Paramètres!$A$1:$I$89,3,0)*0.475*44/12</f>
        <v>2.7214597537563133E-14</v>
      </c>
      <c r="DI122" s="24">
        <f t="shared" si="69"/>
        <v>0.59528652900476298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68.286498694689385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2.75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10.083333333333334</v>
      </c>
      <c r="H123" s="70">
        <f t="shared" si="56"/>
        <v>216.33333333333334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222</v>
      </c>
      <c r="L123" s="13">
        <f>VLOOKUP(A123,'Données projet'!$A$35:$I$55,9,0)</f>
        <v>2.4</v>
      </c>
      <c r="M123" s="13">
        <f t="array" ref="M123">INDEX(L:L,MIN(IF(ISNUMBER(L123:L319),ROW(L123:L319),"")))</f>
        <v>2.4</v>
      </c>
      <c r="N123" s="14">
        <f>IF('Données projet'!$A$36&gt;35,N122+M123-V122,IF(A123&lt;'Données projet'!$A$36,$K$205^A123,IF(A123='Données projet'!$A$36,'Données projet'!$B$36,N122+M123-V122)))</f>
        <v>221.99999999999994</v>
      </c>
      <c r="O123" s="14">
        <f>N123*VLOOKUP('Données projet'!$B$9,Paramètres!$A$1:$I$89,3,0)*VLOOKUP('Données projet'!$B$9,Paramètres!$A$1:$I$89,5,0)</f>
        <v>232.03439999999998</v>
      </c>
      <c r="P123" s="14">
        <f t="shared" si="87"/>
        <v>56.722340668285831</v>
      </c>
      <c r="Q123" s="22">
        <f t="shared" si="107"/>
        <v>502.91798999726444</v>
      </c>
      <c r="R123" s="62">
        <f t="shared" si="55"/>
        <v>790.07747840617662</v>
      </c>
      <c r="S123" s="62">
        <f ca="1">AVERAGE(OFFSET($R$3,0,0,'Données projet'!$E$9+1,1))-AVERAGE(OFFSET($H$3,0,0,'Données projet'!$E$9+1,1))</f>
        <v>338.33619350800484</v>
      </c>
      <c r="T123" s="62">
        <f t="shared" si="88"/>
        <v>173.80539144233424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222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1.9895196601282805E-13</v>
      </c>
      <c r="AJ123" s="14">
        <f>AI123*VLOOKUP('Données projet'!$B$10,Paramètres!$A$1:$I$89,3,0)*VLOOKUP('Données projet'!$B$10,Paramètres!$A$1:$I$89,5,0)</f>
        <v>1.8001173884840681E-13</v>
      </c>
      <c r="AK123" s="14">
        <f t="shared" si="89"/>
        <v>2.5254331426407198E-12</v>
      </c>
      <c r="AL123" s="22">
        <f t="shared" si="58"/>
        <v>4.7119831685935622E-12</v>
      </c>
      <c r="AM123" s="62">
        <f t="shared" si="59"/>
        <v>287.1594884089169</v>
      </c>
      <c r="AN123" s="62">
        <f ca="1">AVERAGE(OFFSET($AM$3,0,0,'Données projet'!$E$10+1,1))-AVERAGE(OFFSET($H$3,0,0,'Données projet'!$E$10+1,1))</f>
        <v>308.01218908312546</v>
      </c>
      <c r="AO123" s="62">
        <f t="shared" si="90"/>
        <v>433.94915035190684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0.74345524278850728</v>
      </c>
      <c r="AV123" s="23">
        <f>EXP(-LN(2)/25)*AV122+(1-EXP(-LN(2)/25))/(LN(2)/25)*Calculateur!AQ123*Calculateur!AS123*VLOOKUP('Données projet'!$B$10,Paramètres!$A$1:$I$89,3,0)*0.475*44/12</f>
        <v>0.64409994152930794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1.3875551843178151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222</v>
      </c>
      <c r="BB123" s="13">
        <f>VLOOKUP(A123,'Données projet'!$A$87:$I$107,9,0)</f>
        <v>2.4</v>
      </c>
      <c r="BC123" s="13">
        <f t="array" ref="BC123">INDEX(BB:BB,MIN(IF(ISNUMBER(BB123:BB319),ROW(BB123:BB319),"")))</f>
        <v>2.4</v>
      </c>
      <c r="BD123" s="13">
        <f>IF('Données projet'!$A$88&gt;35,BD122+BC123-BL122,IF(A123&lt;'Données projet'!$A$88,$BA$205^A123,IF(A123='Données projet'!$A$88,'Données projet'!$B$88,BD122+BC123-BL122)))</f>
        <v>221.99999999999994</v>
      </c>
      <c r="BE123" s="14">
        <f>BD123*VLOOKUP('Données projet'!$B$11,Paramètres!$A$1:$I$89,3,0)*VLOOKUP('Données projet'!$B$11,Paramètres!$A$1:$I$89,5,0)</f>
        <v>225.10799999999995</v>
      </c>
      <c r="BF123" s="14">
        <f t="shared" si="91"/>
        <v>55.223596878889587</v>
      </c>
      <c r="BG123" s="22">
        <f t="shared" si="61"/>
        <v>488.24419789739915</v>
      </c>
      <c r="BH123" s="62">
        <f t="shared" si="62"/>
        <v>775.40368630631133</v>
      </c>
      <c r="BI123" s="62">
        <f ca="1">AVERAGE(OFFSET($BH$3,0,0,'Données projet'!$E$11+1,1))-AVERAGE(OFFSET($H$3,0,0,'Données projet'!$E$11+1,1))</f>
        <v>329.96352570744875</v>
      </c>
      <c r="BJ123" s="62">
        <f t="shared" si="92"/>
        <v>170.12252063636961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222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1.1368683772161603E-13</v>
      </c>
      <c r="BZ123" s="14">
        <f>BY123*VLOOKUP('Données projet'!$B$12,Paramètres!$A$1:$I$89,3,0)*VLOOKUP('Données projet'!$B$12,Paramètres!$A$1:$I$89,5,0)</f>
        <v>5.3205440053716299E-14</v>
      </c>
      <c r="CA123" s="14">
        <f t="shared" si="93"/>
        <v>8.602146238565607E-13</v>
      </c>
      <c r="CB123" s="22">
        <f t="shared" si="64"/>
        <v>1.590873277977066E-12</v>
      </c>
      <c r="CC123" s="62">
        <f t="shared" si="65"/>
        <v>287.15948840891377</v>
      </c>
      <c r="CD123" s="62">
        <f ca="1">AVERAGE(OFFSET($CC$3,0,0,'Données projet'!$E$12+1,1))-AVERAGE(OFFSET($H$3,0,0,'Données projet'!$E$12+1,1))</f>
        <v>276.21705775006376</v>
      </c>
      <c r="CE123" s="62">
        <f t="shared" si="94"/>
        <v>234.24947280606958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376.32432344617206</v>
      </c>
      <c r="CZ123" s="62">
        <f t="shared" si="96"/>
        <v>302.77411534670466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0.27741555800272344</v>
      </c>
      <c r="DG123" s="23">
        <f>EXP(-LN(2)/25)*DG122+(1-EXP(-LN(2)/25))/(LN(2)/25)*Calculateur!DB123*Calculateur!DD123*VLOOKUP('Données projet'!$B$13,Paramètres!$A$1:$I$89,3,0)*0.475*44/12</f>
        <v>0.30378174601474212</v>
      </c>
      <c r="DH123" s="23">
        <f>EXP(-LN(2)/2)*DH122+(1-EXP(-LN(2)/2))/(LN(2)/2)*DB123*DE123*VLOOKUP('Données projet'!$B$13,Paramètres!$A$1:$I$89,3,0)*0.475*44/12</f>
        <v>1.9243626466073609E-14</v>
      </c>
      <c r="DI123" s="24">
        <f t="shared" si="69"/>
        <v>0.58119730401748482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68.316224111521507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2.75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10.083333333333334</v>
      </c>
      <c r="H124" s="70">
        <f t="shared" si="56"/>
        <v>216.33333333333334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-5.9412741393316544E-14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338.33619350800484</v>
      </c>
      <c r="T124" s="62">
        <f t="shared" si="88"/>
        <v>173.80539144233424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1.9895196601282805E-13</v>
      </c>
      <c r="AJ124" s="14">
        <f>AI124*VLOOKUP('Données projet'!$B$10,Paramètres!$A$1:$I$89,3,0)*VLOOKUP('Données projet'!$B$10,Paramètres!$A$1:$I$89,5,0)</f>
        <v>1.8001173884840681E-13</v>
      </c>
      <c r="AK124" s="14">
        <f t="shared" si="89"/>
        <v>2.5254331426407198E-12</v>
      </c>
      <c r="AL124" s="22">
        <f t="shared" si="58"/>
        <v>4.7119831685935622E-12</v>
      </c>
      <c r="AM124" s="62">
        <f t="shared" si="59"/>
        <v>287.26659081570614</v>
      </c>
      <c r="AN124" s="62">
        <f ca="1">AVERAGE(OFFSET($AM$3,0,0,'Données projet'!$E$10+1,1))-AVERAGE(OFFSET($H$3,0,0,'Données projet'!$E$10+1,1))</f>
        <v>308.01218908312546</v>
      </c>
      <c r="AO124" s="62">
        <f t="shared" si="90"/>
        <v>433.94915035190684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0.72887653894034699</v>
      </c>
      <c r="AV124" s="23">
        <f>EXP(-LN(2)/25)*AV123+(1-EXP(-LN(2)/25))/(LN(2)/25)*Calculateur!AQ124*Calculateur!AS124*VLOOKUP('Données projet'!$B$10,Paramètres!$A$1:$I$89,3,0)*0.475*44/12</f>
        <v>0.6264869947564452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1.3553635336967922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-5.7639226724859328E-14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329.96352570744875</v>
      </c>
      <c r="BJ124" s="62">
        <f t="shared" si="92"/>
        <v>170.12252063636961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5.3205440053716299E-14</v>
      </c>
      <c r="CA124" s="14">
        <f t="shared" si="93"/>
        <v>8.602146238565607E-13</v>
      </c>
      <c r="CB124" s="22">
        <f t="shared" si="64"/>
        <v>1.590873277977066E-12</v>
      </c>
      <c r="CC124" s="62">
        <f t="shared" si="65"/>
        <v>287.26659081570301</v>
      </c>
      <c r="CD124" s="62">
        <f ca="1">AVERAGE(OFFSET($CC$3,0,0,'Données projet'!$E$12+1,1))-AVERAGE(OFFSET($H$3,0,0,'Données projet'!$E$12+1,1))</f>
        <v>276.21705775006376</v>
      </c>
      <c r="CE124" s="62">
        <f t="shared" si="94"/>
        <v>234.24947280606958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376.32432344617206</v>
      </c>
      <c r="CZ124" s="62">
        <f t="shared" si="96"/>
        <v>302.77411534670466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0.27197560811707261</v>
      </c>
      <c r="DG124" s="23">
        <f>EXP(-LN(2)/25)*DG123+(1-EXP(-LN(2)/25))/(LN(2)/25)*Calculateur!DB124*Calculateur!DD124*VLOOKUP('Données projet'!$B$13,Paramètres!$A$1:$I$89,3,0)*0.475*44/12</f>
        <v>0.29547481819478127</v>
      </c>
      <c r="DH124" s="23">
        <f>EXP(-LN(2)/2)*DH123+(1-EXP(-LN(2)/2))/(LN(2)/2)*DB124*DE124*VLOOKUP('Données projet'!$B$13,Paramètres!$A$1:$I$89,3,0)*0.475*44/12</f>
        <v>1.3607298768781567E-14</v>
      </c>
      <c r="DI124" s="24">
        <f t="shared" si="69"/>
        <v>0.56745042631186748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68.345433858827661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2.75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10.083333333333334</v>
      </c>
      <c r="H125" s="70">
        <f t="shared" si="56"/>
        <v>216.33333333333334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-5.9412741393316544E-14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338.33619350800484</v>
      </c>
      <c r="T125" s="62">
        <f t="shared" si="88"/>
        <v>173.80539144233424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1.9895196601282805E-13</v>
      </c>
      <c r="AJ125" s="14">
        <f>AI125*VLOOKUP('Données projet'!$B$10,Paramètres!$A$1:$I$89,3,0)*VLOOKUP('Données projet'!$B$10,Paramètres!$A$1:$I$89,5,0)</f>
        <v>1.8001173884840681E-13</v>
      </c>
      <c r="AK125" s="14">
        <f t="shared" si="89"/>
        <v>2.5254331426407198E-12</v>
      </c>
      <c r="AL125" s="22">
        <f t="shared" si="58"/>
        <v>4.7119831685935622E-12</v>
      </c>
      <c r="AM125" s="62">
        <f t="shared" si="59"/>
        <v>287.37183523518269</v>
      </c>
      <c r="AN125" s="62">
        <f ca="1">AVERAGE(OFFSET($AM$3,0,0,'Données projet'!$E$10+1,1))-AVERAGE(OFFSET($H$3,0,0,'Données projet'!$E$10+1,1))</f>
        <v>308.01218908312546</v>
      </c>
      <c r="AO125" s="62">
        <f t="shared" si="90"/>
        <v>433.94915035190684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0.71458371458251779</v>
      </c>
      <c r="AV125" s="23">
        <f>EXP(-LN(2)/25)*AV124+(1-EXP(-LN(2)/25))/(LN(2)/25)*Calculateur!AQ125*Calculateur!AS125*VLOOKUP('Données projet'!$B$10,Paramètres!$A$1:$I$89,3,0)*0.475*44/12</f>
        <v>0.60935567493931098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1.3239393895218288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-5.7639226724859328E-14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329.96352570744875</v>
      </c>
      <c r="BJ125" s="62">
        <f t="shared" si="92"/>
        <v>170.12252063636961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5.3205440053716299E-14</v>
      </c>
      <c r="CA125" s="14">
        <f t="shared" si="93"/>
        <v>8.602146238565607E-13</v>
      </c>
      <c r="CB125" s="22">
        <f t="shared" si="64"/>
        <v>1.590873277977066E-12</v>
      </c>
      <c r="CC125" s="62">
        <f t="shared" si="65"/>
        <v>287.37183523517956</v>
      </c>
      <c r="CD125" s="62">
        <f ca="1">AVERAGE(OFFSET($CC$3,0,0,'Données projet'!$E$12+1,1))-AVERAGE(OFFSET($H$3,0,0,'Données projet'!$E$12+1,1))</f>
        <v>276.21705775006376</v>
      </c>
      <c r="CE125" s="62">
        <f t="shared" si="94"/>
        <v>234.24947280606958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376.32432344617206</v>
      </c>
      <c r="CZ125" s="62">
        <f t="shared" si="96"/>
        <v>302.77411534670466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0.26664233233063761</v>
      </c>
      <c r="DG125" s="23">
        <f>EXP(-LN(2)/25)*DG124+(1-EXP(-LN(2)/25))/(LN(2)/25)*Calculateur!DB125*Calculateur!DD125*VLOOKUP('Données projet'!$B$13,Paramètres!$A$1:$I$89,3,0)*0.475*44/12</f>
        <v>0.28739504375289959</v>
      </c>
      <c r="DH125" s="23">
        <f>EXP(-LN(2)/2)*DH124+(1-EXP(-LN(2)/2))/(LN(2)/2)*DB125*DE125*VLOOKUP('Données projet'!$B$13,Paramètres!$A$1:$I$89,3,0)*0.475*44/12</f>
        <v>9.6218132330368047E-15</v>
      </c>
      <c r="DI125" s="24">
        <f t="shared" si="69"/>
        <v>0.55403737608354686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68.374136882321267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2.75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10.083333333333334</v>
      </c>
      <c r="H126" s="70">
        <f t="shared" si="56"/>
        <v>216.33333333333334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-5.9412741393316544E-14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338.33619350800484</v>
      </c>
      <c r="T126" s="62">
        <f t="shared" si="88"/>
        <v>173.80539144233424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1.9895196601282805E-13</v>
      </c>
      <c r="AJ126" s="14">
        <f>AI126*VLOOKUP('Données projet'!$B$10,Paramètres!$A$1:$I$89,3,0)*VLOOKUP('Données projet'!$B$10,Paramètres!$A$1:$I$89,5,0)</f>
        <v>1.8001173884840681E-13</v>
      </c>
      <c r="AK126" s="14">
        <f t="shared" si="89"/>
        <v>2.5254331426407198E-12</v>
      </c>
      <c r="AL126" s="22">
        <f t="shared" si="58"/>
        <v>4.7119831685935622E-12</v>
      </c>
      <c r="AM126" s="62">
        <f t="shared" si="59"/>
        <v>287.47525389927262</v>
      </c>
      <c r="AN126" s="62">
        <f ca="1">AVERAGE(OFFSET($AM$3,0,0,'Données projet'!$E$10+1,1))-AVERAGE(OFFSET($H$3,0,0,'Données projet'!$E$10+1,1))</f>
        <v>308.01218908312546</v>
      </c>
      <c r="AO126" s="62">
        <f t="shared" si="90"/>
        <v>433.94915035190684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0.70057116379258355</v>
      </c>
      <c r="AV126" s="23">
        <f>EXP(-LN(2)/25)*AV125+(1-EXP(-LN(2)/25))/(LN(2)/25)*Calculateur!AQ126*Calculateur!AS126*VLOOKUP('Données projet'!$B$10,Paramètres!$A$1:$I$89,3,0)*0.475*44/12</f>
        <v>0.59269281196347323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1.2932639757560569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-5.7639226724859328E-14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329.96352570744875</v>
      </c>
      <c r="BJ126" s="62">
        <f t="shared" si="92"/>
        <v>170.12252063636961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5.3205440053716299E-14</v>
      </c>
      <c r="CA126" s="14">
        <f t="shared" si="93"/>
        <v>8.602146238565607E-13</v>
      </c>
      <c r="CB126" s="22">
        <f t="shared" si="64"/>
        <v>1.590873277977066E-12</v>
      </c>
      <c r="CC126" s="62">
        <f t="shared" si="65"/>
        <v>287.47525389926949</v>
      </c>
      <c r="CD126" s="62">
        <f ca="1">AVERAGE(OFFSET($CC$3,0,0,'Données projet'!$E$12+1,1))-AVERAGE(OFFSET($H$3,0,0,'Données projet'!$E$12+1,1))</f>
        <v>276.21705775006376</v>
      </c>
      <c r="CE126" s="62">
        <f t="shared" si="94"/>
        <v>234.24947280606958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376.32432344617206</v>
      </c>
      <c r="CZ126" s="62">
        <f t="shared" si="96"/>
        <v>302.77411534670466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0.26141363882939755</v>
      </c>
      <c r="DG126" s="23">
        <f>EXP(-LN(2)/25)*DG125+(1-EXP(-LN(2)/25))/(LN(2)/25)*Calculateur!DB126*Calculateur!DD126*VLOOKUP('Données projet'!$B$13,Paramètres!$A$1:$I$89,3,0)*0.475*44/12</f>
        <v>0.27953621116802807</v>
      </c>
      <c r="DH126" s="23">
        <f>EXP(-LN(2)/2)*DH125+(1-EXP(-LN(2)/2))/(LN(2)/2)*DB126*DE126*VLOOKUP('Données projet'!$B$13,Paramètres!$A$1:$I$89,3,0)*0.475*44/12</f>
        <v>6.8036493843907834E-15</v>
      </c>
      <c r="DI126" s="24">
        <f t="shared" si="69"/>
        <v>0.54094984999743245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68.402341972527609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2.75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10.083333333333334</v>
      </c>
      <c r="H127" s="70">
        <f t="shared" si="56"/>
        <v>216.33333333333334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-5.9412741393316544E-14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338.33619350800484</v>
      </c>
      <c r="T127" s="62">
        <f t="shared" si="88"/>
        <v>173.80539144233424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1.9895196601282805E-13</v>
      </c>
      <c r="AJ127" s="14">
        <f>AI127*VLOOKUP('Données projet'!$B$10,Paramètres!$A$1:$I$89,3,0)*VLOOKUP('Données projet'!$B$10,Paramètres!$A$1:$I$89,5,0)</f>
        <v>1.8001173884840681E-13</v>
      </c>
      <c r="AK127" s="14">
        <f t="shared" si="89"/>
        <v>2.5254331426407198E-12</v>
      </c>
      <c r="AL127" s="22">
        <f t="shared" si="58"/>
        <v>4.7119831685935622E-12</v>
      </c>
      <c r="AM127" s="62">
        <f t="shared" si="59"/>
        <v>287.57687848075005</v>
      </c>
      <c r="AN127" s="62">
        <f ca="1">AVERAGE(OFFSET($AM$3,0,0,'Données projet'!$E$10+1,1))-AVERAGE(OFFSET($H$3,0,0,'Données projet'!$E$10+1,1))</f>
        <v>308.01218908312546</v>
      </c>
      <c r="AO127" s="62">
        <f t="shared" si="90"/>
        <v>433.94915035190684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0.68683339057682791</v>
      </c>
      <c r="AV127" s="23">
        <f>EXP(-LN(2)/25)*AV126+(1-EXP(-LN(2)/25))/(LN(2)/25)*Calculateur!AQ127*Calculateur!AS127*VLOOKUP('Données projet'!$B$10,Paramètres!$A$1:$I$89,3,0)*0.475*44/12</f>
        <v>0.57648559585197168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1.2633189864287995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-5.7639226724859328E-14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329.96352570744875</v>
      </c>
      <c r="BJ127" s="62">
        <f t="shared" si="92"/>
        <v>170.12252063636961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5.3205440053716299E-14</v>
      </c>
      <c r="CA127" s="14">
        <f t="shared" si="93"/>
        <v>8.602146238565607E-13</v>
      </c>
      <c r="CB127" s="22">
        <f t="shared" si="64"/>
        <v>1.590873277977066E-12</v>
      </c>
      <c r="CC127" s="62">
        <f t="shared" si="65"/>
        <v>287.57687848074693</v>
      </c>
      <c r="CD127" s="62">
        <f ca="1">AVERAGE(OFFSET($CC$3,0,0,'Données projet'!$E$12+1,1))-AVERAGE(OFFSET($H$3,0,0,'Données projet'!$E$12+1,1))</f>
        <v>276.21705775006376</v>
      </c>
      <c r="CE127" s="62">
        <f t="shared" si="94"/>
        <v>234.24947280606958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376.32432344617206</v>
      </c>
      <c r="CZ127" s="62">
        <f t="shared" si="96"/>
        <v>302.77411534670466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0.2562874768185287</v>
      </c>
      <c r="DG127" s="23">
        <f>EXP(-LN(2)/25)*DG126+(1-EXP(-LN(2)/25))/(LN(2)/25)*Calculateur!DB127*Calculateur!DD127*VLOOKUP('Données projet'!$B$13,Paramètres!$A$1:$I$89,3,0)*0.475*44/12</f>
        <v>0.27189227877346789</v>
      </c>
      <c r="DH127" s="23">
        <f>EXP(-LN(2)/2)*DH126+(1-EXP(-LN(2)/2))/(LN(2)/2)*DB127*DE127*VLOOKUP('Données projet'!$B$13,Paramètres!$A$1:$I$89,3,0)*0.475*44/12</f>
        <v>4.8109066165184024E-15</v>
      </c>
      <c r="DI127" s="24">
        <f t="shared" si="69"/>
        <v>0.52817975559200137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68.430057767476001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2.75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10.083333333333334</v>
      </c>
      <c r="H128" s="70">
        <f t="shared" si="56"/>
        <v>216.33333333333334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-5.9412741393316544E-14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338.33619350800484</v>
      </c>
      <c r="T128" s="62">
        <f t="shared" si="88"/>
        <v>173.80539144233424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1.9895196601282805E-13</v>
      </c>
      <c r="AJ128" s="14">
        <f>AI128*VLOOKUP('Données projet'!$B$10,Paramètres!$A$1:$I$89,3,0)*VLOOKUP('Données projet'!$B$10,Paramètres!$A$1:$I$89,5,0)</f>
        <v>1.8001173884840681E-13</v>
      </c>
      <c r="AK128" s="14">
        <f t="shared" si="89"/>
        <v>2.5254331426407198E-12</v>
      </c>
      <c r="AL128" s="22">
        <f t="shared" si="58"/>
        <v>4.7119831685935622E-12</v>
      </c>
      <c r="AM128" s="62">
        <f t="shared" si="59"/>
        <v>287.6767401029374</v>
      </c>
      <c r="AN128" s="62">
        <f ca="1">AVERAGE(OFFSET($AM$3,0,0,'Données projet'!$E$10+1,1))-AVERAGE(OFFSET($H$3,0,0,'Données projet'!$E$10+1,1))</f>
        <v>308.01218908312546</v>
      </c>
      <c r="AO128" s="62">
        <f t="shared" si="90"/>
        <v>433.94915035190684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0.67336500671461896</v>
      </c>
      <c r="AV128" s="23">
        <f>EXP(-LN(2)/25)*AV127+(1-EXP(-LN(2)/25))/(LN(2)/25)*Calculateur!AQ128*Calculateur!AS128*VLOOKUP('Données projet'!$B$10,Paramètres!$A$1:$I$89,3,0)*0.475*44/12</f>
        <v>0.56072156691733965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1.2340865736319586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-5.7639226724859328E-14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329.96352570744875</v>
      </c>
      <c r="BJ128" s="62">
        <f t="shared" si="92"/>
        <v>170.12252063636961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5.3205440053716299E-14</v>
      </c>
      <c r="CA128" s="14">
        <f t="shared" si="93"/>
        <v>8.602146238565607E-13</v>
      </c>
      <c r="CB128" s="22">
        <f t="shared" si="64"/>
        <v>1.590873277977066E-12</v>
      </c>
      <c r="CC128" s="62">
        <f t="shared" si="65"/>
        <v>287.67674010293428</v>
      </c>
      <c r="CD128" s="62">
        <f ca="1">AVERAGE(OFFSET($CC$3,0,0,'Données projet'!$E$12+1,1))-AVERAGE(OFFSET($H$3,0,0,'Données projet'!$E$12+1,1))</f>
        <v>276.21705775006376</v>
      </c>
      <c r="CE128" s="62">
        <f t="shared" si="94"/>
        <v>234.24947280606958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376.32432344617206</v>
      </c>
      <c r="CZ128" s="62">
        <f t="shared" si="96"/>
        <v>302.77411534670466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0.25126183571804289</v>
      </c>
      <c r="DG128" s="23">
        <f>EXP(-LN(2)/25)*DG127+(1-EXP(-LN(2)/25))/(LN(2)/25)*Calculateur!DB128*Calculateur!DD128*VLOOKUP('Données projet'!$B$13,Paramètres!$A$1:$I$89,3,0)*0.475*44/12</f>
        <v>0.26445737011221387</v>
      </c>
      <c r="DH128" s="23">
        <f>EXP(-LN(2)/2)*DH127+(1-EXP(-LN(2)/2))/(LN(2)/2)*DB128*DE128*VLOOKUP('Données projet'!$B$13,Paramètres!$A$1:$I$89,3,0)*0.475*44/12</f>
        <v>3.4018246921953917E-15</v>
      </c>
      <c r="DI128" s="24">
        <f t="shared" si="69"/>
        <v>0.51571920583026021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68.457292755345279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2.75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10.083333333333334</v>
      </c>
      <c r="H129" s="70">
        <f t="shared" si="56"/>
        <v>216.33333333333334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-5.9412741393316544E-14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338.33619350800484</v>
      </c>
      <c r="T129" s="62">
        <f t="shared" si="88"/>
        <v>173.80539144233424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1.9895196601282805E-13</v>
      </c>
      <c r="AJ129" s="14">
        <f>AI129*VLOOKUP('Données projet'!$B$10,Paramètres!$A$1:$I$89,3,0)*VLOOKUP('Données projet'!$B$10,Paramètres!$A$1:$I$89,5,0)</f>
        <v>1.8001173884840681E-13</v>
      </c>
      <c r="AK129" s="14">
        <f t="shared" si="89"/>
        <v>2.5254331426407198E-12</v>
      </c>
      <c r="AL129" s="22">
        <f t="shared" si="58"/>
        <v>4.7119831685935622E-12</v>
      </c>
      <c r="AM129" s="62">
        <f t="shared" si="59"/>
        <v>287.77486934923695</v>
      </c>
      <c r="AN129" s="62">
        <f ca="1">AVERAGE(OFFSET($AM$3,0,0,'Données projet'!$E$10+1,1))-AVERAGE(OFFSET($H$3,0,0,'Données projet'!$E$10+1,1))</f>
        <v>308.01218908312546</v>
      </c>
      <c r="AO129" s="62">
        <f t="shared" si="90"/>
        <v>433.94915035190684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0.66016072964504491</v>
      </c>
      <c r="AV129" s="23">
        <f>EXP(-LN(2)/25)*AV128+(1-EXP(-LN(2)/25))/(LN(2)/25)*Calculateur!AQ129*Calculateur!AS129*VLOOKUP('Données projet'!$B$10,Paramètres!$A$1:$I$89,3,0)*0.475*44/12</f>
        <v>0.54538860618291929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1.2055493358279641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-5.7639226724859328E-14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329.96352570744875</v>
      </c>
      <c r="BJ129" s="62">
        <f t="shared" si="92"/>
        <v>170.12252063636961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5.3205440053716299E-14</v>
      </c>
      <c r="CA129" s="14">
        <f t="shared" si="93"/>
        <v>8.602146238565607E-13</v>
      </c>
      <c r="CB129" s="22">
        <f t="shared" si="64"/>
        <v>1.590873277977066E-12</v>
      </c>
      <c r="CC129" s="62">
        <f t="shared" si="65"/>
        <v>287.77486934923382</v>
      </c>
      <c r="CD129" s="62">
        <f ca="1">AVERAGE(OFFSET($CC$3,0,0,'Données projet'!$E$12+1,1))-AVERAGE(OFFSET($H$3,0,0,'Données projet'!$E$12+1,1))</f>
        <v>276.21705775006376</v>
      </c>
      <c r="CE129" s="62">
        <f t="shared" si="94"/>
        <v>234.24947280606958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376.32432344617206</v>
      </c>
      <c r="CZ129" s="62">
        <f t="shared" si="96"/>
        <v>302.77411534670466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0.24633474437419922</v>
      </c>
      <c r="DG129" s="23">
        <f>EXP(-LN(2)/25)*DG128+(1-EXP(-LN(2)/25))/(LN(2)/25)*Calculateur!DB129*Calculateur!DD129*VLOOKUP('Données projet'!$B$13,Paramètres!$A$1:$I$89,3,0)*0.475*44/12</f>
        <v>0.25722576941928671</v>
      </c>
      <c r="DH129" s="23">
        <f>EXP(-LN(2)/2)*DH128+(1-EXP(-LN(2)/2))/(LN(2)/2)*DB129*DE129*VLOOKUP('Données projet'!$B$13,Paramètres!$A$1:$I$89,3,0)*0.475*44/12</f>
        <v>2.4054533082592012E-15</v>
      </c>
      <c r="DI129" s="24">
        <f t="shared" si="69"/>
        <v>0.50356051379348843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68.484055277063334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2.75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10.083333333333334</v>
      </c>
      <c r="H130" s="70">
        <f t="shared" si="56"/>
        <v>216.33333333333334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-5.9412741393316544E-14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338.33619350800484</v>
      </c>
      <c r="T130" s="62">
        <f t="shared" si="88"/>
        <v>173.80539144233424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1.9895196601282805E-13</v>
      </c>
      <c r="AJ130" s="14">
        <f>AI130*VLOOKUP('Données projet'!$B$10,Paramètres!$A$1:$I$89,3,0)*VLOOKUP('Données projet'!$B$10,Paramètres!$A$1:$I$89,5,0)</f>
        <v>1.8001173884840681E-13</v>
      </c>
      <c r="AK130" s="14">
        <f t="shared" si="89"/>
        <v>2.5254331426407198E-12</v>
      </c>
      <c r="AL130" s="22">
        <f t="shared" si="58"/>
        <v>4.7119831685935622E-12</v>
      </c>
      <c r="AM130" s="62">
        <f t="shared" si="59"/>
        <v>287.87129627249732</v>
      </c>
      <c r="AN130" s="62">
        <f ca="1">AVERAGE(OFFSET($AM$3,0,0,'Données projet'!$E$10+1,1))-AVERAGE(OFFSET($H$3,0,0,'Données projet'!$E$10+1,1))</f>
        <v>308.01218908312546</v>
      </c>
      <c r="AO130" s="62">
        <f t="shared" si="90"/>
        <v>433.94915035190684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0.64721538039499149</v>
      </c>
      <c r="AV130" s="23">
        <f>EXP(-LN(2)/25)*AV129+(1-EXP(-LN(2)/25))/(LN(2)/25)*Calculateur!AQ130*Calculateur!AS130*VLOOKUP('Données projet'!$B$10,Paramètres!$A$1:$I$89,3,0)*0.475*44/12</f>
        <v>0.53047492606610702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1.1776903064610984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-5.7639226724859328E-14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329.96352570744875</v>
      </c>
      <c r="BJ130" s="62">
        <f t="shared" si="92"/>
        <v>170.12252063636961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5.3205440053716299E-14</v>
      </c>
      <c r="CA130" s="14">
        <f t="shared" si="93"/>
        <v>8.602146238565607E-13</v>
      </c>
      <c r="CB130" s="22">
        <f t="shared" si="64"/>
        <v>1.590873277977066E-12</v>
      </c>
      <c r="CC130" s="62">
        <f t="shared" si="65"/>
        <v>287.87129627249419</v>
      </c>
      <c r="CD130" s="62">
        <f ca="1">AVERAGE(OFFSET($CC$3,0,0,'Données projet'!$E$12+1,1))-AVERAGE(OFFSET($H$3,0,0,'Données projet'!$E$12+1,1))</f>
        <v>276.21705775006376</v>
      </c>
      <c r="CE130" s="62">
        <f t="shared" si="94"/>
        <v>234.24947280606958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376.32432344617206</v>
      </c>
      <c r="CZ130" s="62">
        <f t="shared" si="96"/>
        <v>302.77411534670466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0.24150427028637936</v>
      </c>
      <c r="DG130" s="23">
        <f>EXP(-LN(2)/25)*DG129+(1-EXP(-LN(2)/25))/(LN(2)/25)*Calculateur!DB130*Calculateur!DD130*VLOOKUP('Données projet'!$B$13,Paramètres!$A$1:$I$89,3,0)*0.475*44/12</f>
        <v>0.25019191722760098</v>
      </c>
      <c r="DH130" s="23">
        <f>EXP(-LN(2)/2)*DH129+(1-EXP(-LN(2)/2))/(LN(2)/2)*DB130*DE130*VLOOKUP('Données projet'!$B$13,Paramètres!$A$1:$I$89,3,0)*0.475*44/12</f>
        <v>1.7009123460976958E-15</v>
      </c>
      <c r="DI130" s="24">
        <f t="shared" si="69"/>
        <v>0.49169618751398209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68.510353528861614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2.75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10.083333333333334</v>
      </c>
      <c r="H131" s="70">
        <f t="shared" si="56"/>
        <v>216.33333333333334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-5.9412741393316544E-14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338.33619350800484</v>
      </c>
      <c r="T131" s="62">
        <f t="shared" si="88"/>
        <v>173.80539144233424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1.9895196601282805E-13</v>
      </c>
      <c r="AJ131" s="14">
        <f>AI131*VLOOKUP('Données projet'!$B$10,Paramètres!$A$1:$I$89,3,0)*VLOOKUP('Données projet'!$B$10,Paramètres!$A$1:$I$89,5,0)</f>
        <v>1.8001173884840681E-13</v>
      </c>
      <c r="AK131" s="14">
        <f t="shared" si="89"/>
        <v>2.5254331426407198E-12</v>
      </c>
      <c r="AL131" s="22">
        <f t="shared" si="58"/>
        <v>4.7119831685935622E-12</v>
      </c>
      <c r="AM131" s="62">
        <f t="shared" si="59"/>
        <v>287.96605040421741</v>
      </c>
      <c r="AN131" s="62">
        <f ca="1">AVERAGE(OFFSET($AM$3,0,0,'Données projet'!$E$10+1,1))-AVERAGE(OFFSET($H$3,0,0,'Données projet'!$E$10+1,1))</f>
        <v>308.01218908312546</v>
      </c>
      <c r="AO131" s="62">
        <f t="shared" si="90"/>
        <v>433.94915035190684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0.63452388154784822</v>
      </c>
      <c r="AV131" s="23">
        <f>EXP(-LN(2)/25)*AV130+(1-EXP(-LN(2)/25))/(LN(2)/25)*Calculateur!AQ131*Calculateur!AS131*VLOOKUP('Données projet'!$B$10,Paramètres!$A$1:$I$89,3,0)*0.475*44/12</f>
        <v>0.51596906131636533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1.1504929428642137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-5.7639226724859328E-14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329.96352570744875</v>
      </c>
      <c r="BJ131" s="62">
        <f t="shared" si="92"/>
        <v>170.12252063636961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5.3205440053716299E-14</v>
      </c>
      <c r="CA131" s="14">
        <f t="shared" si="93"/>
        <v>8.602146238565607E-13</v>
      </c>
      <c r="CB131" s="22">
        <f t="shared" si="64"/>
        <v>1.590873277977066E-12</v>
      </c>
      <c r="CC131" s="62">
        <f t="shared" si="65"/>
        <v>287.96605040421429</v>
      </c>
      <c r="CD131" s="62">
        <f ca="1">AVERAGE(OFFSET($CC$3,0,0,'Données projet'!$E$12+1,1))-AVERAGE(OFFSET($H$3,0,0,'Données projet'!$E$12+1,1))</f>
        <v>276.21705775006376</v>
      </c>
      <c r="CE131" s="62">
        <f t="shared" si="94"/>
        <v>234.24947280606958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376.32432344617206</v>
      </c>
      <c r="CZ131" s="62">
        <f t="shared" si="96"/>
        <v>302.77411534670466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0.23676851884912337</v>
      </c>
      <c r="DG131" s="23">
        <f>EXP(-LN(2)/25)*DG130+(1-EXP(-LN(2)/25))/(LN(2)/25)*Calculateur!DB131*Calculateur!DD131*VLOOKUP('Données projet'!$B$13,Paramètres!$A$1:$I$89,3,0)*0.475*44/12</f>
        <v>0.24335040609399111</v>
      </c>
      <c r="DH131" s="23">
        <f>EXP(-LN(2)/2)*DH130+(1-EXP(-LN(2)/2))/(LN(2)/2)*DB131*DE131*VLOOKUP('Données projet'!$B$13,Paramètres!$A$1:$I$89,3,0)*0.475*44/12</f>
        <v>1.2027266541296006E-15</v>
      </c>
      <c r="DI131" s="24">
        <f t="shared" si="69"/>
        <v>0.4801189249431157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68.536195564785288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2.75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10.083333333333334</v>
      </c>
      <c r="H132" s="70">
        <f t="shared" ref="H132:H195" si="110">(B132+E132+F132)*44/12+(C132+D132)*0.475*44/12</f>
        <v>216.33333333333334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-5.9412741393316544E-14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338.33619350800484</v>
      </c>
      <c r="T132" s="62">
        <f t="shared" si="88"/>
        <v>173.80539144233424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1.9895196601282805E-13</v>
      </c>
      <c r="AJ132" s="14">
        <f>AI132*VLOOKUP('Données projet'!$B$10,Paramètres!$A$1:$I$89,3,0)*VLOOKUP('Données projet'!$B$10,Paramètres!$A$1:$I$89,5,0)</f>
        <v>1.8001173884840681E-13</v>
      </c>
      <c r="AK132" s="14">
        <f t="shared" si="89"/>
        <v>2.5254331426407198E-12</v>
      </c>
      <c r="AL132" s="22">
        <f t="shared" ref="AL132:AL153" si="112">(AJ132+AK132)*0.475*44/12</f>
        <v>4.7119831685935622E-12</v>
      </c>
      <c r="AM132" s="62">
        <f t="shared" ref="AM132:AM195" si="113">AL132+(AD132+AE132)*44/12</f>
        <v>288.05916076359068</v>
      </c>
      <c r="AN132" s="62">
        <f ca="1">AVERAGE(OFFSET($AM$3,0,0,'Données projet'!$E$10+1,1))-AVERAGE(OFFSET($H$3,0,0,'Données projet'!$E$10+1,1))</f>
        <v>308.01218908312546</v>
      </c>
      <c r="AO132" s="62">
        <f t="shared" si="90"/>
        <v>433.94915035190684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0.62208125525204749</v>
      </c>
      <c r="AV132" s="23">
        <f>EXP(-LN(2)/25)*AV131+(1-EXP(-LN(2)/25))/(LN(2)/25)*Calculateur!AQ132*Calculateur!AS132*VLOOKUP('Données projet'!$B$10,Paramètres!$A$1:$I$89,3,0)*0.475*44/12</f>
        <v>0.50185986020103568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1.1239411154530832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-5.7639226724859328E-14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329.96352570744875</v>
      </c>
      <c r="BJ132" s="62">
        <f t="shared" si="92"/>
        <v>170.12252063636961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5.3205440053716299E-14</v>
      </c>
      <c r="CA132" s="14">
        <f t="shared" si="93"/>
        <v>8.602146238565607E-13</v>
      </c>
      <c r="CB132" s="22">
        <f t="shared" ref="CB132:CB153" si="118">(BZ132+CA132)*0.475*44/12</f>
        <v>1.590873277977066E-12</v>
      </c>
      <c r="CC132" s="62">
        <f t="shared" ref="CC132:CC195" si="119">CB132+(BT132+BU132)*44/12</f>
        <v>288.05916076358756</v>
      </c>
      <c r="CD132" s="62">
        <f ca="1">AVERAGE(OFFSET($CC$3,0,0,'Données projet'!$E$12+1,1))-AVERAGE(OFFSET($H$3,0,0,'Données projet'!$E$12+1,1))</f>
        <v>276.21705775006376</v>
      </c>
      <c r="CE132" s="62">
        <f t="shared" si="94"/>
        <v>234.24947280606958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376.32432344617206</v>
      </c>
      <c r="CZ132" s="62">
        <f t="shared" si="96"/>
        <v>302.77411534670466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0.2321256326090288</v>
      </c>
      <c r="DG132" s="23">
        <f>EXP(-LN(2)/25)*DG131+(1-EXP(-LN(2)/25))/(LN(2)/25)*Calculateur!DB132*Calculateur!DD132*VLOOKUP('Données projet'!$B$13,Paramètres!$A$1:$I$89,3,0)*0.475*44/12</f>
        <v>0.23669597644210924</v>
      </c>
      <c r="DH132" s="23">
        <f>EXP(-LN(2)/2)*DH131+(1-EXP(-LN(2)/2))/(LN(2)/2)*DB132*DE132*VLOOKUP('Données projet'!$B$13,Paramètres!$A$1:$I$89,3,0)*0.475*44/12</f>
        <v>8.5045617304884792E-16</v>
      </c>
      <c r="DI132" s="24">
        <f t="shared" ref="DI132:DI153" si="123">SUM(DF132:DH132)</f>
        <v>0.46882160905113884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68.561589299159806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2.75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10.083333333333334</v>
      </c>
      <c r="H133" s="70">
        <f t="shared" si="110"/>
        <v>216.33333333333334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-5.9412741393316544E-14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338.33619350800484</v>
      </c>
      <c r="T133" s="62">
        <f t="shared" ref="T133:T196" si="142">$T$3</f>
        <v>173.80539144233424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1.9895196601282805E-13</v>
      </c>
      <c r="AJ133" s="14">
        <f>AI133*VLOOKUP('Données projet'!$B$10,Paramètres!$A$1:$I$89,3,0)*VLOOKUP('Données projet'!$B$10,Paramètres!$A$1:$I$89,5,0)</f>
        <v>1.8001173884840681E-13</v>
      </c>
      <c r="AK133" s="14">
        <f t="shared" ref="AK133:AK153" si="143">EXP(-1.0587+0.8836*LN(AJ133)+0.284)</f>
        <v>2.5254331426407198E-12</v>
      </c>
      <c r="AL133" s="22">
        <f t="shared" si="112"/>
        <v>4.7119831685935622E-12</v>
      </c>
      <c r="AM133" s="62">
        <f t="shared" si="113"/>
        <v>288.15065586639241</v>
      </c>
      <c r="AN133" s="62">
        <f ca="1">AVERAGE(OFFSET($AM$3,0,0,'Données projet'!$E$10+1,1))-AVERAGE(OFFSET($H$3,0,0,'Données projet'!$E$10+1,1))</f>
        <v>308.01218908312546</v>
      </c>
      <c r="AO133" s="62">
        <f t="shared" ref="AO133:AO196" si="144">$AO$3</f>
        <v>433.94915035190684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0.60988262126865478</v>
      </c>
      <c r="AV133" s="23">
        <f>EXP(-LN(2)/25)*AV132+(1-EXP(-LN(2)/25))/(LN(2)/25)*Calculateur!AQ133*Calculateur!AS133*VLOOKUP('Données projet'!$B$10,Paramètres!$A$1:$I$89,3,0)*0.475*44/12</f>
        <v>0.48813647593217535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1.0980190972008301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-5.7639226724859328E-14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329.96352570744875</v>
      </c>
      <c r="BJ133" s="62">
        <f t="shared" ref="BJ133:BJ196" si="146">$BJ$3</f>
        <v>170.12252063636961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5.3205440053716299E-14</v>
      </c>
      <c r="CA133" s="14">
        <f t="shared" ref="CA133:CA153" si="147">EXP(-1.0587+0.8836*LN(BZ133)+0.284)</f>
        <v>8.602146238565607E-13</v>
      </c>
      <c r="CB133" s="22">
        <f t="shared" si="118"/>
        <v>1.590873277977066E-12</v>
      </c>
      <c r="CC133" s="62">
        <f t="shared" si="119"/>
        <v>288.15065586638929</v>
      </c>
      <c r="CD133" s="62">
        <f ca="1">AVERAGE(OFFSET($CC$3,0,0,'Données projet'!$E$12+1,1))-AVERAGE(OFFSET($H$3,0,0,'Données projet'!$E$12+1,1))</f>
        <v>276.21705775006376</v>
      </c>
      <c r="CE133" s="62">
        <f t="shared" ref="CE133:CE196" si="148">$CE$3</f>
        <v>234.24947280606958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376.32432344617206</v>
      </c>
      <c r="CZ133" s="62">
        <f t="shared" ref="CZ133:CZ196" si="150">$CZ$3</f>
        <v>302.77411534670466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0.22757379053622151</v>
      </c>
      <c r="DG133" s="23">
        <f>EXP(-LN(2)/25)*DG132+(1-EXP(-LN(2)/25))/(LN(2)/25)*Calculateur!DB133*Calculateur!DD133*VLOOKUP('Données projet'!$B$13,Paramètres!$A$1:$I$89,3,0)*0.475*44/12</f>
        <v>0.23022351251899933</v>
      </c>
      <c r="DH133" s="23">
        <f>EXP(-LN(2)/2)*DH132+(1-EXP(-LN(2)/2))/(LN(2)/2)*DB133*DE133*VLOOKUP('Données projet'!$B$13,Paramètres!$A$1:$I$89,3,0)*0.475*44/12</f>
        <v>6.0136332706480029E-16</v>
      </c>
      <c r="DI133" s="24">
        <f t="shared" si="123"/>
        <v>0.45779730305522143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68.586542509014819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2.75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10.083333333333334</v>
      </c>
      <c r="H134" s="70">
        <f t="shared" si="110"/>
        <v>216.33333333333334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-5.9412741393316544E-14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338.33619350800484</v>
      </c>
      <c r="T134" s="62">
        <f t="shared" si="142"/>
        <v>173.80539144233424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1.9895196601282805E-13</v>
      </c>
      <c r="AJ134" s="14">
        <f>AI134*VLOOKUP('Données projet'!$B$10,Paramètres!$A$1:$I$89,3,0)*VLOOKUP('Données projet'!$B$10,Paramètres!$A$1:$I$89,5,0)</f>
        <v>1.8001173884840681E-13</v>
      </c>
      <c r="AK134" s="14">
        <f t="shared" si="143"/>
        <v>2.5254331426407198E-12</v>
      </c>
      <c r="AL134" s="22">
        <f t="shared" si="112"/>
        <v>4.7119831685935622E-12</v>
      </c>
      <c r="AM134" s="62">
        <f t="shared" si="113"/>
        <v>288.24056373371286</v>
      </c>
      <c r="AN134" s="62">
        <f ca="1">AVERAGE(OFFSET($AM$3,0,0,'Données projet'!$E$10+1,1))-AVERAGE(OFFSET($H$3,0,0,'Données projet'!$E$10+1,1))</f>
        <v>308.01218908312546</v>
      </c>
      <c r="AO134" s="62">
        <f t="shared" si="144"/>
        <v>433.94915035190684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0.59792319505724434</v>
      </c>
      <c r="AV134" s="23">
        <f>EXP(-LN(2)/25)*AV133+(1-EXP(-LN(2)/25))/(LN(2)/25)*Calculateur!AQ134*Calculateur!AS134*VLOOKUP('Données projet'!$B$10,Paramètres!$A$1:$I$89,3,0)*0.475*44/12</f>
        <v>0.4747883583278284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1.0727115533850728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-5.7639226724859328E-14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329.96352570744875</v>
      </c>
      <c r="BJ134" s="62">
        <f t="shared" si="146"/>
        <v>170.12252063636961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5.3205440053716299E-14</v>
      </c>
      <c r="CA134" s="14">
        <f t="shared" si="147"/>
        <v>8.602146238565607E-13</v>
      </c>
      <c r="CB134" s="22">
        <f t="shared" si="118"/>
        <v>1.590873277977066E-12</v>
      </c>
      <c r="CC134" s="62">
        <f t="shared" si="119"/>
        <v>288.24056373370973</v>
      </c>
      <c r="CD134" s="62">
        <f ca="1">AVERAGE(OFFSET($CC$3,0,0,'Données projet'!$E$12+1,1))-AVERAGE(OFFSET($H$3,0,0,'Données projet'!$E$12+1,1))</f>
        <v>276.21705775006376</v>
      </c>
      <c r="CE134" s="62">
        <f t="shared" si="148"/>
        <v>234.24947280606958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376.32432344617206</v>
      </c>
      <c r="CZ134" s="62">
        <f t="shared" si="150"/>
        <v>302.77411534670466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0.22311120731011244</v>
      </c>
      <c r="DG134" s="23">
        <f>EXP(-LN(2)/25)*DG133+(1-EXP(-LN(2)/25))/(LN(2)/25)*Calculateur!DB134*Calculateur!DD134*VLOOKUP('Données projet'!$B$13,Paramètres!$A$1:$I$89,3,0)*0.475*44/12</f>
        <v>0.22392803846223897</v>
      </c>
      <c r="DH134" s="23">
        <f>EXP(-LN(2)/2)*DH133+(1-EXP(-LN(2)/2))/(LN(2)/2)*DB134*DE134*VLOOKUP('Données projet'!$B$13,Paramètres!$A$1:$I$89,3,0)*0.475*44/12</f>
        <v>4.2522808652442396E-16</v>
      </c>
      <c r="DI134" s="24">
        <f t="shared" si="123"/>
        <v>0.44703924577235188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68.611062836465862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2.75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10.083333333333334</v>
      </c>
      <c r="H135" s="70">
        <f t="shared" si="110"/>
        <v>216.33333333333334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-5.9412741393316544E-14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338.33619350800484</v>
      </c>
      <c r="T135" s="62">
        <f t="shared" si="142"/>
        <v>173.80539144233424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1.9895196601282805E-13</v>
      </c>
      <c r="AJ135" s="14">
        <f>AI135*VLOOKUP('Données projet'!$B$10,Paramètres!$A$1:$I$89,3,0)*VLOOKUP('Données projet'!$B$10,Paramètres!$A$1:$I$89,5,0)</f>
        <v>1.8001173884840681E-13</v>
      </c>
      <c r="AK135" s="14">
        <f t="shared" si="143"/>
        <v>2.5254331426407198E-12</v>
      </c>
      <c r="AL135" s="22">
        <f t="shared" si="112"/>
        <v>4.7119831685935622E-12</v>
      </c>
      <c r="AM135" s="62">
        <f t="shared" si="113"/>
        <v>288.32891190053931</v>
      </c>
      <c r="AN135" s="62">
        <f ca="1">AVERAGE(OFFSET($AM$3,0,0,'Données projet'!$E$10+1,1))-AVERAGE(OFFSET($H$3,0,0,'Données projet'!$E$10+1,1))</f>
        <v>308.01218908312546</v>
      </c>
      <c r="AO135" s="62">
        <f t="shared" si="144"/>
        <v>433.94915035190684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0.58619828589930989</v>
      </c>
      <c r="AV135" s="23">
        <f>EXP(-LN(2)/25)*AV134+(1-EXP(-LN(2)/25))/(LN(2)/25)*Calculateur!AQ135*Calculateur!AS135*VLOOKUP('Données projet'!$B$10,Paramètres!$A$1:$I$89,3,0)*0.475*44/12</f>
        <v>0.46180524570131931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1.0480035316006293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-5.7639226724859328E-14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329.96352570744875</v>
      </c>
      <c r="BJ135" s="62">
        <f t="shared" si="146"/>
        <v>170.12252063636961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5.3205440053716299E-14</v>
      </c>
      <c r="CA135" s="14">
        <f t="shared" si="147"/>
        <v>8.602146238565607E-13</v>
      </c>
      <c r="CB135" s="22">
        <f t="shared" si="118"/>
        <v>1.590873277977066E-12</v>
      </c>
      <c r="CC135" s="62">
        <f t="shared" si="119"/>
        <v>288.32891190053618</v>
      </c>
      <c r="CD135" s="62">
        <f ca="1">AVERAGE(OFFSET($CC$3,0,0,'Données projet'!$E$12+1,1))-AVERAGE(OFFSET($H$3,0,0,'Données projet'!$E$12+1,1))</f>
        <v>276.21705775006376</v>
      </c>
      <c r="CE135" s="62">
        <f t="shared" si="148"/>
        <v>234.24947280606958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376.32432344617206</v>
      </c>
      <c r="CZ135" s="62">
        <f t="shared" si="150"/>
        <v>302.77411534670466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0.21873613261916039</v>
      </c>
      <c r="DG135" s="23">
        <f>EXP(-LN(2)/25)*DG134+(1-EXP(-LN(2)/25))/(LN(2)/25)*Calculateur!DB135*Calculateur!DD135*VLOOKUP('Données projet'!$B$13,Paramètres!$A$1:$I$89,3,0)*0.475*44/12</f>
        <v>0.21780471447462529</v>
      </c>
      <c r="DH135" s="23">
        <f>EXP(-LN(2)/2)*DH134+(1-EXP(-LN(2)/2))/(LN(2)/2)*DB135*DE135*VLOOKUP('Données projet'!$B$13,Paramètres!$A$1:$I$89,3,0)*0.475*44/12</f>
        <v>3.0068166353240015E-16</v>
      </c>
      <c r="DI135" s="24">
        <f t="shared" si="123"/>
        <v>0.43654084709378599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68.63515779105488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2.75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10.083333333333334</v>
      </c>
      <c r="H136" s="70">
        <f t="shared" si="110"/>
        <v>216.33333333333334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-5.9412741393316544E-14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338.33619350800484</v>
      </c>
      <c r="T136" s="62">
        <f t="shared" si="142"/>
        <v>173.80539144233424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1.9895196601282805E-13</v>
      </c>
      <c r="AJ136" s="14">
        <f>AI136*VLOOKUP('Données projet'!$B$10,Paramètres!$A$1:$I$89,3,0)*VLOOKUP('Données projet'!$B$10,Paramètres!$A$1:$I$89,5,0)</f>
        <v>1.8001173884840681E-13</v>
      </c>
      <c r="AK136" s="14">
        <f t="shared" si="143"/>
        <v>2.5254331426407198E-12</v>
      </c>
      <c r="AL136" s="22">
        <f t="shared" si="112"/>
        <v>4.7119831685935622E-12</v>
      </c>
      <c r="AM136" s="62">
        <f t="shared" si="113"/>
        <v>288.41572742418811</v>
      </c>
      <c r="AN136" s="62">
        <f ca="1">AVERAGE(OFFSET($AM$3,0,0,'Données projet'!$E$10+1,1))-AVERAGE(OFFSET($H$3,0,0,'Données projet'!$E$10+1,1))</f>
        <v>308.01218908312546</v>
      </c>
      <c r="AO136" s="62">
        <f t="shared" si="144"/>
        <v>433.94915035190684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0.57470329505847417</v>
      </c>
      <c r="AV136" s="23">
        <f>EXP(-LN(2)/25)*AV135+(1-EXP(-LN(2)/25))/(LN(2)/25)*Calculateur!AQ136*Calculateur!AS136*VLOOKUP('Données projet'!$B$10,Paramètres!$A$1:$I$89,3,0)*0.475*44/12</f>
        <v>0.44917715697233435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1.0238804520308085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-5.7639226724859328E-14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329.96352570744875</v>
      </c>
      <c r="BJ136" s="62">
        <f t="shared" si="146"/>
        <v>170.12252063636961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5.3205440053716299E-14</v>
      </c>
      <c r="CA136" s="14">
        <f t="shared" si="147"/>
        <v>8.602146238565607E-13</v>
      </c>
      <c r="CB136" s="22">
        <f t="shared" si="118"/>
        <v>1.590873277977066E-12</v>
      </c>
      <c r="CC136" s="62">
        <f t="shared" si="119"/>
        <v>288.41572742418498</v>
      </c>
      <c r="CD136" s="62">
        <f ca="1">AVERAGE(OFFSET($CC$3,0,0,'Données projet'!$E$12+1,1))-AVERAGE(OFFSET($H$3,0,0,'Données projet'!$E$12+1,1))</f>
        <v>276.21705775006376</v>
      </c>
      <c r="CE136" s="62">
        <f t="shared" si="148"/>
        <v>234.24947280606958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376.32432344617206</v>
      </c>
      <c r="CZ136" s="62">
        <f t="shared" si="150"/>
        <v>302.77411534670466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0.21444685047436582</v>
      </c>
      <c r="DG136" s="23">
        <f>EXP(-LN(2)/25)*DG135+(1-EXP(-LN(2)/25))/(LN(2)/25)*Calculateur!DB136*Calculateur!DD136*VLOOKUP('Données projet'!$B$13,Paramètres!$A$1:$I$89,3,0)*0.475*44/12</f>
        <v>0.21184883310346453</v>
      </c>
      <c r="DH136" s="23">
        <f>EXP(-LN(2)/2)*DH135+(1-EXP(-LN(2)/2))/(LN(2)/2)*DB136*DE136*VLOOKUP('Données projet'!$B$13,Paramètres!$A$1:$I$89,3,0)*0.475*44/12</f>
        <v>2.1261404326221198E-16</v>
      </c>
      <c r="DI136" s="24">
        <f t="shared" si="123"/>
        <v>0.42629568357783054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68.658834752050012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2.75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10.083333333333334</v>
      </c>
      <c r="H137" s="70">
        <f t="shared" si="110"/>
        <v>216.33333333333334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-5.9412741393316544E-14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338.33619350800484</v>
      </c>
      <c r="T137" s="62">
        <f t="shared" si="142"/>
        <v>173.80539144233424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1.9895196601282805E-13</v>
      </c>
      <c r="AJ137" s="14">
        <f>AI137*VLOOKUP('Données projet'!$B$10,Paramètres!$A$1:$I$89,3,0)*VLOOKUP('Données projet'!$B$10,Paramètres!$A$1:$I$89,5,0)</f>
        <v>1.8001173884840681E-13</v>
      </c>
      <c r="AK137" s="14">
        <f t="shared" si="143"/>
        <v>2.5254331426407198E-12</v>
      </c>
      <c r="AL137" s="22">
        <f t="shared" si="112"/>
        <v>4.7119831685935622E-12</v>
      </c>
      <c r="AM137" s="62">
        <f t="shared" si="113"/>
        <v>288.50103689259208</v>
      </c>
      <c r="AN137" s="62">
        <f ca="1">AVERAGE(OFFSET($AM$3,0,0,'Données projet'!$E$10+1,1))-AVERAGE(OFFSET($H$3,0,0,'Données projet'!$E$10+1,1))</f>
        <v>308.01218908312546</v>
      </c>
      <c r="AO137" s="62">
        <f t="shared" si="144"/>
        <v>433.94915035190684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0.56343371397677511</v>
      </c>
      <c r="AV137" s="23">
        <f>EXP(-LN(2)/25)*AV136+(1-EXP(-LN(2)/25))/(LN(2)/25)*Calculateur!AQ137*Calculateur!AS137*VLOOKUP('Données projet'!$B$10,Paramètres!$A$1:$I$89,3,0)*0.475*44/12</f>
        <v>0.43689438399372577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1.0003280979705009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-5.7639226724859328E-14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329.96352570744875</v>
      </c>
      <c r="BJ137" s="62">
        <f t="shared" si="146"/>
        <v>170.12252063636961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5.3205440053716299E-14</v>
      </c>
      <c r="CA137" s="14">
        <f t="shared" si="147"/>
        <v>8.602146238565607E-13</v>
      </c>
      <c r="CB137" s="22">
        <f t="shared" si="118"/>
        <v>1.590873277977066E-12</v>
      </c>
      <c r="CC137" s="62">
        <f t="shared" si="119"/>
        <v>288.50103689258896</v>
      </c>
      <c r="CD137" s="62">
        <f ca="1">AVERAGE(OFFSET($CC$3,0,0,'Données projet'!$E$12+1,1))-AVERAGE(OFFSET($H$3,0,0,'Données projet'!$E$12+1,1))</f>
        <v>276.21705775006376</v>
      </c>
      <c r="CE137" s="62">
        <f t="shared" si="148"/>
        <v>234.24947280606958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376.32432344617206</v>
      </c>
      <c r="CZ137" s="62">
        <f t="shared" si="150"/>
        <v>302.77411534670466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0.21024167853622691</v>
      </c>
      <c r="DG137" s="23">
        <f>EXP(-LN(2)/25)*DG136+(1-EXP(-LN(2)/25))/(LN(2)/25)*Calculateur!DB137*Calculateur!DD137*VLOOKUP('Données projet'!$B$13,Paramètres!$A$1:$I$89,3,0)*0.475*44/12</f>
        <v>0.20605581562160435</v>
      </c>
      <c r="DH137" s="23">
        <f>EXP(-LN(2)/2)*DH136+(1-EXP(-LN(2)/2))/(LN(2)/2)*DB137*DE137*VLOOKUP('Données projet'!$B$13,Paramètres!$A$1:$I$89,3,0)*0.475*44/12</f>
        <v>1.5034083176620007E-16</v>
      </c>
      <c r="DI137" s="24">
        <f t="shared" si="123"/>
        <v>0.4162974941578314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68.682100970705648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2.75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10.083333333333334</v>
      </c>
      <c r="H138" s="70">
        <f t="shared" si="110"/>
        <v>216.33333333333334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-5.9412741393316544E-14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338.33619350800484</v>
      </c>
      <c r="T138" s="62">
        <f t="shared" si="142"/>
        <v>173.80539144233424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1.9895196601282805E-13</v>
      </c>
      <c r="AJ138" s="14">
        <f>AI138*VLOOKUP('Données projet'!$B$10,Paramètres!$A$1:$I$89,3,0)*VLOOKUP('Données projet'!$B$10,Paramètres!$A$1:$I$89,5,0)</f>
        <v>1.8001173884840681E-13</v>
      </c>
      <c r="AK138" s="14">
        <f t="shared" si="143"/>
        <v>2.5254331426407198E-12</v>
      </c>
      <c r="AL138" s="22">
        <f t="shared" si="112"/>
        <v>4.7119831685935622E-12</v>
      </c>
      <c r="AM138" s="62">
        <f t="shared" si="113"/>
        <v>288.58486643244271</v>
      </c>
      <c r="AN138" s="62">
        <f ca="1">AVERAGE(OFFSET($AM$3,0,0,'Données projet'!$E$10+1,1))-AVERAGE(OFFSET($H$3,0,0,'Données projet'!$E$10+1,1))</f>
        <v>308.01218908312546</v>
      </c>
      <c r="AO138" s="62">
        <f t="shared" si="144"/>
        <v>433.94915035190684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0.55238512250632243</v>
      </c>
      <c r="AV138" s="23">
        <f>EXP(-LN(2)/25)*AV137+(1-EXP(-LN(2)/25))/(LN(2)/25)*Calculateur!AQ138*Calculateur!AS138*VLOOKUP('Données projet'!$B$10,Paramètres!$A$1:$I$89,3,0)*0.475*44/12</f>
        <v>0.4249474840881402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0.97733260659446264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-5.7639226724859328E-14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329.96352570744875</v>
      </c>
      <c r="BJ138" s="62">
        <f t="shared" si="146"/>
        <v>170.12252063636961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5.3205440053716299E-14</v>
      </c>
      <c r="CA138" s="14">
        <f t="shared" si="147"/>
        <v>8.602146238565607E-13</v>
      </c>
      <c r="CB138" s="22">
        <f t="shared" si="118"/>
        <v>1.590873277977066E-12</v>
      </c>
      <c r="CC138" s="62">
        <f t="shared" si="119"/>
        <v>288.58486643243958</v>
      </c>
      <c r="CD138" s="62">
        <f ca="1">AVERAGE(OFFSET($CC$3,0,0,'Données projet'!$E$12+1,1))-AVERAGE(OFFSET($H$3,0,0,'Données projet'!$E$12+1,1))</f>
        <v>276.21705775006376</v>
      </c>
      <c r="CE138" s="62">
        <f t="shared" si="148"/>
        <v>234.24947280606958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376.32432344617206</v>
      </c>
      <c r="CZ138" s="62">
        <f t="shared" si="150"/>
        <v>302.77411534670466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0.20611896745489328</v>
      </c>
      <c r="DG138" s="23">
        <f>EXP(-LN(2)/25)*DG137+(1-EXP(-LN(2)/25))/(LN(2)/25)*Calculateur!DB138*Calculateur!DD138*VLOOKUP('Données projet'!$B$13,Paramètres!$A$1:$I$89,3,0)*0.475*44/12</f>
        <v>0.20042120850742717</v>
      </c>
      <c r="DH138" s="23">
        <f>EXP(-LN(2)/2)*DH137+(1-EXP(-LN(2)/2))/(LN(2)/2)*DB138*DE138*VLOOKUP('Données projet'!$B$13,Paramètres!$A$1:$I$89,3,0)*0.475*44/12</f>
        <v>1.0630702163110599E-16</v>
      </c>
      <c r="DI138" s="24">
        <f t="shared" si="123"/>
        <v>0.40654017596232056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68.704963572483081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2.75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10.083333333333334</v>
      </c>
      <c r="H139" s="70">
        <f t="shared" si="110"/>
        <v>216.33333333333334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-5.9412741393316544E-14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338.33619350800484</v>
      </c>
      <c r="T139" s="62">
        <f t="shared" si="142"/>
        <v>173.80539144233424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1.9895196601282805E-13</v>
      </c>
      <c r="AJ139" s="14">
        <f>AI139*VLOOKUP('Données projet'!$B$10,Paramètres!$A$1:$I$89,3,0)*VLOOKUP('Données projet'!$B$10,Paramètres!$A$1:$I$89,5,0)</f>
        <v>1.8001173884840681E-13</v>
      </c>
      <c r="AK139" s="14">
        <f t="shared" si="143"/>
        <v>2.5254331426407198E-12</v>
      </c>
      <c r="AL139" s="22">
        <f t="shared" si="112"/>
        <v>4.7119831685935622E-12</v>
      </c>
      <c r="AM139" s="62">
        <f t="shared" si="113"/>
        <v>288.66724171719159</v>
      </c>
      <c r="AN139" s="62">
        <f ca="1">AVERAGE(OFFSET($AM$3,0,0,'Données projet'!$E$10+1,1))-AVERAGE(OFFSET($H$3,0,0,'Données projet'!$E$10+1,1))</f>
        <v>308.01218908312546</v>
      </c>
      <c r="AO139" s="62">
        <f t="shared" si="144"/>
        <v>433.94915035190684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0.54155318717562995</v>
      </c>
      <c r="AV139" s="23">
        <f>EXP(-LN(2)/25)*AV138+(1-EXP(-LN(2)/25))/(LN(2)/25)*Calculateur!AQ139*Calculateur!AS139*VLOOKUP('Données projet'!$B$10,Paramètres!$A$1:$I$89,3,0)*0.475*44/12</f>
        <v>0.41332727278873305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0.95488045996436299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-5.7639226724859328E-14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329.96352570744875</v>
      </c>
      <c r="BJ139" s="62">
        <f t="shared" si="146"/>
        <v>170.12252063636961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5.3205440053716299E-14</v>
      </c>
      <c r="CA139" s="14">
        <f t="shared" si="147"/>
        <v>8.602146238565607E-13</v>
      </c>
      <c r="CB139" s="22">
        <f t="shared" si="118"/>
        <v>1.590873277977066E-12</v>
      </c>
      <c r="CC139" s="62">
        <f t="shared" si="119"/>
        <v>288.66724171718846</v>
      </c>
      <c r="CD139" s="62">
        <f ca="1">AVERAGE(OFFSET($CC$3,0,0,'Données projet'!$E$12+1,1))-AVERAGE(OFFSET($H$3,0,0,'Données projet'!$E$12+1,1))</f>
        <v>276.21705775006376</v>
      </c>
      <c r="CE139" s="62">
        <f t="shared" si="148"/>
        <v>234.24947280606958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376.32432344617206</v>
      </c>
      <c r="CZ139" s="62">
        <f t="shared" si="150"/>
        <v>302.77411534670466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0.20207710022325914</v>
      </c>
      <c r="DG139" s="23">
        <f>EXP(-LN(2)/25)*DG138+(1-EXP(-LN(2)/25))/(LN(2)/25)*Calculateur!DB139*Calculateur!DD139*VLOOKUP('Données projet'!$B$13,Paramètres!$A$1:$I$89,3,0)*0.475*44/12</f>
        <v>0.19494068002109829</v>
      </c>
      <c r="DH139" s="23">
        <f>EXP(-LN(2)/2)*DH138+(1-EXP(-LN(2)/2))/(LN(2)/2)*DB139*DE139*VLOOKUP('Données projet'!$B$13,Paramètres!$A$1:$I$89,3,0)*0.475*44/12</f>
        <v>7.5170415883100037E-17</v>
      </c>
      <c r="DI139" s="24">
        <f t="shared" si="123"/>
        <v>0.39701778024435747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68.727429559232775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2.75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10.083333333333334</v>
      </c>
      <c r="H140" s="70">
        <f t="shared" si="110"/>
        <v>216.33333333333334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-5.9412741393316544E-14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338.33619350800484</v>
      </c>
      <c r="T140" s="62">
        <f t="shared" si="142"/>
        <v>173.80539144233424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1.9895196601282805E-13</v>
      </c>
      <c r="AJ140" s="14">
        <f>AI140*VLOOKUP('Données projet'!$B$10,Paramètres!$A$1:$I$89,3,0)*VLOOKUP('Données projet'!$B$10,Paramètres!$A$1:$I$89,5,0)</f>
        <v>1.8001173884840681E-13</v>
      </c>
      <c r="AK140" s="14">
        <f t="shared" si="143"/>
        <v>2.5254331426407198E-12</v>
      </c>
      <c r="AL140" s="22">
        <f t="shared" si="112"/>
        <v>4.7119831685935622E-12</v>
      </c>
      <c r="AM140" s="62">
        <f t="shared" si="113"/>
        <v>288.74818797491366</v>
      </c>
      <c r="AN140" s="62">
        <f ca="1">AVERAGE(OFFSET($AM$3,0,0,'Données projet'!$E$10+1,1))-AVERAGE(OFFSET($H$3,0,0,'Données projet'!$E$10+1,1))</f>
        <v>308.01218908312546</v>
      </c>
      <c r="AO140" s="62">
        <f t="shared" si="144"/>
        <v>433.94915035190684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0.53093365948994409</v>
      </c>
      <c r="AV140" s="23">
        <f>EXP(-LN(2)/25)*AV139+(1-EXP(-LN(2)/25))/(LN(2)/25)*Calculateur!AQ140*Calculateur!AS140*VLOOKUP('Données projet'!$B$10,Paramètres!$A$1:$I$89,3,0)*0.475*44/12</f>
        <v>0.40202481677838853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0.93295847626833261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-5.7639226724859328E-14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329.96352570744875</v>
      </c>
      <c r="BJ140" s="62">
        <f t="shared" si="146"/>
        <v>170.12252063636961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5.3205440053716299E-14</v>
      </c>
      <c r="CA140" s="14">
        <f t="shared" si="147"/>
        <v>8.602146238565607E-13</v>
      </c>
      <c r="CB140" s="22">
        <f t="shared" si="118"/>
        <v>1.590873277977066E-12</v>
      </c>
      <c r="CC140" s="62">
        <f t="shared" si="119"/>
        <v>288.74818797491054</v>
      </c>
      <c r="CD140" s="62">
        <f ca="1">AVERAGE(OFFSET($CC$3,0,0,'Données projet'!$E$12+1,1))-AVERAGE(OFFSET($H$3,0,0,'Données projet'!$E$12+1,1))</f>
        <v>276.21705775006376</v>
      </c>
      <c r="CE140" s="62">
        <f t="shared" si="148"/>
        <v>234.24947280606958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376.32432344617206</v>
      </c>
      <c r="CZ140" s="62">
        <f t="shared" si="150"/>
        <v>302.77411534670466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0.19811449154274177</v>
      </c>
      <c r="DG140" s="23">
        <f>EXP(-LN(2)/25)*DG139+(1-EXP(-LN(2)/25))/(LN(2)/25)*Calculateur!DB140*Calculateur!DD140*VLOOKUP('Données projet'!$B$13,Paramètres!$A$1:$I$89,3,0)*0.475*44/12</f>
        <v>0.18961001687443654</v>
      </c>
      <c r="DH140" s="23">
        <f>EXP(-LN(2)/2)*DH139+(1-EXP(-LN(2)/2))/(LN(2)/2)*DB140*DE140*VLOOKUP('Données projet'!$B$13,Paramètres!$A$1:$I$89,3,0)*0.475*44/12</f>
        <v>5.3153510815552995E-17</v>
      </c>
      <c r="DI140" s="24">
        <f t="shared" si="123"/>
        <v>0.38772450841717837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68.749505811338807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2.75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10.083333333333334</v>
      </c>
      <c r="H141" s="70">
        <f t="shared" si="110"/>
        <v>216.33333333333334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-5.9412741393316544E-14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338.33619350800484</v>
      </c>
      <c r="T141" s="62">
        <f t="shared" si="142"/>
        <v>173.80539144233424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1.9895196601282805E-13</v>
      </c>
      <c r="AJ141" s="14">
        <f>AI141*VLOOKUP('Données projet'!$B$10,Paramètres!$A$1:$I$89,3,0)*VLOOKUP('Données projet'!$B$10,Paramètres!$A$1:$I$89,5,0)</f>
        <v>1.8001173884840681E-13</v>
      </c>
      <c r="AK141" s="14">
        <f t="shared" si="143"/>
        <v>2.5254331426407198E-12</v>
      </c>
      <c r="AL141" s="22">
        <f t="shared" si="112"/>
        <v>4.7119831685935622E-12</v>
      </c>
      <c r="AM141" s="62">
        <f t="shared" si="113"/>
        <v>288.82772999603299</v>
      </c>
      <c r="AN141" s="62">
        <f ca="1">AVERAGE(OFFSET($AM$3,0,0,'Données projet'!$E$10+1,1))-AVERAGE(OFFSET($H$3,0,0,'Données projet'!$E$10+1,1))</f>
        <v>308.01218908312546</v>
      </c>
      <c r="AO141" s="62">
        <f t="shared" si="144"/>
        <v>433.94915035190684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0.52052237426490222</v>
      </c>
      <c r="AV141" s="23">
        <f>EXP(-LN(2)/25)*AV140+(1-EXP(-LN(2)/25))/(LN(2)/25)*Calculateur!AQ141*Calculateur!AS141*VLOOKUP('Données projet'!$B$10,Paramètres!$A$1:$I$89,3,0)*0.475*44/12</f>
        <v>0.39103142702201721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0.91155380128691943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-5.7639226724859328E-14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329.96352570744875</v>
      </c>
      <c r="BJ141" s="62">
        <f t="shared" si="146"/>
        <v>170.12252063636961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5.3205440053716299E-14</v>
      </c>
      <c r="CA141" s="14">
        <f t="shared" si="147"/>
        <v>8.602146238565607E-13</v>
      </c>
      <c r="CB141" s="22">
        <f t="shared" si="118"/>
        <v>1.590873277977066E-12</v>
      </c>
      <c r="CC141" s="62">
        <f t="shared" si="119"/>
        <v>288.82772999602986</v>
      </c>
      <c r="CD141" s="62">
        <f ca="1">AVERAGE(OFFSET($CC$3,0,0,'Données projet'!$E$12+1,1))-AVERAGE(OFFSET($H$3,0,0,'Données projet'!$E$12+1,1))</f>
        <v>276.21705775006376</v>
      </c>
      <c r="CE141" s="62">
        <f t="shared" si="148"/>
        <v>234.24947280606958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376.32432344617206</v>
      </c>
      <c r="CZ141" s="62">
        <f t="shared" si="150"/>
        <v>302.77411534670466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0.19422958720149669</v>
      </c>
      <c r="DG141" s="23">
        <f>EXP(-LN(2)/25)*DG140+(1-EXP(-LN(2)/25))/(LN(2)/25)*Calculateur!DB141*Calculateur!DD141*VLOOKUP('Données projet'!$B$13,Paramètres!$A$1:$I$89,3,0)*0.475*44/12</f>
        <v>0.18442512099184766</v>
      </c>
      <c r="DH141" s="23">
        <f>EXP(-LN(2)/2)*DH140+(1-EXP(-LN(2)/2))/(LN(2)/2)*DB141*DE141*VLOOKUP('Données projet'!$B$13,Paramètres!$A$1:$I$89,3,0)*0.475*44/12</f>
        <v>3.7585207941550018E-17</v>
      </c>
      <c r="DI141" s="24">
        <f t="shared" si="123"/>
        <v>0.3786547081933444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68.771199089825899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2.75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10.083333333333334</v>
      </c>
      <c r="H142" s="70">
        <f t="shared" si="110"/>
        <v>216.33333333333334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-5.9412741393316544E-14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338.33619350800484</v>
      </c>
      <c r="T142" s="62">
        <f t="shared" si="142"/>
        <v>173.80539144233424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1.9895196601282805E-13</v>
      </c>
      <c r="AJ142" s="14">
        <f>AI142*VLOOKUP('Données projet'!$B$10,Paramètres!$A$1:$I$89,3,0)*VLOOKUP('Données projet'!$B$10,Paramètres!$A$1:$I$89,5,0)</f>
        <v>1.8001173884840681E-13</v>
      </c>
      <c r="AK142" s="14">
        <f t="shared" si="143"/>
        <v>2.5254331426407198E-12</v>
      </c>
      <c r="AL142" s="22">
        <f t="shared" si="112"/>
        <v>4.7119831685935622E-12</v>
      </c>
      <c r="AM142" s="62">
        <f t="shared" si="113"/>
        <v>288.90589214091523</v>
      </c>
      <c r="AN142" s="62">
        <f ca="1">AVERAGE(OFFSET($AM$3,0,0,'Données projet'!$E$10+1,1))-AVERAGE(OFFSET($H$3,0,0,'Données projet'!$E$10+1,1))</f>
        <v>308.01218908312546</v>
      </c>
      <c r="AO142" s="62">
        <f t="shared" si="144"/>
        <v>433.94915035190684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0.51031524799286654</v>
      </c>
      <c r="AV142" s="23">
        <f>EXP(-LN(2)/25)*AV141+(1-EXP(-LN(2)/25))/(LN(2)/25)*Calculateur!AQ142*Calculateur!AS142*VLOOKUP('Données projet'!$B$10,Paramètres!$A$1:$I$89,3,0)*0.475*44/12</f>
        <v>0.38033865208665113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0.89065390007951772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-5.7639226724859328E-14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329.96352570744875</v>
      </c>
      <c r="BJ142" s="62">
        <f t="shared" si="146"/>
        <v>170.12252063636961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5.3205440053716299E-14</v>
      </c>
      <c r="CA142" s="14">
        <f t="shared" si="147"/>
        <v>8.602146238565607E-13</v>
      </c>
      <c r="CB142" s="22">
        <f t="shared" si="118"/>
        <v>1.590873277977066E-12</v>
      </c>
      <c r="CC142" s="62">
        <f t="shared" si="119"/>
        <v>288.9058921409121</v>
      </c>
      <c r="CD142" s="62">
        <f ca="1">AVERAGE(OFFSET($CC$3,0,0,'Données projet'!$E$12+1,1))-AVERAGE(OFFSET($H$3,0,0,'Données projet'!$E$12+1,1))</f>
        <v>276.21705775006376</v>
      </c>
      <c r="CE142" s="62">
        <f t="shared" si="148"/>
        <v>234.24947280606958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376.32432344617206</v>
      </c>
      <c r="CZ142" s="62">
        <f t="shared" si="150"/>
        <v>302.77411534670466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0.19042086346482576</v>
      </c>
      <c r="DG142" s="23">
        <f>EXP(-LN(2)/25)*DG141+(1-EXP(-LN(2)/25))/(LN(2)/25)*Calculateur!DB142*Calculateur!DD142*VLOOKUP('Données projet'!$B$13,Paramètres!$A$1:$I$89,3,0)*0.475*44/12</f>
        <v>0.17938200635982998</v>
      </c>
      <c r="DH142" s="23">
        <f>EXP(-LN(2)/2)*DH141+(1-EXP(-LN(2)/2))/(LN(2)/2)*DB142*DE142*VLOOKUP('Données projet'!$B$13,Paramètres!$A$1:$I$89,3,0)*0.475*44/12</f>
        <v>2.6576755407776498E-17</v>
      </c>
      <c r="DI142" s="24">
        <f t="shared" si="123"/>
        <v>0.36980286982465571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68.792516038430136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2.75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10.083333333333334</v>
      </c>
      <c r="H143" s="70">
        <f t="shared" si="110"/>
        <v>216.33333333333334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-5.9412741393316544E-14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338.33619350800484</v>
      </c>
      <c r="T143" s="62">
        <f t="shared" si="142"/>
        <v>173.80539144233424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1.9895196601282805E-13</v>
      </c>
      <c r="AJ143" s="14">
        <f>AI143*VLOOKUP('Données projet'!$B$10,Paramètres!$A$1:$I$89,3,0)*VLOOKUP('Données projet'!$B$10,Paramètres!$A$1:$I$89,5,0)</f>
        <v>1.8001173884840681E-13</v>
      </c>
      <c r="AK143" s="14">
        <f t="shared" si="143"/>
        <v>2.5254331426407198E-12</v>
      </c>
      <c r="AL143" s="22">
        <f t="shared" si="112"/>
        <v>4.7119831685935622E-12</v>
      </c>
      <c r="AM143" s="62">
        <f t="shared" si="113"/>
        <v>288.9826983473281</v>
      </c>
      <c r="AN143" s="62">
        <f ca="1">AVERAGE(OFFSET($AM$3,0,0,'Données projet'!$E$10+1,1))-AVERAGE(OFFSET($H$3,0,0,'Données projet'!$E$10+1,1))</f>
        <v>308.01218908312546</v>
      </c>
      <c r="AO143" s="62">
        <f t="shared" si="144"/>
        <v>433.94915035190684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0.50030827724129312</v>
      </c>
      <c r="AV143" s="23">
        <f>EXP(-LN(2)/25)*AV142+(1-EXP(-LN(2)/25))/(LN(2)/25)*Calculateur!AQ143*Calculateur!AS143*VLOOKUP('Données projet'!$B$10,Paramètres!$A$1:$I$89,3,0)*0.475*44/12</f>
        <v>0.36993827164420123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0.87024654888549435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-5.7639226724859328E-14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329.96352570744875</v>
      </c>
      <c r="BJ143" s="62">
        <f t="shared" si="146"/>
        <v>170.12252063636961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5.3205440053716299E-14</v>
      </c>
      <c r="CA143" s="14">
        <f t="shared" si="147"/>
        <v>8.602146238565607E-13</v>
      </c>
      <c r="CB143" s="22">
        <f t="shared" si="118"/>
        <v>1.590873277977066E-12</v>
      </c>
      <c r="CC143" s="62">
        <f t="shared" si="119"/>
        <v>288.98269834732497</v>
      </c>
      <c r="CD143" s="62">
        <f ca="1">AVERAGE(OFFSET($CC$3,0,0,'Données projet'!$E$12+1,1))-AVERAGE(OFFSET($H$3,0,0,'Données projet'!$E$12+1,1))</f>
        <v>276.21705775006376</v>
      </c>
      <c r="CE143" s="62">
        <f t="shared" si="148"/>
        <v>234.24947280606958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376.32432344617206</v>
      </c>
      <c r="CZ143" s="62">
        <f t="shared" si="150"/>
        <v>302.77411534670466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0.18668682647753884</v>
      </c>
      <c r="DG143" s="23">
        <f>EXP(-LN(2)/25)*DG142+(1-EXP(-LN(2)/25))/(LN(2)/25)*Calculateur!DB143*Calculateur!DD143*VLOOKUP('Données projet'!$B$13,Paramètres!$A$1:$I$89,3,0)*0.475*44/12</f>
        <v>0.17447679596263069</v>
      </c>
      <c r="DH143" s="23">
        <f>EXP(-LN(2)/2)*DH142+(1-EXP(-LN(2)/2))/(LN(2)/2)*DB143*DE143*VLOOKUP('Données projet'!$B$13,Paramètres!$A$1:$I$89,3,0)*0.475*44/12</f>
        <v>1.8792603970775009E-17</v>
      </c>
      <c r="DI143" s="24">
        <f t="shared" si="123"/>
        <v>0.36116362244016953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68.813463185633651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2.75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10.083333333333334</v>
      </c>
      <c r="H144" s="70">
        <f t="shared" si="110"/>
        <v>216.33333333333334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-5.9412741393316544E-14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338.33619350800484</v>
      </c>
      <c r="T144" s="62">
        <f t="shared" si="142"/>
        <v>173.80539144233424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1.9895196601282805E-13</v>
      </c>
      <c r="AJ144" s="14">
        <f>AI144*VLOOKUP('Données projet'!$B$10,Paramètres!$A$1:$I$89,3,0)*VLOOKUP('Données projet'!$B$10,Paramètres!$A$1:$I$89,5,0)</f>
        <v>1.8001173884840681E-13</v>
      </c>
      <c r="AK144" s="14">
        <f t="shared" si="143"/>
        <v>2.5254331426407198E-12</v>
      </c>
      <c r="AL144" s="22">
        <f t="shared" si="112"/>
        <v>4.7119831685935622E-12</v>
      </c>
      <c r="AM144" s="62">
        <f t="shared" si="113"/>
        <v>289.05817213777271</v>
      </c>
      <c r="AN144" s="62">
        <f ca="1">AVERAGE(OFFSET($AM$3,0,0,'Données projet'!$E$10+1,1))-AVERAGE(OFFSET($H$3,0,0,'Données projet'!$E$10+1,1))</f>
        <v>308.01218908312546</v>
      </c>
      <c r="AO144" s="62">
        <f t="shared" si="144"/>
        <v>433.94915035190684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0.49049753708250865</v>
      </c>
      <c r="AV144" s="23">
        <f>EXP(-LN(2)/25)*AV143+(1-EXP(-LN(2)/25))/(LN(2)/25)*Calculateur!AQ144*Calculateur!AS144*VLOOKUP('Données projet'!$B$10,Paramètres!$A$1:$I$89,3,0)*0.475*44/12</f>
        <v>0.35982229015188233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0.85031982723439103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-5.7639226724859328E-14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329.96352570744875</v>
      </c>
      <c r="BJ144" s="62">
        <f t="shared" si="146"/>
        <v>170.12252063636961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5.3205440053716299E-14</v>
      </c>
      <c r="CA144" s="14">
        <f t="shared" si="147"/>
        <v>8.602146238565607E-13</v>
      </c>
      <c r="CB144" s="22">
        <f t="shared" si="118"/>
        <v>1.590873277977066E-12</v>
      </c>
      <c r="CC144" s="62">
        <f t="shared" si="119"/>
        <v>289.05817213776959</v>
      </c>
      <c r="CD144" s="62">
        <f ca="1">AVERAGE(OFFSET($CC$3,0,0,'Données projet'!$E$12+1,1))-AVERAGE(OFFSET($H$3,0,0,'Données projet'!$E$12+1,1))</f>
        <v>276.21705775006376</v>
      </c>
      <c r="CE144" s="62">
        <f t="shared" si="148"/>
        <v>234.24947280606958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376.32432344617206</v>
      </c>
      <c r="CZ144" s="62">
        <f t="shared" si="150"/>
        <v>302.77411534670466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0.18302601167803495</v>
      </c>
      <c r="DG144" s="23">
        <f>EXP(-LN(2)/25)*DG143+(1-EXP(-LN(2)/25))/(LN(2)/25)*Calculateur!DB144*Calculateur!DD144*VLOOKUP('Données projet'!$B$13,Paramètres!$A$1:$I$89,3,0)*0.475*44/12</f>
        <v>0.16970571880169663</v>
      </c>
      <c r="DH144" s="23">
        <f>EXP(-LN(2)/2)*DH143+(1-EXP(-LN(2)/2))/(LN(2)/2)*DB144*DE144*VLOOKUP('Données projet'!$B$13,Paramètres!$A$1:$I$89,3,0)*0.475*44/12</f>
        <v>1.3288377703888249E-17</v>
      </c>
      <c r="DI144" s="24">
        <f t="shared" si="123"/>
        <v>0.35273173047973161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68.834046946664003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2.75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10.083333333333334</v>
      </c>
      <c r="H145" s="70">
        <f t="shared" si="110"/>
        <v>216.33333333333334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-5.9412741393316544E-14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338.33619350800484</v>
      </c>
      <c r="T145" s="62">
        <f t="shared" si="142"/>
        <v>173.80539144233424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1.9895196601282805E-13</v>
      </c>
      <c r="AJ145" s="14">
        <f>AI145*VLOOKUP('Données projet'!$B$10,Paramètres!$A$1:$I$89,3,0)*VLOOKUP('Données projet'!$B$10,Paramètres!$A$1:$I$89,5,0)</f>
        <v>1.8001173884840681E-13</v>
      </c>
      <c r="AK145" s="14">
        <f t="shared" si="143"/>
        <v>2.5254331426407198E-12</v>
      </c>
      <c r="AL145" s="22">
        <f t="shared" si="112"/>
        <v>4.7119831685935622E-12</v>
      </c>
      <c r="AM145" s="62">
        <f t="shared" si="113"/>
        <v>289.13233662668722</v>
      </c>
      <c r="AN145" s="62">
        <f ca="1">AVERAGE(OFFSET($AM$3,0,0,'Données projet'!$E$10+1,1))-AVERAGE(OFFSET($H$3,0,0,'Données projet'!$E$10+1,1))</f>
        <v>308.01218908312546</v>
      </c>
      <c r="AO145" s="62">
        <f t="shared" si="144"/>
        <v>433.94915035190684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0.48087917955427728</v>
      </c>
      <c r="AV145" s="23">
        <f>EXP(-LN(2)/25)*AV144+(1-EXP(-LN(2)/25))/(LN(2)/25)*Calculateur!AQ145*Calculateur!AS145*VLOOKUP('Données projet'!$B$10,Paramètres!$A$1:$I$89,3,0)*0.475*44/12</f>
        <v>0.34998293070544723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0.83086211025972445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-5.7639226724859328E-14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329.96352570744875</v>
      </c>
      <c r="BJ145" s="62">
        <f t="shared" si="146"/>
        <v>170.12252063636961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5.3205440053716299E-14</v>
      </c>
      <c r="CA145" s="14">
        <f t="shared" si="147"/>
        <v>8.602146238565607E-13</v>
      </c>
      <c r="CB145" s="22">
        <f t="shared" si="118"/>
        <v>1.590873277977066E-12</v>
      </c>
      <c r="CC145" s="62">
        <f t="shared" si="119"/>
        <v>289.13233662668409</v>
      </c>
      <c r="CD145" s="62">
        <f ca="1">AVERAGE(OFFSET($CC$3,0,0,'Données projet'!$E$12+1,1))-AVERAGE(OFFSET($H$3,0,0,'Données projet'!$E$12+1,1))</f>
        <v>276.21705775006376</v>
      </c>
      <c r="CE145" s="62">
        <f t="shared" si="148"/>
        <v>234.24947280606958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376.32432344617206</v>
      </c>
      <c r="CZ145" s="62">
        <f t="shared" si="150"/>
        <v>302.77411534670466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0.17943698322387278</v>
      </c>
      <c r="DG145" s="23">
        <f>EXP(-LN(2)/25)*DG144+(1-EXP(-LN(2)/25))/(LN(2)/25)*Calculateur!DB145*Calculateur!DD145*VLOOKUP('Données projet'!$B$13,Paramètres!$A$1:$I$89,3,0)*0.475*44/12</f>
        <v>0.16506510699662835</v>
      </c>
      <c r="DH145" s="23">
        <f>EXP(-LN(2)/2)*DH144+(1-EXP(-LN(2)/2))/(LN(2)/2)*DB145*DE145*VLOOKUP('Données projet'!$B$13,Paramètres!$A$1:$I$89,3,0)*0.475*44/12</f>
        <v>9.3963019853875046E-18</v>
      </c>
      <c r="DI145" s="24">
        <f t="shared" si="123"/>
        <v>0.34450209022050116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68.854273625458859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2.75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10.083333333333334</v>
      </c>
      <c r="H146" s="70">
        <f t="shared" si="110"/>
        <v>216.33333333333334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-5.9412741393316544E-14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338.33619350800484</v>
      </c>
      <c r="T146" s="62">
        <f t="shared" si="142"/>
        <v>173.80539144233424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1.9895196601282805E-13</v>
      </c>
      <c r="AJ146" s="14">
        <f>AI146*VLOOKUP('Données projet'!$B$10,Paramètres!$A$1:$I$89,3,0)*VLOOKUP('Données projet'!$B$10,Paramètres!$A$1:$I$89,5,0)</f>
        <v>1.8001173884840681E-13</v>
      </c>
      <c r="AK146" s="14">
        <f t="shared" si="143"/>
        <v>2.5254331426407198E-12</v>
      </c>
      <c r="AL146" s="22">
        <f t="shared" si="112"/>
        <v>4.7119831685935622E-12</v>
      </c>
      <c r="AM146" s="62">
        <f t="shared" si="113"/>
        <v>289.20521452752598</v>
      </c>
      <c r="AN146" s="62">
        <f ca="1">AVERAGE(OFFSET($AM$3,0,0,'Données projet'!$E$10+1,1))-AVERAGE(OFFSET($H$3,0,0,'Données projet'!$E$10+1,1))</f>
        <v>308.01218908312546</v>
      </c>
      <c r="AO146" s="62">
        <f t="shared" si="144"/>
        <v>433.94915035190684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0.47144943215055574</v>
      </c>
      <c r="AV146" s="23">
        <f>EXP(-LN(2)/25)*AV145+(1-EXP(-LN(2)/25))/(LN(2)/25)*Calculateur!AQ146*Calculateur!AS146*VLOOKUP('Données projet'!$B$10,Paramètres!$A$1:$I$89,3,0)*0.475*44/12</f>
        <v>0.34041262906050435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0.81186206121106008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-5.7639226724859328E-14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329.96352570744875</v>
      </c>
      <c r="BJ146" s="62">
        <f t="shared" si="146"/>
        <v>170.12252063636961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5.3205440053716299E-14</v>
      </c>
      <c r="CA146" s="14">
        <f t="shared" si="147"/>
        <v>8.602146238565607E-13</v>
      </c>
      <c r="CB146" s="22">
        <f t="shared" si="118"/>
        <v>1.590873277977066E-12</v>
      </c>
      <c r="CC146" s="62">
        <f t="shared" si="119"/>
        <v>289.20521452752286</v>
      </c>
      <c r="CD146" s="62">
        <f ca="1">AVERAGE(OFFSET($CC$3,0,0,'Données projet'!$E$12+1,1))-AVERAGE(OFFSET($H$3,0,0,'Données projet'!$E$12+1,1))</f>
        <v>276.21705775006376</v>
      </c>
      <c r="CE146" s="62">
        <f t="shared" si="148"/>
        <v>234.24947280606958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376.32432344617206</v>
      </c>
      <c r="CZ146" s="62">
        <f t="shared" si="150"/>
        <v>302.77411534670466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0.17591833342860552</v>
      </c>
      <c r="DG146" s="23">
        <f>EXP(-LN(2)/25)*DG145+(1-EXP(-LN(2)/25))/(LN(2)/25)*Calculateur!DB146*Calculateur!DD146*VLOOKUP('Données projet'!$B$13,Paramètres!$A$1:$I$89,3,0)*0.475*44/12</f>
        <v>0.16055139296540882</v>
      </c>
      <c r="DH146" s="23">
        <f>EXP(-LN(2)/2)*DH145+(1-EXP(-LN(2)/2))/(LN(2)/2)*DB146*DE146*VLOOKUP('Données projet'!$B$13,Paramètres!$A$1:$I$89,3,0)*0.475*44/12</f>
        <v>6.6441888519441244E-18</v>
      </c>
      <c r="DI146" s="24">
        <f t="shared" si="123"/>
        <v>0.33646972639401435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68.874149416596708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2.75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10.083333333333334</v>
      </c>
      <c r="H147" s="70">
        <f t="shared" si="110"/>
        <v>216.33333333333334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-5.9412741393316544E-14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338.33619350800484</v>
      </c>
      <c r="T147" s="62">
        <f t="shared" si="142"/>
        <v>173.80539144233424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1.9895196601282805E-13</v>
      </c>
      <c r="AJ147" s="14">
        <f>AI147*VLOOKUP('Données projet'!$B$10,Paramètres!$A$1:$I$89,3,0)*VLOOKUP('Données projet'!$B$10,Paramètres!$A$1:$I$89,5,0)</f>
        <v>1.8001173884840681E-13</v>
      </c>
      <c r="AK147" s="14">
        <f t="shared" si="143"/>
        <v>2.5254331426407198E-12</v>
      </c>
      <c r="AL147" s="22">
        <f t="shared" si="112"/>
        <v>4.7119831685935622E-12</v>
      </c>
      <c r="AM147" s="62">
        <f t="shared" si="113"/>
        <v>289.27682815971582</v>
      </c>
      <c r="AN147" s="62">
        <f ca="1">AVERAGE(OFFSET($AM$3,0,0,'Données projet'!$E$10+1,1))-AVERAGE(OFFSET($H$3,0,0,'Données projet'!$E$10+1,1))</f>
        <v>308.01218908312546</v>
      </c>
      <c r="AO147" s="62">
        <f t="shared" si="144"/>
        <v>433.94915035190684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0.46220459634184319</v>
      </c>
      <c r="AV147" s="23">
        <f>EXP(-LN(2)/25)*AV146+(1-EXP(-LN(2)/25))/(LN(2)/25)*Calculateur!AQ147*Calculateur!AS147*VLOOKUP('Données projet'!$B$10,Paramètres!$A$1:$I$89,3,0)*0.475*44/12</f>
        <v>0.33110402781732273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0.79330862415916592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-5.7639226724859328E-14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329.96352570744875</v>
      </c>
      <c r="BJ147" s="62">
        <f t="shared" si="146"/>
        <v>170.12252063636961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5.3205440053716299E-14</v>
      </c>
      <c r="CA147" s="14">
        <f t="shared" si="147"/>
        <v>8.602146238565607E-13</v>
      </c>
      <c r="CB147" s="22">
        <f t="shared" si="118"/>
        <v>1.590873277977066E-12</v>
      </c>
      <c r="CC147" s="62">
        <f t="shared" si="119"/>
        <v>289.27682815971269</v>
      </c>
      <c r="CD147" s="62">
        <f ca="1">AVERAGE(OFFSET($CC$3,0,0,'Données projet'!$E$12+1,1))-AVERAGE(OFFSET($H$3,0,0,'Données projet'!$E$12+1,1))</f>
        <v>276.21705775006376</v>
      </c>
      <c r="CE147" s="62">
        <f t="shared" si="148"/>
        <v>234.24947280606958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376.32432344617206</v>
      </c>
      <c r="CZ147" s="62">
        <f t="shared" si="150"/>
        <v>302.77411534670466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0.172468682209659</v>
      </c>
      <c r="DG147" s="23">
        <f>EXP(-LN(2)/25)*DG146+(1-EXP(-LN(2)/25))/(LN(2)/25)*Calculateur!DB147*Calculateur!DD147*VLOOKUP('Données projet'!$B$13,Paramètres!$A$1:$I$89,3,0)*0.475*44/12</f>
        <v>0.15616110668173891</v>
      </c>
      <c r="DH147" s="23">
        <f>EXP(-LN(2)/2)*DH146+(1-EXP(-LN(2)/2))/(LN(2)/2)*DB147*DE147*VLOOKUP('Données projet'!$B$13,Paramètres!$A$1:$I$89,3,0)*0.475*44/12</f>
        <v>4.6981509926937523E-18</v>
      </c>
      <c r="DI147" s="24">
        <f t="shared" si="123"/>
        <v>0.32862978889139793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68.893680407193926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2.75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10.083333333333334</v>
      </c>
      <c r="H148" s="70">
        <f t="shared" si="110"/>
        <v>216.33333333333334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-5.9412741393316544E-14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338.33619350800484</v>
      </c>
      <c r="T148" s="62">
        <f t="shared" si="142"/>
        <v>173.80539144233424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1.9895196601282805E-13</v>
      </c>
      <c r="AJ148" s="14">
        <f>AI148*VLOOKUP('Données projet'!$B$10,Paramètres!$A$1:$I$89,3,0)*VLOOKUP('Données projet'!$B$10,Paramètres!$A$1:$I$89,5,0)</f>
        <v>1.8001173884840681E-13</v>
      </c>
      <c r="AK148" s="14">
        <f t="shared" si="143"/>
        <v>2.5254331426407198E-12</v>
      </c>
      <c r="AL148" s="22">
        <f t="shared" si="112"/>
        <v>4.7119831685935622E-12</v>
      </c>
      <c r="AM148" s="62">
        <f t="shared" si="113"/>
        <v>289.34719945549119</v>
      </c>
      <c r="AN148" s="62">
        <f ca="1">AVERAGE(OFFSET($AM$3,0,0,'Données projet'!$E$10+1,1))-AVERAGE(OFFSET($H$3,0,0,'Données projet'!$E$10+1,1))</f>
        <v>308.01218908312546</v>
      </c>
      <c r="AO148" s="62">
        <f t="shared" si="144"/>
        <v>433.94915035190684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0.45314104612454642</v>
      </c>
      <c r="AV148" s="23">
        <f>EXP(-LN(2)/25)*AV147+(1-EXP(-LN(2)/25))/(LN(2)/25)*Calculateur!AQ148*Calculateur!AS148*VLOOKUP('Données projet'!$B$10,Paramètres!$A$1:$I$89,3,0)*0.475*44/12</f>
        <v>0.32204997076465397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0.77519101688920045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-5.7639226724859328E-14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329.96352570744875</v>
      </c>
      <c r="BJ148" s="62">
        <f t="shared" si="146"/>
        <v>170.12252063636961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5.3205440053716299E-14</v>
      </c>
      <c r="CA148" s="14">
        <f t="shared" si="147"/>
        <v>8.602146238565607E-13</v>
      </c>
      <c r="CB148" s="22">
        <f t="shared" si="118"/>
        <v>1.590873277977066E-12</v>
      </c>
      <c r="CC148" s="62">
        <f t="shared" si="119"/>
        <v>289.34719945548807</v>
      </c>
      <c r="CD148" s="62">
        <f ca="1">AVERAGE(OFFSET($CC$3,0,0,'Données projet'!$E$12+1,1))-AVERAGE(OFFSET($H$3,0,0,'Données projet'!$E$12+1,1))</f>
        <v>276.21705775006376</v>
      </c>
      <c r="CE148" s="62">
        <f t="shared" si="148"/>
        <v>234.24947280606958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376.32432344617206</v>
      </c>
      <c r="CZ148" s="62">
        <f t="shared" si="150"/>
        <v>302.77411534670466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0.16908667654703655</v>
      </c>
      <c r="DG148" s="23">
        <f>EXP(-LN(2)/25)*DG147+(1-EXP(-LN(2)/25))/(LN(2)/25)*Calculateur!DB148*Calculateur!DD148*VLOOKUP('Données projet'!$B$13,Paramètres!$A$1:$I$89,3,0)*0.475*44/12</f>
        <v>0.15189087300737106</v>
      </c>
      <c r="DH148" s="23">
        <f>EXP(-LN(2)/2)*DH147+(1-EXP(-LN(2)/2))/(LN(2)/2)*DB148*DE148*VLOOKUP('Données projet'!$B$13,Paramètres!$A$1:$I$89,3,0)*0.475*44/12</f>
        <v>3.3220944259720622E-18</v>
      </c>
      <c r="DI148" s="24">
        <f t="shared" si="123"/>
        <v>0.3209775495544076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68.91287257876904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2.75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10.083333333333334</v>
      </c>
      <c r="H149" s="70">
        <f t="shared" si="110"/>
        <v>216.33333333333334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-5.9412741393316544E-14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338.33619350800484</v>
      </c>
      <c r="T149" s="62">
        <f t="shared" si="142"/>
        <v>173.80539144233424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1.9895196601282805E-13</v>
      </c>
      <c r="AJ149" s="14">
        <f>AI149*VLOOKUP('Données projet'!$B$10,Paramètres!$A$1:$I$89,3,0)*VLOOKUP('Données projet'!$B$10,Paramètres!$A$1:$I$89,5,0)</f>
        <v>1.8001173884840681E-13</v>
      </c>
      <c r="AK149" s="14">
        <f t="shared" si="143"/>
        <v>2.5254331426407198E-12</v>
      </c>
      <c r="AL149" s="22">
        <f t="shared" si="112"/>
        <v>4.7119831685935622E-12</v>
      </c>
      <c r="AM149" s="62">
        <f t="shared" si="113"/>
        <v>289.41634996661156</v>
      </c>
      <c r="AN149" s="62">
        <f ca="1">AVERAGE(OFFSET($AM$3,0,0,'Données projet'!$E$10+1,1))-AVERAGE(OFFSET($H$3,0,0,'Données projet'!$E$10+1,1))</f>
        <v>308.01218908312546</v>
      </c>
      <c r="AO149" s="62">
        <f t="shared" si="144"/>
        <v>433.94915035190684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0.44425522659879108</v>
      </c>
      <c r="AV149" s="23">
        <f>EXP(-LN(2)/25)*AV148+(1-EXP(-LN(2)/25))/(LN(2)/25)*Calculateur!AQ149*Calculateur!AS149*VLOOKUP('Données projet'!$B$10,Paramètres!$A$1:$I$89,3,0)*0.475*44/12</f>
        <v>0.3132434973782226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0.75749872397701368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-5.7639226724859328E-14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329.96352570744875</v>
      </c>
      <c r="BJ149" s="62">
        <f t="shared" si="146"/>
        <v>170.12252063636961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5.3205440053716299E-14</v>
      </c>
      <c r="CA149" s="14">
        <f t="shared" si="147"/>
        <v>8.602146238565607E-13</v>
      </c>
      <c r="CB149" s="22">
        <f t="shared" si="118"/>
        <v>1.590873277977066E-12</v>
      </c>
      <c r="CC149" s="62">
        <f t="shared" si="119"/>
        <v>289.41634996660844</v>
      </c>
      <c r="CD149" s="62">
        <f ca="1">AVERAGE(OFFSET($CC$3,0,0,'Données projet'!$E$12+1,1))-AVERAGE(OFFSET($H$3,0,0,'Données projet'!$E$12+1,1))</f>
        <v>276.21705775006376</v>
      </c>
      <c r="CE149" s="62">
        <f t="shared" si="148"/>
        <v>234.24947280606958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376.32432344617206</v>
      </c>
      <c r="CZ149" s="62">
        <f t="shared" si="150"/>
        <v>302.77411534670466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0.16577098995263834</v>
      </c>
      <c r="DG149" s="23">
        <f>EXP(-LN(2)/25)*DG148+(1-EXP(-LN(2)/25))/(LN(2)/25)*Calculateur!DB149*Calculateur!DD149*VLOOKUP('Données projet'!$B$13,Paramètres!$A$1:$I$89,3,0)*0.475*44/12</f>
        <v>0.14773740909739064</v>
      </c>
      <c r="DH149" s="23">
        <f>EXP(-LN(2)/2)*DH148+(1-EXP(-LN(2)/2))/(LN(2)/2)*DB149*DE149*VLOOKUP('Données projet'!$B$13,Paramètres!$A$1:$I$89,3,0)*0.475*44/12</f>
        <v>2.3490754963468762E-18</v>
      </c>
      <c r="DI149" s="24">
        <f t="shared" si="123"/>
        <v>0.31350839905002897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68.931731809074591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2.75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10.083333333333334</v>
      </c>
      <c r="H150" s="70">
        <f t="shared" si="110"/>
        <v>216.33333333333334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-5.9412741393316544E-14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338.33619350800484</v>
      </c>
      <c r="T150" s="62">
        <f t="shared" si="142"/>
        <v>173.80539144233424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1.9895196601282805E-13</v>
      </c>
      <c r="AJ150" s="14">
        <f>AI150*VLOOKUP('Données projet'!$B$10,Paramètres!$A$1:$I$89,3,0)*VLOOKUP('Données projet'!$B$10,Paramètres!$A$1:$I$89,5,0)</f>
        <v>1.8001173884840681E-13</v>
      </c>
      <c r="AK150" s="14">
        <f t="shared" si="143"/>
        <v>2.5254331426407198E-12</v>
      </c>
      <c r="AL150" s="22">
        <f t="shared" si="112"/>
        <v>4.7119831685935622E-12</v>
      </c>
      <c r="AM150" s="62">
        <f t="shared" si="113"/>
        <v>289.48430087096131</v>
      </c>
      <c r="AN150" s="62">
        <f ca="1">AVERAGE(OFFSET($AM$3,0,0,'Données projet'!$E$10+1,1))-AVERAGE(OFFSET($H$3,0,0,'Données projet'!$E$10+1,1))</f>
        <v>308.01218908312546</v>
      </c>
      <c r="AO150" s="62">
        <f t="shared" si="144"/>
        <v>433.94915035190684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0.43554365257412103</v>
      </c>
      <c r="AV150" s="23">
        <f>EXP(-LN(2)/25)*AV149+(1-EXP(-LN(2)/25))/(LN(2)/25)*Calculateur!AQ150*Calculateur!AS150*VLOOKUP('Données projet'!$B$10,Paramètres!$A$1:$I$89,3,0)*0.475*44/12</f>
        <v>0.30467783746965549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0.74022149004377646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-5.7639226724859328E-14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329.96352570744875</v>
      </c>
      <c r="BJ150" s="62">
        <f t="shared" si="146"/>
        <v>170.12252063636961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5.3205440053716299E-14</v>
      </c>
      <c r="CA150" s="14">
        <f t="shared" si="147"/>
        <v>8.602146238565607E-13</v>
      </c>
      <c r="CB150" s="22">
        <f t="shared" si="118"/>
        <v>1.590873277977066E-12</v>
      </c>
      <c r="CC150" s="62">
        <f t="shared" si="119"/>
        <v>289.48430087095818</v>
      </c>
      <c r="CD150" s="62">
        <f ca="1">AVERAGE(OFFSET($CC$3,0,0,'Données projet'!$E$12+1,1))-AVERAGE(OFFSET($H$3,0,0,'Données projet'!$E$12+1,1))</f>
        <v>276.21705775006376</v>
      </c>
      <c r="CE150" s="62">
        <f t="shared" si="148"/>
        <v>234.24947280606958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376.32432344617206</v>
      </c>
      <c r="CZ150" s="62">
        <f t="shared" si="150"/>
        <v>302.77411534670466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0.16252032194998717</v>
      </c>
      <c r="DG150" s="23">
        <f>EXP(-LN(2)/25)*DG149+(1-EXP(-LN(2)/25))/(LN(2)/25)*Calculateur!DB150*Calculateur!DD150*VLOOKUP('Données projet'!$B$13,Paramètres!$A$1:$I$89,3,0)*0.475*44/12</f>
        <v>0.1436975218764498</v>
      </c>
      <c r="DH150" s="23">
        <f>EXP(-LN(2)/2)*DH149+(1-EXP(-LN(2)/2))/(LN(2)/2)*DB150*DE150*VLOOKUP('Données projet'!$B$13,Paramètres!$A$1:$I$89,3,0)*0.475*44/12</f>
        <v>1.6610472129860311E-18</v>
      </c>
      <c r="DI150" s="24">
        <f t="shared" si="123"/>
        <v>0.30621784382643696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68.950263873897256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2.75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10.083333333333334</v>
      </c>
      <c r="H151" s="70">
        <f t="shared" si="110"/>
        <v>216.33333333333334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-5.9412741393316544E-14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338.33619350800484</v>
      </c>
      <c r="T151" s="62">
        <f t="shared" si="142"/>
        <v>173.80539144233424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1.9895196601282805E-13</v>
      </c>
      <c r="AJ151" s="14">
        <f>AI151*VLOOKUP('Données projet'!$B$10,Paramètres!$A$1:$I$89,3,0)*VLOOKUP('Données projet'!$B$10,Paramètres!$A$1:$I$89,5,0)</f>
        <v>1.8001173884840681E-13</v>
      </c>
      <c r="AK151" s="14">
        <f t="shared" si="143"/>
        <v>2.5254331426407198E-12</v>
      </c>
      <c r="AL151" s="22">
        <f t="shared" si="112"/>
        <v>4.7119831685935622E-12</v>
      </c>
      <c r="AM151" s="62">
        <f t="shared" si="113"/>
        <v>289.55107297903612</v>
      </c>
      <c r="AN151" s="62">
        <f ca="1">AVERAGE(OFFSET($AM$3,0,0,'Données projet'!$E$10+1,1))-AVERAGE(OFFSET($H$3,0,0,'Données projet'!$E$10+1,1))</f>
        <v>308.01218908312546</v>
      </c>
      <c r="AO151" s="62">
        <f t="shared" si="144"/>
        <v>433.94915035190684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0.42700290720253931</v>
      </c>
      <c r="AV151" s="23">
        <f>EXP(-LN(2)/25)*AV150+(1-EXP(-LN(2)/25))/(LN(2)/25)*Calculateur!AQ151*Calculateur!AS151*VLOOKUP('Données projet'!$B$10,Paramètres!$A$1:$I$89,3,0)*0.475*44/12</f>
        <v>0.29634640598173662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0.72334931318427587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-5.7639226724859328E-14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329.96352570744875</v>
      </c>
      <c r="BJ151" s="62">
        <f t="shared" si="146"/>
        <v>170.12252063636961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5.3205440053716299E-14</v>
      </c>
      <c r="CA151" s="14">
        <f t="shared" si="147"/>
        <v>8.602146238565607E-13</v>
      </c>
      <c r="CB151" s="22">
        <f t="shared" si="118"/>
        <v>1.590873277977066E-12</v>
      </c>
      <c r="CC151" s="62">
        <f t="shared" si="119"/>
        <v>289.55107297903299</v>
      </c>
      <c r="CD151" s="62">
        <f ca="1">AVERAGE(OFFSET($CC$3,0,0,'Données projet'!$E$12+1,1))-AVERAGE(OFFSET($H$3,0,0,'Données projet'!$E$12+1,1))</f>
        <v>276.21705775006376</v>
      </c>
      <c r="CE151" s="62">
        <f t="shared" si="148"/>
        <v>234.24947280606958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376.32432344617206</v>
      </c>
      <c r="CZ151" s="62">
        <f t="shared" si="150"/>
        <v>302.77411534670466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0.15933339756415626</v>
      </c>
      <c r="DG151" s="23">
        <f>EXP(-LN(2)/25)*DG150+(1-EXP(-LN(2)/25))/(LN(2)/25)*Calculateur!DB151*Calculateur!DD151*VLOOKUP('Données projet'!$B$13,Paramètres!$A$1:$I$89,3,0)*0.475*44/12</f>
        <v>0.13976810558401404</v>
      </c>
      <c r="DH151" s="23">
        <f>EXP(-LN(2)/2)*DH150+(1-EXP(-LN(2)/2))/(LN(2)/2)*DB151*DE151*VLOOKUP('Données projet'!$B$13,Paramètres!$A$1:$I$89,3,0)*0.475*44/12</f>
        <v>1.1745377481734381E-18</v>
      </c>
      <c r="DI151" s="24">
        <f t="shared" si="123"/>
        <v>0.2991015031481703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68.968474448826754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2.75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10.083333333333334</v>
      </c>
      <c r="H152" s="70">
        <f t="shared" si="110"/>
        <v>216.33333333333334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-5.9412741393316544E-14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338.33619350800484</v>
      </c>
      <c r="T152" s="62">
        <f t="shared" si="142"/>
        <v>173.80539144233424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1.9895196601282805E-13</v>
      </c>
      <c r="AJ152" s="14">
        <f>AI152*VLOOKUP('Données projet'!$B$10,Paramètres!$A$1:$I$89,3,0)*VLOOKUP('Données projet'!$B$10,Paramètres!$A$1:$I$89,5,0)</f>
        <v>1.8001173884840681E-13</v>
      </c>
      <c r="AK152" s="14">
        <f t="shared" si="143"/>
        <v>2.5254331426407198E-12</v>
      </c>
      <c r="AL152" s="22">
        <f t="shared" si="112"/>
        <v>4.7119831685935622E-12</v>
      </c>
      <c r="AM152" s="62">
        <f t="shared" si="113"/>
        <v>289.61668674031591</v>
      </c>
      <c r="AN152" s="62">
        <f ca="1">AVERAGE(OFFSET($AM$3,0,0,'Données projet'!$E$10+1,1))-AVERAGE(OFFSET($H$3,0,0,'Données projet'!$E$10+1,1))</f>
        <v>308.01218908312546</v>
      </c>
      <c r="AO152" s="62">
        <f t="shared" si="144"/>
        <v>433.94915035190684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0.41862964063835401</v>
      </c>
      <c r="AV152" s="23">
        <f>EXP(-LN(2)/25)*AV151+(1-EXP(-LN(2)/25))/(LN(2)/25)*Calculateur!AQ152*Calculateur!AS152*VLOOKUP('Données projet'!$B$10,Paramètres!$A$1:$I$89,3,0)*0.475*44/12</f>
        <v>0.28824279792598584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0.7068724385643399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-5.7639226724859328E-14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329.96352570744875</v>
      </c>
      <c r="BJ152" s="62">
        <f t="shared" si="146"/>
        <v>170.12252063636961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5.3205440053716299E-14</v>
      </c>
      <c r="CA152" s="14">
        <f t="shared" si="147"/>
        <v>8.602146238565607E-13</v>
      </c>
      <c r="CB152" s="22">
        <f t="shared" si="118"/>
        <v>1.590873277977066E-12</v>
      </c>
      <c r="CC152" s="62">
        <f t="shared" si="119"/>
        <v>289.61668674031279</v>
      </c>
      <c r="CD152" s="62">
        <f ca="1">AVERAGE(OFFSET($CC$3,0,0,'Données projet'!$E$12+1,1))-AVERAGE(OFFSET($H$3,0,0,'Données projet'!$E$12+1,1))</f>
        <v>276.21705775006376</v>
      </c>
      <c r="CE152" s="62">
        <f t="shared" si="148"/>
        <v>234.24947280606958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376.32432344617206</v>
      </c>
      <c r="CZ152" s="62">
        <f t="shared" si="150"/>
        <v>302.77411534670466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0.15620896682169957</v>
      </c>
      <c r="DG152" s="23">
        <f>EXP(-LN(2)/25)*DG151+(1-EXP(-LN(2)/25))/(LN(2)/25)*Calculateur!DB152*Calculateur!DD152*VLOOKUP('Données projet'!$B$13,Paramètres!$A$1:$I$89,3,0)*0.475*44/12</f>
        <v>0.13594613938673394</v>
      </c>
      <c r="DH152" s="23">
        <f>EXP(-LN(2)/2)*DH151+(1-EXP(-LN(2)/2))/(LN(2)/2)*DB152*DE152*VLOOKUP('Données projet'!$B$13,Paramètres!$A$1:$I$89,3,0)*0.475*44/12</f>
        <v>8.3052360649301555E-19</v>
      </c>
      <c r="DI152" s="24">
        <f t="shared" si="123"/>
        <v>0.29215510620843355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68.986369110993962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2.75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10.083333333333334</v>
      </c>
      <c r="H153" s="70">
        <f t="shared" si="110"/>
        <v>216.33333333333334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-5.9412741393316544E-14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338.33619350800484</v>
      </c>
      <c r="T153" s="62">
        <f t="shared" si="142"/>
        <v>173.80539144233424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1.9895196601282805E-13</v>
      </c>
      <c r="AJ153" s="14">
        <f>AI153*VLOOKUP('Données projet'!$B$10,Paramètres!$A$1:$I$89,3,0)*VLOOKUP('Données projet'!$B$10,Paramètres!$A$1:$I$89,5,0)</f>
        <v>1.8001173884840681E-13</v>
      </c>
      <c r="AK153" s="14">
        <f t="shared" si="143"/>
        <v>2.5254331426407198E-12</v>
      </c>
      <c r="AL153" s="22">
        <f t="shared" si="112"/>
        <v>4.7119831685935622E-12</v>
      </c>
      <c r="AM153" s="62">
        <f t="shared" si="113"/>
        <v>289.68116224952792</v>
      </c>
      <c r="AN153" s="62">
        <f ca="1">AVERAGE(OFFSET($AM$3,0,0,'Données projet'!$E$10+1,1))-AVERAGE(OFFSET($H$3,0,0,'Données projet'!$E$10+1,1))</f>
        <v>308.01218908312546</v>
      </c>
      <c r="AO153" s="62">
        <f t="shared" si="144"/>
        <v>433.94915035190684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0.41042056872430405</v>
      </c>
      <c r="AV153" s="23">
        <f>EXP(-LN(2)/25)*AV152+(1-EXP(-LN(2)/25))/(LN(2)/25)*Calculateur!AQ153*Calculateur!AS153*VLOOKUP('Données projet'!$B$10,Paramètres!$A$1:$I$89,3,0)*0.475*44/12</f>
        <v>0.28036078345866983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0.69078135218297387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-5.7639226724859328E-14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329.96352570744875</v>
      </c>
      <c r="BJ153" s="62">
        <f t="shared" si="146"/>
        <v>170.12252063636961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5.3205440053716299E-14</v>
      </c>
      <c r="CA153" s="14">
        <f t="shared" si="147"/>
        <v>8.602146238565607E-13</v>
      </c>
      <c r="CB153" s="22">
        <f t="shared" si="118"/>
        <v>1.590873277977066E-12</v>
      </c>
      <c r="CC153" s="62">
        <f t="shared" si="119"/>
        <v>289.68116224952479</v>
      </c>
      <c r="CD153" s="62">
        <f ca="1">AVERAGE(OFFSET($CC$3,0,0,'Données projet'!$E$12+1,1))-AVERAGE(OFFSET($H$3,0,0,'Données projet'!$E$12+1,1))</f>
        <v>276.21705775006376</v>
      </c>
      <c r="CE153" s="62">
        <f t="shared" si="148"/>
        <v>234.24947280606958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376.32432344617206</v>
      </c>
      <c r="CZ153" s="62">
        <f t="shared" si="150"/>
        <v>302.77411534670466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0.15314580426038787</v>
      </c>
      <c r="DG153" s="23">
        <f>EXP(-LN(2)/25)*DG152+(1-EXP(-LN(2)/25))/(LN(2)/25)*Calculateur!DB153*Calculateur!DD153*VLOOKUP('Données projet'!$B$13,Paramètres!$A$1:$I$89,3,0)*0.475*44/12</f>
        <v>0.13222868505610694</v>
      </c>
      <c r="DH153" s="23">
        <f>EXP(-LN(2)/2)*DH152+(1-EXP(-LN(2)/2))/(LN(2)/2)*DB153*DE153*VLOOKUP('Données projet'!$B$13,Paramètres!$A$1:$I$89,3,0)*0.475*44/12</f>
        <v>5.8726887408671904E-19</v>
      </c>
      <c r="DI153" s="24">
        <f t="shared" si="123"/>
        <v>0.28537448931649478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69.003953340779049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2.75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10.083333333333334</v>
      </c>
      <c r="H154" s="70">
        <f t="shared" si="110"/>
        <v>216.33333333333334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-5.9412741393316544E-14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338.33619350800484</v>
      </c>
      <c r="T154" s="62">
        <f t="shared" si="142"/>
        <v>173.80539144233424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1.9895196601282805E-13</v>
      </c>
      <c r="AJ154" s="14">
        <f>AI154*VLOOKUP('Données projet'!$B$10,Paramètres!$A$1:$I$89,3,0)*VLOOKUP('Données projet'!$B$10,Paramètres!$A$1:$I$89,5,0)</f>
        <v>1.8001173884840681E-13</v>
      </c>
      <c r="AK154" s="14">
        <f t="shared" ref="AK154:AK203" si="164">EXP(-1.0587+0.8836*LN(AJ154)+0.284)</f>
        <v>2.5254331426407198E-12</v>
      </c>
      <c r="AL154" s="22">
        <f t="shared" ref="AL154:AL203" si="165">(AJ154+AK154)*0.475*44/12</f>
        <v>4.7119831685935622E-12</v>
      </c>
      <c r="AM154" s="62">
        <f t="shared" si="113"/>
        <v>289.74451925280067</v>
      </c>
      <c r="AN154" s="62">
        <f ca="1">AVERAGE(OFFSET($AM$3,0,0,'Données projet'!$E$10+1,1))-AVERAGE(OFFSET($H$3,0,0,'Données projet'!$E$10+1,1))</f>
        <v>308.01218908312546</v>
      </c>
      <c r="AO154" s="62">
        <f t="shared" si="144"/>
        <v>433.94915035190684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0.40237247170344914</v>
      </c>
      <c r="AV154" s="23">
        <f>EXP(-LN(2)/25)*AV153+(1-EXP(-LN(2)/25))/(LN(2)/25)*Calculateur!AQ154*Calculateur!AS154*VLOOKUP('Données projet'!$B$10,Paramètres!$A$1:$I$89,3,0)*0.475*44/12</f>
        <v>0.27269430309145964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0.67506677479490884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-5.7639226724859328E-14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329.96352570744875</v>
      </c>
      <c r="BJ154" s="62">
        <f t="shared" si="146"/>
        <v>170.12252063636961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5.3205440053716299E-14</v>
      </c>
      <c r="CA154" s="14">
        <f t="shared" ref="CA154:CA203" si="170">EXP(-1.0587+0.8836*LN(BZ154)+0.284)</f>
        <v>8.602146238565607E-13</v>
      </c>
      <c r="CB154" s="22">
        <f t="shared" ref="CB154:CB203" si="171">(BZ154+CA154)*0.475*44/12</f>
        <v>1.590873277977066E-12</v>
      </c>
      <c r="CC154" s="62">
        <f t="shared" si="119"/>
        <v>289.74451925279755</v>
      </c>
      <c r="CD154" s="62">
        <f ca="1">AVERAGE(OFFSET($CC$3,0,0,'Données projet'!$E$12+1,1))-AVERAGE(OFFSET($H$3,0,0,'Données projet'!$E$12+1,1))</f>
        <v>276.21705775006376</v>
      </c>
      <c r="CE154" s="62">
        <f t="shared" si="148"/>
        <v>234.24947280606958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376.32432344617206</v>
      </c>
      <c r="CZ154" s="62">
        <f t="shared" si="150"/>
        <v>302.77411534670466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0.15014270844855881</v>
      </c>
      <c r="DG154" s="23">
        <f>EXP(-LN(2)/25)*DG153+(1-EXP(-LN(2)/25))/(LN(2)/25)*Calculateur!DB154*Calculateur!DD154*VLOOKUP('Données projet'!$B$13,Paramètres!$A$1:$I$89,3,0)*0.475*44/12</f>
        <v>0.12861288470964335</v>
      </c>
      <c r="DH154" s="23">
        <f>EXP(-LN(2)/2)*DH153+(1-EXP(-LN(2)/2))/(LN(2)/2)*DB154*DE154*VLOOKUP('Données projet'!$B$13,Paramètres!$A$1:$I$89,3,0)*0.475*44/12</f>
        <v>4.1526180324650777E-19</v>
      </c>
      <c r="DI154" s="24">
        <f t="shared" ref="DI154:DI203" si="175">SUM(DF154:DH154)</f>
        <v>0.2787555931582022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69.0212325234898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2.75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10.083333333333334</v>
      </c>
      <c r="H155" s="70">
        <f t="shared" si="110"/>
        <v>216.33333333333334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-5.9412741393316544E-14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338.33619350800484</v>
      </c>
      <c r="T155" s="62">
        <f t="shared" si="142"/>
        <v>173.80539144233424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1.9895196601282805E-13</v>
      </c>
      <c r="AJ155" s="14">
        <f>AI155*VLOOKUP('Données projet'!$B$10,Paramètres!$A$1:$I$89,3,0)*VLOOKUP('Données projet'!$B$10,Paramètres!$A$1:$I$89,5,0)</f>
        <v>1.8001173884840681E-13</v>
      </c>
      <c r="AK155" s="14">
        <f t="shared" si="164"/>
        <v>2.5254331426407198E-12</v>
      </c>
      <c r="AL155" s="22">
        <f t="shared" si="165"/>
        <v>4.7119831685935622E-12</v>
      </c>
      <c r="AM155" s="62">
        <f t="shared" si="113"/>
        <v>289.80677715371166</v>
      </c>
      <c r="AN155" s="62">
        <f ca="1">AVERAGE(OFFSET($AM$3,0,0,'Données projet'!$E$10+1,1))-AVERAGE(OFFSET($H$3,0,0,'Données projet'!$E$10+1,1))</f>
        <v>308.01218908312546</v>
      </c>
      <c r="AO155" s="62">
        <f t="shared" si="144"/>
        <v>433.94915035190684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0.39448219295631876</v>
      </c>
      <c r="AV155" s="23">
        <f>EXP(-LN(2)/25)*AV154+(1-EXP(-LN(2)/25))/(LN(2)/25)*Calculateur!AQ155*Calculateur!AS155*VLOOKUP('Données projet'!$B$10,Paramètres!$A$1:$I$89,3,0)*0.475*44/12</f>
        <v>0.26523746303305351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0.65971965598937232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-5.7639226724859328E-14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329.96352570744875</v>
      </c>
      <c r="BJ155" s="62">
        <f t="shared" si="146"/>
        <v>170.12252063636961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5.3205440053716299E-14</v>
      </c>
      <c r="CA155" s="14">
        <f t="shared" si="170"/>
        <v>8.602146238565607E-13</v>
      </c>
      <c r="CB155" s="22">
        <f t="shared" si="171"/>
        <v>1.590873277977066E-12</v>
      </c>
      <c r="CC155" s="62">
        <f t="shared" si="119"/>
        <v>289.80677715370854</v>
      </c>
      <c r="CD155" s="62">
        <f ca="1">AVERAGE(OFFSET($CC$3,0,0,'Données projet'!$E$12+1,1))-AVERAGE(OFFSET($H$3,0,0,'Données projet'!$E$12+1,1))</f>
        <v>276.21705775006376</v>
      </c>
      <c r="CE155" s="62">
        <f t="shared" si="148"/>
        <v>234.24947280606958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376.32432344617206</v>
      </c>
      <c r="CZ155" s="62">
        <f t="shared" si="150"/>
        <v>302.77411534670466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0.14719850151389216</v>
      </c>
      <c r="DG155" s="23">
        <f>EXP(-LN(2)/25)*DG154+(1-EXP(-LN(2)/25))/(LN(2)/25)*Calculateur!DB155*Calculateur!DD155*VLOOKUP('Données projet'!$B$13,Paramètres!$A$1:$I$89,3,0)*0.475*44/12</f>
        <v>0.12509595861380049</v>
      </c>
      <c r="DH155" s="23">
        <f>EXP(-LN(2)/2)*DH154+(1-EXP(-LN(2)/2))/(LN(2)/2)*DB155*DE155*VLOOKUP('Données projet'!$B$13,Paramètres!$A$1:$I$89,3,0)*0.475*44/12</f>
        <v>2.9363443704335952E-19</v>
      </c>
      <c r="DI155" s="24">
        <f t="shared" si="175"/>
        <v>0.27229446012769265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69.038211951010993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2.75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10.083333333333334</v>
      </c>
      <c r="H156" s="70">
        <f t="shared" si="110"/>
        <v>216.33333333333334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-5.9412741393316544E-14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338.33619350800484</v>
      </c>
      <c r="T156" s="62">
        <f t="shared" si="142"/>
        <v>173.80539144233424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1.9895196601282805E-13</v>
      </c>
      <c r="AJ156" s="14">
        <f>AI156*VLOOKUP('Données projet'!$B$10,Paramètres!$A$1:$I$89,3,0)*VLOOKUP('Données projet'!$B$10,Paramètres!$A$1:$I$89,5,0)</f>
        <v>1.8001173884840681E-13</v>
      </c>
      <c r="AK156" s="14">
        <f t="shared" si="164"/>
        <v>2.5254331426407198E-12</v>
      </c>
      <c r="AL156" s="22">
        <f t="shared" si="165"/>
        <v>4.7119831685935622E-12</v>
      </c>
      <c r="AM156" s="62">
        <f t="shared" si="113"/>
        <v>289.86795501922973</v>
      </c>
      <c r="AN156" s="62">
        <f ca="1">AVERAGE(OFFSET($AM$3,0,0,'Données projet'!$E$10+1,1))-AVERAGE(OFFSET($H$3,0,0,'Données projet'!$E$10+1,1))</f>
        <v>308.01218908312546</v>
      </c>
      <c r="AO156" s="62">
        <f t="shared" si="144"/>
        <v>433.94915035190684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0.38674663776282475</v>
      </c>
      <c r="AV156" s="23">
        <f>EXP(-LN(2)/25)*AV155+(1-EXP(-LN(2)/25))/(LN(2)/25)*Calculateur!AQ156*Calculateur!AS156*VLOOKUP('Données projet'!$B$10,Paramètres!$A$1:$I$89,3,0)*0.475*44/12</f>
        <v>0.25798453065818266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0.64473116842100742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-5.7639226724859328E-14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329.96352570744875</v>
      </c>
      <c r="BJ156" s="62">
        <f t="shared" si="146"/>
        <v>170.12252063636961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5.3205440053716299E-14</v>
      </c>
      <c r="CA156" s="14">
        <f t="shared" si="170"/>
        <v>8.602146238565607E-13</v>
      </c>
      <c r="CB156" s="22">
        <f t="shared" si="171"/>
        <v>1.590873277977066E-12</v>
      </c>
      <c r="CC156" s="62">
        <f t="shared" si="119"/>
        <v>289.8679550192266</v>
      </c>
      <c r="CD156" s="62">
        <f ca="1">AVERAGE(OFFSET($CC$3,0,0,'Données projet'!$E$12+1,1))-AVERAGE(OFFSET($H$3,0,0,'Données projet'!$E$12+1,1))</f>
        <v>276.21705775006376</v>
      </c>
      <c r="CE156" s="62">
        <f t="shared" si="148"/>
        <v>234.24947280606958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376.32432344617206</v>
      </c>
      <c r="CZ156" s="62">
        <f t="shared" si="150"/>
        <v>302.77411534670466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0.1443120286814254</v>
      </c>
      <c r="DG156" s="23">
        <f>EXP(-LN(2)/25)*DG155+(1-EXP(-LN(2)/25))/(LN(2)/25)*Calculateur!DB156*Calculateur!DD156*VLOOKUP('Données projet'!$B$13,Paramètres!$A$1:$I$89,3,0)*0.475*44/12</f>
        <v>0.12167520304699556</v>
      </c>
      <c r="DH156" s="23">
        <f>EXP(-LN(2)/2)*DH155+(1-EXP(-LN(2)/2))/(LN(2)/2)*DB156*DE156*VLOOKUP('Données projet'!$B$13,Paramètres!$A$1:$I$89,3,0)*0.475*44/12</f>
        <v>2.0763090162325389E-19</v>
      </c>
      <c r="DI156" s="24">
        <f t="shared" si="175"/>
        <v>0.26598723172842098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69.054896823424997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2.75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10.083333333333334</v>
      </c>
      <c r="H157" s="70">
        <f t="shared" si="110"/>
        <v>216.33333333333334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-5.9412741393316544E-14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338.33619350800484</v>
      </c>
      <c r="T157" s="62">
        <f t="shared" si="142"/>
        <v>173.80539144233424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1.9895196601282805E-13</v>
      </c>
      <c r="AJ157" s="14">
        <f>AI157*VLOOKUP('Données projet'!$B$10,Paramètres!$A$1:$I$89,3,0)*VLOOKUP('Données projet'!$B$10,Paramètres!$A$1:$I$89,5,0)</f>
        <v>1.8001173884840681E-13</v>
      </c>
      <c r="AK157" s="14">
        <f t="shared" si="164"/>
        <v>2.5254331426407198E-12</v>
      </c>
      <c r="AL157" s="22">
        <f t="shared" si="165"/>
        <v>4.7119831685935622E-12</v>
      </c>
      <c r="AM157" s="62">
        <f t="shared" si="113"/>
        <v>289.92807158555422</v>
      </c>
      <c r="AN157" s="62">
        <f ca="1">AVERAGE(OFFSET($AM$3,0,0,'Données projet'!$E$10+1,1))-AVERAGE(OFFSET($H$3,0,0,'Données projet'!$E$10+1,1))</f>
        <v>308.01218908312546</v>
      </c>
      <c r="AO157" s="62">
        <f t="shared" si="144"/>
        <v>433.94915035190684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0.37916277208845239</v>
      </c>
      <c r="AV157" s="23">
        <f>EXP(-LN(2)/25)*AV156+(1-EXP(-LN(2)/25))/(LN(2)/25)*Calculateur!AQ157*Calculateur!AS157*VLOOKUP('Données projet'!$B$10,Paramètres!$A$1:$I$89,3,0)*0.475*44/12</f>
        <v>0.25092993010051784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0.63009270218897018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-5.7639226724859328E-14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329.96352570744875</v>
      </c>
      <c r="BJ157" s="62">
        <f t="shared" si="146"/>
        <v>170.12252063636961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5.3205440053716299E-14</v>
      </c>
      <c r="CA157" s="14">
        <f t="shared" si="170"/>
        <v>8.602146238565607E-13</v>
      </c>
      <c r="CB157" s="22">
        <f t="shared" si="171"/>
        <v>1.590873277977066E-12</v>
      </c>
      <c r="CC157" s="62">
        <f t="shared" si="119"/>
        <v>289.92807158555109</v>
      </c>
      <c r="CD157" s="62">
        <f ca="1">AVERAGE(OFFSET($CC$3,0,0,'Données projet'!$E$12+1,1))-AVERAGE(OFFSET($H$3,0,0,'Données projet'!$E$12+1,1))</f>
        <v>276.21705775006376</v>
      </c>
      <c r="CE157" s="62">
        <f t="shared" si="148"/>
        <v>234.24947280606958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376.32432344617206</v>
      </c>
      <c r="CZ157" s="62">
        <f t="shared" si="150"/>
        <v>302.77411534670466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0.14148215782062873</v>
      </c>
      <c r="DG157" s="23">
        <f>EXP(-LN(2)/25)*DG156+(1-EXP(-LN(2)/25))/(LN(2)/25)*Calculateur!DB157*Calculateur!DD157*VLOOKUP('Données projet'!$B$13,Paramètres!$A$1:$I$89,3,0)*0.475*44/12</f>
        <v>0.11834798822105462</v>
      </c>
      <c r="DH157" s="23">
        <f>EXP(-LN(2)/2)*DH156+(1-EXP(-LN(2)/2))/(LN(2)/2)*DB157*DE157*VLOOKUP('Données projet'!$B$13,Paramètres!$A$1:$I$89,3,0)*0.475*44/12</f>
        <v>1.4681721852167976E-19</v>
      </c>
      <c r="DI157" s="24">
        <f t="shared" si="175"/>
        <v>0.25983014604168336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69.071292250604415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2.75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10.083333333333334</v>
      </c>
      <c r="H158" s="70">
        <f t="shared" si="110"/>
        <v>216.33333333333334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-5.9412741393316544E-14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338.33619350800484</v>
      </c>
      <c r="T158" s="62">
        <f t="shared" si="142"/>
        <v>173.80539144233424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1.9895196601282805E-13</v>
      </c>
      <c r="AJ158" s="14">
        <f>AI158*VLOOKUP('Données projet'!$B$10,Paramètres!$A$1:$I$89,3,0)*VLOOKUP('Données projet'!$B$10,Paramètres!$A$1:$I$89,5,0)</f>
        <v>1.8001173884840681E-13</v>
      </c>
      <c r="AK158" s="14">
        <f t="shared" si="164"/>
        <v>2.5254331426407198E-12</v>
      </c>
      <c r="AL158" s="22">
        <f t="shared" si="165"/>
        <v>4.7119831685935622E-12</v>
      </c>
      <c r="AM158" s="62">
        <f t="shared" si="113"/>
        <v>289.98714526385356</v>
      </c>
      <c r="AN158" s="62">
        <f ca="1">AVERAGE(OFFSET($AM$3,0,0,'Données projet'!$E$10+1,1))-AVERAGE(OFFSET($H$3,0,0,'Données projet'!$E$10+1,1))</f>
        <v>308.01218908312546</v>
      </c>
      <c r="AO158" s="62">
        <f t="shared" si="144"/>
        <v>433.94915035190684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0.37172762139425314</v>
      </c>
      <c r="AV158" s="23">
        <f>EXP(-LN(2)/25)*AV157+(1-EXP(-LN(2)/25))/(LN(2)/25)*Calculateur!AQ158*Calculateur!AS158*VLOOKUP('Données projet'!$B$10,Paramètres!$A$1:$I$89,3,0)*0.475*44/12</f>
        <v>0.24406823796608768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0.61579585936034076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-5.7639226724859328E-14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329.96352570744875</v>
      </c>
      <c r="BJ158" s="62">
        <f t="shared" si="146"/>
        <v>170.12252063636961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5.3205440053716299E-14</v>
      </c>
      <c r="CA158" s="14">
        <f t="shared" si="170"/>
        <v>8.602146238565607E-13</v>
      </c>
      <c r="CB158" s="22">
        <f t="shared" si="171"/>
        <v>1.590873277977066E-12</v>
      </c>
      <c r="CC158" s="62">
        <f t="shared" si="119"/>
        <v>289.98714526385044</v>
      </c>
      <c r="CD158" s="62">
        <f ca="1">AVERAGE(OFFSET($CC$3,0,0,'Données projet'!$E$12+1,1))-AVERAGE(OFFSET($H$3,0,0,'Données projet'!$E$12+1,1))</f>
        <v>276.21705775006376</v>
      </c>
      <c r="CE158" s="62">
        <f t="shared" si="148"/>
        <v>234.24947280606958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376.32432344617206</v>
      </c>
      <c r="CZ158" s="62">
        <f t="shared" si="150"/>
        <v>302.77411534670466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0.1387077790013615</v>
      </c>
      <c r="DG158" s="23">
        <f>EXP(-LN(2)/25)*DG157+(1-EXP(-LN(2)/25))/(LN(2)/25)*Calculateur!DB158*Calculateur!DD158*VLOOKUP('Données projet'!$B$13,Paramètres!$A$1:$I$89,3,0)*0.475*44/12</f>
        <v>0.11511175625949967</v>
      </c>
      <c r="DH158" s="23">
        <f>EXP(-LN(2)/2)*DH157+(1-EXP(-LN(2)/2))/(LN(2)/2)*DB158*DE158*VLOOKUP('Données projet'!$B$13,Paramètres!$A$1:$I$89,3,0)*0.475*44/12</f>
        <v>1.0381545081162694E-19</v>
      </c>
      <c r="DI158" s="24">
        <f t="shared" si="175"/>
        <v>0.25381953526086115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69.087403253776955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2.75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10.083333333333334</v>
      </c>
      <c r="H159" s="70">
        <f t="shared" si="110"/>
        <v>216.33333333333334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-5.9412741393316544E-14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338.33619350800484</v>
      </c>
      <c r="T159" s="62">
        <f t="shared" si="142"/>
        <v>173.80539144233424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1.9895196601282805E-13</v>
      </c>
      <c r="AJ159" s="14">
        <f>AI159*VLOOKUP('Données projet'!$B$10,Paramètres!$A$1:$I$89,3,0)*VLOOKUP('Données projet'!$B$10,Paramètres!$A$1:$I$89,5,0)</f>
        <v>1.8001173884840681E-13</v>
      </c>
      <c r="AK159" s="14">
        <f t="shared" si="164"/>
        <v>2.5254331426407198E-12</v>
      </c>
      <c r="AL159" s="22">
        <f t="shared" si="165"/>
        <v>4.7119831685935622E-12</v>
      </c>
      <c r="AM159" s="62">
        <f t="shared" si="113"/>
        <v>290.04519414590328</v>
      </c>
      <c r="AN159" s="62">
        <f ca="1">AVERAGE(OFFSET($AM$3,0,0,'Données projet'!$E$10+1,1))-AVERAGE(OFFSET($H$3,0,0,'Données projet'!$E$10+1,1))</f>
        <v>308.01218908312546</v>
      </c>
      <c r="AO159" s="62">
        <f t="shared" si="144"/>
        <v>433.94915035190684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0.36443826947017299</v>
      </c>
      <c r="AV159" s="23">
        <f>EXP(-LN(2)/25)*AV158+(1-EXP(-LN(2)/25))/(LN(2)/25)*Calculateur!AQ159*Calculateur!AS159*VLOOKUP('Données projet'!$B$10,Paramètres!$A$1:$I$89,3,0)*0.475*44/12</f>
        <v>0.2373941791639142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0.60183244863408714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-5.7639226724859328E-14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329.96352570744875</v>
      </c>
      <c r="BJ159" s="62">
        <f t="shared" si="146"/>
        <v>170.12252063636961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5.3205440053716299E-14</v>
      </c>
      <c r="CA159" s="14">
        <f t="shared" si="170"/>
        <v>8.602146238565607E-13</v>
      </c>
      <c r="CB159" s="22">
        <f t="shared" si="171"/>
        <v>1.590873277977066E-12</v>
      </c>
      <c r="CC159" s="62">
        <f t="shared" si="119"/>
        <v>290.04519414590015</v>
      </c>
      <c r="CD159" s="62">
        <f ca="1">AVERAGE(OFFSET($CC$3,0,0,'Données projet'!$E$12+1,1))-AVERAGE(OFFSET($H$3,0,0,'Données projet'!$E$12+1,1))</f>
        <v>276.21705775006376</v>
      </c>
      <c r="CE159" s="62">
        <f t="shared" si="148"/>
        <v>234.24947280606958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376.32432344617206</v>
      </c>
      <c r="CZ159" s="62">
        <f t="shared" si="150"/>
        <v>302.77411534670466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0.13598780405853611</v>
      </c>
      <c r="DG159" s="23">
        <f>EXP(-LN(2)/25)*DG158+(1-EXP(-LN(2)/25))/(LN(2)/25)*Calculateur!DB159*Calculateur!DD159*VLOOKUP('Données projet'!$B$13,Paramètres!$A$1:$I$89,3,0)*0.475*44/12</f>
        <v>0.11196401923111948</v>
      </c>
      <c r="DH159" s="23">
        <f>EXP(-LN(2)/2)*DH158+(1-EXP(-LN(2)/2))/(LN(2)/2)*DB159*DE159*VLOOKUP('Données projet'!$B$13,Paramètres!$A$1:$I$89,3,0)*0.475*44/12</f>
        <v>7.340860926083988E-20</v>
      </c>
      <c r="DI159" s="24">
        <f t="shared" si="175"/>
        <v>0.24795182328965559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69.103234767063242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2.75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10.083333333333334</v>
      </c>
      <c r="H160" s="70">
        <f t="shared" si="110"/>
        <v>216.33333333333334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-5.9412741393316544E-14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338.33619350800484</v>
      </c>
      <c r="T160" s="62">
        <f t="shared" si="142"/>
        <v>173.80539144233424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1.9895196601282805E-13</v>
      </c>
      <c r="AJ160" s="14">
        <f>AI160*VLOOKUP('Données projet'!$B$10,Paramètres!$A$1:$I$89,3,0)*VLOOKUP('Données projet'!$B$10,Paramètres!$A$1:$I$89,5,0)</f>
        <v>1.8001173884840681E-13</v>
      </c>
      <c r="AK160" s="14">
        <f t="shared" si="164"/>
        <v>2.5254331426407198E-12</v>
      </c>
      <c r="AL160" s="22">
        <f t="shared" si="165"/>
        <v>4.7119831685935622E-12</v>
      </c>
      <c r="AM160" s="62">
        <f t="shared" si="113"/>
        <v>290.1022360096274</v>
      </c>
      <c r="AN160" s="62">
        <f ca="1">AVERAGE(OFFSET($AM$3,0,0,'Données projet'!$E$10+1,1))-AVERAGE(OFFSET($H$3,0,0,'Données projet'!$E$10+1,1))</f>
        <v>308.01218908312546</v>
      </c>
      <c r="AO160" s="62">
        <f t="shared" si="144"/>
        <v>433.94915035190684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0.3572918572912584</v>
      </c>
      <c r="AV160" s="23">
        <f>EXP(-LN(2)/25)*AV159+(1-EXP(-LN(2)/25))/(LN(2)/25)*Calculateur!AQ160*Calculateur!AS160*VLOOKUP('Données projet'!$B$10,Paramètres!$A$1:$I$89,3,0)*0.475*44/12</f>
        <v>0.23090262285065966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0.58819448014191811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-5.7639226724859328E-14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329.96352570744875</v>
      </c>
      <c r="BJ160" s="62">
        <f t="shared" si="146"/>
        <v>170.12252063636961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5.3205440053716299E-14</v>
      </c>
      <c r="CA160" s="14">
        <f t="shared" si="170"/>
        <v>8.602146238565607E-13</v>
      </c>
      <c r="CB160" s="22">
        <f t="shared" si="171"/>
        <v>1.590873277977066E-12</v>
      </c>
      <c r="CC160" s="62">
        <f t="shared" si="119"/>
        <v>290.10223600962428</v>
      </c>
      <c r="CD160" s="62">
        <f ca="1">AVERAGE(OFFSET($CC$3,0,0,'Données projet'!$E$12+1,1))-AVERAGE(OFFSET($H$3,0,0,'Données projet'!$E$12+1,1))</f>
        <v>276.21705775006376</v>
      </c>
      <c r="CE160" s="62">
        <f t="shared" si="148"/>
        <v>234.24947280606958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376.32432344617206</v>
      </c>
      <c r="CZ160" s="62">
        <f t="shared" si="150"/>
        <v>302.77411534670466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0.13332116616531861</v>
      </c>
      <c r="DG160" s="23">
        <f>EXP(-LN(2)/25)*DG159+(1-EXP(-LN(2)/25))/(LN(2)/25)*Calculateur!DB160*Calculateur!DD160*VLOOKUP('Données projet'!$B$13,Paramètres!$A$1:$I$89,3,0)*0.475*44/12</f>
        <v>0.10890235723731265</v>
      </c>
      <c r="DH160" s="23">
        <f>EXP(-LN(2)/2)*DH159+(1-EXP(-LN(2)/2))/(LN(2)/2)*DB160*DE160*VLOOKUP('Données projet'!$B$13,Paramètres!$A$1:$I$89,3,0)*0.475*44/12</f>
        <v>5.1907725405813472E-20</v>
      </c>
      <c r="DI160" s="24">
        <f t="shared" si="175"/>
        <v>0.24222352340263126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69.118791638988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2.75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10.083333333333334</v>
      </c>
      <c r="H161" s="70">
        <f t="shared" si="110"/>
        <v>216.33333333333334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-5.9412741393316544E-14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338.33619350800484</v>
      </c>
      <c r="T161" s="62">
        <f t="shared" si="142"/>
        <v>173.80539144233424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1.9895196601282805E-13</v>
      </c>
      <c r="AJ161" s="14">
        <f>AI161*VLOOKUP('Données projet'!$B$10,Paramètres!$A$1:$I$89,3,0)*VLOOKUP('Données projet'!$B$10,Paramètres!$A$1:$I$89,5,0)</f>
        <v>1.8001173884840681E-13</v>
      </c>
      <c r="AK161" s="14">
        <f t="shared" si="164"/>
        <v>2.5254331426407198E-12</v>
      </c>
      <c r="AL161" s="22">
        <f t="shared" si="165"/>
        <v>4.7119831685935622E-12</v>
      </c>
      <c r="AM161" s="62">
        <f t="shared" si="113"/>
        <v>290.15828832454235</v>
      </c>
      <c r="AN161" s="62">
        <f ca="1">AVERAGE(OFFSET($AM$3,0,0,'Données projet'!$E$10+1,1))-AVERAGE(OFFSET($H$3,0,0,'Données projet'!$E$10+1,1))</f>
        <v>308.01218908312546</v>
      </c>
      <c r="AO161" s="62">
        <f t="shared" si="144"/>
        <v>433.94915035190684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0.35028558189629133</v>
      </c>
      <c r="AV161" s="23">
        <f>EXP(-LN(2)/25)*AV160+(1-EXP(-LN(2)/25))/(LN(2)/25)*Calculateur!AQ161*Calculateur!AS161*VLOOKUP('Données projet'!$B$10,Paramètres!$A$1:$I$89,3,0)*0.475*44/12</f>
        <v>0.22458857848616717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0.57487416038245853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-5.7639226724859328E-14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329.96352570744875</v>
      </c>
      <c r="BJ161" s="62">
        <f t="shared" si="146"/>
        <v>170.12252063636961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5.3205440053716299E-14</v>
      </c>
      <c r="CA161" s="14">
        <f t="shared" si="170"/>
        <v>8.602146238565607E-13</v>
      </c>
      <c r="CB161" s="22">
        <f t="shared" si="171"/>
        <v>1.590873277977066E-12</v>
      </c>
      <c r="CC161" s="62">
        <f t="shared" si="119"/>
        <v>290.15828832453923</v>
      </c>
      <c r="CD161" s="62">
        <f ca="1">AVERAGE(OFFSET($CC$3,0,0,'Données projet'!$E$12+1,1))-AVERAGE(OFFSET($H$3,0,0,'Données projet'!$E$12+1,1))</f>
        <v>276.21705775006376</v>
      </c>
      <c r="CE161" s="62">
        <f t="shared" si="148"/>
        <v>234.24947280606958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376.32432344617206</v>
      </c>
      <c r="CZ161" s="62">
        <f t="shared" si="150"/>
        <v>302.77411534670466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0.13070681941469861</v>
      </c>
      <c r="DG161" s="23">
        <f>EXP(-LN(2)/25)*DG160+(1-EXP(-LN(2)/25))/(LN(2)/25)*Calculateur!DB161*Calculateur!DD161*VLOOKUP('Données projet'!$B$13,Paramètres!$A$1:$I$89,3,0)*0.475*44/12</f>
        <v>0.10592441655173226</v>
      </c>
      <c r="DH161" s="23">
        <f>EXP(-LN(2)/2)*DH160+(1-EXP(-LN(2)/2))/(LN(2)/2)*DB161*DE161*VLOOKUP('Données projet'!$B$13,Paramètres!$A$1:$I$89,3,0)*0.475*44/12</f>
        <v>3.670430463041994E-20</v>
      </c>
      <c r="DI161" s="24">
        <f t="shared" si="175"/>
        <v>0.23663123596643088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69.134078633964805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2.75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10.083333333333334</v>
      </c>
      <c r="H162" s="70">
        <f t="shared" si="110"/>
        <v>216.33333333333334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-5.9412741393316544E-14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338.33619350800484</v>
      </c>
      <c r="T162" s="62">
        <f t="shared" si="142"/>
        <v>173.80539144233424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1.9895196601282805E-13</v>
      </c>
      <c r="AJ162" s="14">
        <f>AI162*VLOOKUP('Données projet'!$B$10,Paramètres!$A$1:$I$89,3,0)*VLOOKUP('Données projet'!$B$10,Paramètres!$A$1:$I$89,5,0)</f>
        <v>1.8001173884840681E-13</v>
      </c>
      <c r="AK162" s="14">
        <f t="shared" si="164"/>
        <v>2.5254331426407198E-12</v>
      </c>
      <c r="AL162" s="22">
        <f t="shared" si="165"/>
        <v>4.7119831685935622E-12</v>
      </c>
      <c r="AM162" s="62">
        <f t="shared" si="113"/>
        <v>290.21336825710767</v>
      </c>
      <c r="AN162" s="62">
        <f ca="1">AVERAGE(OFFSET($AM$3,0,0,'Données projet'!$E$10+1,1))-AVERAGE(OFFSET($H$3,0,0,'Données projet'!$E$10+1,1))</f>
        <v>308.01218908312546</v>
      </c>
      <c r="AO162" s="62">
        <f t="shared" si="144"/>
        <v>433.94915035190684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0.34341669528841351</v>
      </c>
      <c r="AV162" s="23">
        <f>EXP(-LN(2)/25)*AV161+(1-EXP(-LN(2)/25))/(LN(2)/25)*Calculateur!AQ162*Calculateur!AS162*VLOOKUP('Données projet'!$B$10,Paramètres!$A$1:$I$89,3,0)*0.475*44/12</f>
        <v>0.21844719199686288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0.56186388728527636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-5.7639226724859328E-14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329.96352570744875</v>
      </c>
      <c r="BJ162" s="62">
        <f t="shared" si="146"/>
        <v>170.12252063636961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5.3205440053716299E-14</v>
      </c>
      <c r="CA162" s="14">
        <f t="shared" si="170"/>
        <v>8.602146238565607E-13</v>
      </c>
      <c r="CB162" s="22">
        <f t="shared" si="171"/>
        <v>1.590873277977066E-12</v>
      </c>
      <c r="CC162" s="62">
        <f t="shared" si="119"/>
        <v>290.21336825710455</v>
      </c>
      <c r="CD162" s="62">
        <f ca="1">AVERAGE(OFFSET($CC$3,0,0,'Données projet'!$E$12+1,1))-AVERAGE(OFFSET($H$3,0,0,'Données projet'!$E$12+1,1))</f>
        <v>276.21705775006376</v>
      </c>
      <c r="CE162" s="62">
        <f t="shared" si="148"/>
        <v>234.24947280606958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376.32432344617206</v>
      </c>
      <c r="CZ162" s="62">
        <f t="shared" si="150"/>
        <v>302.77411534670466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0.12814373840926419</v>
      </c>
      <c r="DG162" s="23">
        <f>EXP(-LN(2)/25)*DG161+(1-EXP(-LN(2)/25))/(LN(2)/25)*Calculateur!DB162*Calculateur!DD162*VLOOKUP('Données projet'!$B$13,Paramètres!$A$1:$I$89,3,0)*0.475*44/12</f>
        <v>0.10302790781080218</v>
      </c>
      <c r="DH162" s="23">
        <f>EXP(-LN(2)/2)*DH161+(1-EXP(-LN(2)/2))/(LN(2)/2)*DB162*DE162*VLOOKUP('Données projet'!$B$13,Paramètres!$A$1:$I$89,3,0)*0.475*44/12</f>
        <v>2.5953862702906736E-20</v>
      </c>
      <c r="DI162" s="24">
        <f t="shared" si="175"/>
        <v>0.23117164622006636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69.149100433755351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2.75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10.083333333333334</v>
      </c>
      <c r="H163" s="70">
        <f t="shared" si="110"/>
        <v>216.33333333333334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-5.9412741393316544E-14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338.33619350800484</v>
      </c>
      <c r="T163" s="62">
        <f t="shared" si="142"/>
        <v>173.80539144233424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1.9895196601282805E-13</v>
      </c>
      <c r="AJ163" s="14">
        <f>AI163*VLOOKUP('Données projet'!$B$10,Paramètres!$A$1:$I$89,3,0)*VLOOKUP('Données projet'!$B$10,Paramètres!$A$1:$I$89,5,0)</f>
        <v>1.8001173884840681E-13</v>
      </c>
      <c r="AK163" s="14">
        <f t="shared" si="164"/>
        <v>2.5254331426407198E-12</v>
      </c>
      <c r="AL163" s="22">
        <f t="shared" si="165"/>
        <v>4.7119831685935622E-12</v>
      </c>
      <c r="AM163" s="62">
        <f t="shared" si="113"/>
        <v>290.26749267598336</v>
      </c>
      <c r="AN163" s="62">
        <f ca="1">AVERAGE(OFFSET($AM$3,0,0,'Données projet'!$E$10+1,1))-AVERAGE(OFFSET($H$3,0,0,'Données projet'!$E$10+1,1))</f>
        <v>308.01218908312546</v>
      </c>
      <c r="AO163" s="62">
        <f t="shared" si="144"/>
        <v>433.94915035190684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0.33668250335730904</v>
      </c>
      <c r="AV163" s="23">
        <f>EXP(-LN(2)/25)*AV162+(1-EXP(-LN(2)/25))/(LN(2)/25)*Calculateur!AQ163*Calculateur!AS163*VLOOKUP('Données projet'!$B$10,Paramètres!$A$1:$I$89,3,0)*0.475*44/12</f>
        <v>0.2124737420440701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0.54915624540137919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-5.7639226724859328E-14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329.96352570744875</v>
      </c>
      <c r="BJ163" s="62">
        <f t="shared" si="146"/>
        <v>170.12252063636961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5.3205440053716299E-14</v>
      </c>
      <c r="CA163" s="14">
        <f t="shared" si="170"/>
        <v>8.602146238565607E-13</v>
      </c>
      <c r="CB163" s="22">
        <f t="shared" si="171"/>
        <v>1.590873277977066E-12</v>
      </c>
      <c r="CC163" s="62">
        <f t="shared" si="119"/>
        <v>290.26749267598024</v>
      </c>
      <c r="CD163" s="62">
        <f ca="1">AVERAGE(OFFSET($CC$3,0,0,'Données projet'!$E$12+1,1))-AVERAGE(OFFSET($H$3,0,0,'Données projet'!$E$12+1,1))</f>
        <v>276.21705775006376</v>
      </c>
      <c r="CE163" s="62">
        <f t="shared" si="148"/>
        <v>234.24947280606958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376.32432344617206</v>
      </c>
      <c r="CZ163" s="62">
        <f t="shared" si="150"/>
        <v>302.77411534670466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0.12563091785902128</v>
      </c>
      <c r="DG163" s="23">
        <f>EXP(-LN(2)/25)*DG162+(1-EXP(-LN(2)/25))/(LN(2)/25)*Calculateur!DB163*Calculateur!DD163*VLOOKUP('Données projet'!$B$13,Paramètres!$A$1:$I$89,3,0)*0.475*44/12</f>
        <v>0.10021060425371359</v>
      </c>
      <c r="DH163" s="23">
        <f>EXP(-LN(2)/2)*DH162+(1-EXP(-LN(2)/2))/(LN(2)/2)*DB163*DE163*VLOOKUP('Données projet'!$B$13,Paramètres!$A$1:$I$89,3,0)*0.475*44/12</f>
        <v>1.835215231520997E-20</v>
      </c>
      <c r="DI163" s="24">
        <f t="shared" si="175"/>
        <v>0.22584152211273487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69.163861638903256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2.75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10.083333333333334</v>
      </c>
      <c r="H164" s="70">
        <f t="shared" si="110"/>
        <v>216.33333333333334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-5.9412741393316544E-14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338.33619350800484</v>
      </c>
      <c r="T164" s="62">
        <f t="shared" si="142"/>
        <v>173.80539144233424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1.9895196601282805E-13</v>
      </c>
      <c r="AJ164" s="14">
        <f>AI164*VLOOKUP('Données projet'!$B$10,Paramètres!$A$1:$I$89,3,0)*VLOOKUP('Données projet'!$B$10,Paramètres!$A$1:$I$89,5,0)</f>
        <v>1.8001173884840681E-13</v>
      </c>
      <c r="AK164" s="14">
        <f t="shared" si="164"/>
        <v>2.5254331426407198E-12</v>
      </c>
      <c r="AL164" s="22">
        <f t="shared" si="165"/>
        <v>4.7119831685935622E-12</v>
      </c>
      <c r="AM164" s="62">
        <f t="shared" si="113"/>
        <v>290.32067815719557</v>
      </c>
      <c r="AN164" s="62">
        <f ca="1">AVERAGE(OFFSET($AM$3,0,0,'Données projet'!$E$10+1,1))-AVERAGE(OFFSET($H$3,0,0,'Données projet'!$E$10+1,1))</f>
        <v>308.01218908312546</v>
      </c>
      <c r="AO164" s="62">
        <f t="shared" si="144"/>
        <v>433.94915035190684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0.33008036482252201</v>
      </c>
      <c r="AV164" s="23">
        <f>EXP(-LN(2)/25)*AV163+(1-EXP(-LN(2)/25))/(LN(2)/25)*Calculateur!AQ164*Calculateur!AS164*VLOOKUP('Données projet'!$B$10,Paramètres!$A$1:$I$89,3,0)*0.475*44/12</f>
        <v>0.20666363639436652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0.53674400121688848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-5.7639226724859328E-14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329.96352570744875</v>
      </c>
      <c r="BJ164" s="62">
        <f t="shared" si="146"/>
        <v>170.12252063636961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5.3205440053716299E-14</v>
      </c>
      <c r="CA164" s="14">
        <f t="shared" si="170"/>
        <v>8.602146238565607E-13</v>
      </c>
      <c r="CB164" s="22">
        <f t="shared" si="171"/>
        <v>1.590873277977066E-12</v>
      </c>
      <c r="CC164" s="62">
        <f t="shared" si="119"/>
        <v>290.32067815719245</v>
      </c>
      <c r="CD164" s="62">
        <f ca="1">AVERAGE(OFFSET($CC$3,0,0,'Données projet'!$E$12+1,1))-AVERAGE(OFFSET($H$3,0,0,'Données projet'!$E$12+1,1))</f>
        <v>276.21705775006376</v>
      </c>
      <c r="CE164" s="62">
        <f t="shared" si="148"/>
        <v>234.24947280606958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376.32432344617206</v>
      </c>
      <c r="CZ164" s="62">
        <f t="shared" si="150"/>
        <v>302.77411534670466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0.12316737218709944</v>
      </c>
      <c r="DG164" s="23">
        <f>EXP(-LN(2)/25)*DG163+(1-EXP(-LN(2)/25))/(LN(2)/25)*Calculateur!DB164*Calculateur!DD164*VLOOKUP('Données projet'!$B$13,Paramètres!$A$1:$I$89,3,0)*0.475*44/12</f>
        <v>9.7470340010549147E-2</v>
      </c>
      <c r="DH164" s="23">
        <f>EXP(-LN(2)/2)*DH163+(1-EXP(-LN(2)/2))/(LN(2)/2)*DB164*DE164*VLOOKUP('Données projet'!$B$13,Paramètres!$A$1:$I$89,3,0)*0.475*44/12</f>
        <v>1.2976931351453368E-20</v>
      </c>
      <c r="DI164" s="24">
        <f t="shared" si="175"/>
        <v>0.22063771219764861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69.178366770142958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2.75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10.083333333333334</v>
      </c>
      <c r="H165" s="70">
        <f t="shared" si="110"/>
        <v>216.33333333333334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-5.9412741393316544E-14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338.33619350800484</v>
      </c>
      <c r="T165" s="62">
        <f t="shared" si="142"/>
        <v>173.80539144233424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1.9895196601282805E-13</v>
      </c>
      <c r="AJ165" s="14">
        <f>AI165*VLOOKUP('Données projet'!$B$10,Paramètres!$A$1:$I$89,3,0)*VLOOKUP('Données projet'!$B$10,Paramètres!$A$1:$I$89,5,0)</f>
        <v>1.8001173884840681E-13</v>
      </c>
      <c r="AK165" s="14">
        <f t="shared" si="164"/>
        <v>2.5254331426407198E-12</v>
      </c>
      <c r="AL165" s="22">
        <f t="shared" si="165"/>
        <v>4.7119831685935622E-12</v>
      </c>
      <c r="AM165" s="62">
        <f t="shared" si="113"/>
        <v>290.37294098921365</v>
      </c>
      <c r="AN165" s="62">
        <f ca="1">AVERAGE(OFFSET($AM$3,0,0,'Données projet'!$E$10+1,1))-AVERAGE(OFFSET($H$3,0,0,'Données projet'!$E$10+1,1))</f>
        <v>308.01218908312546</v>
      </c>
      <c r="AO165" s="62">
        <f t="shared" si="144"/>
        <v>433.94915035190684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0.3236076901974953</v>
      </c>
      <c r="AV165" s="23">
        <f>EXP(-LN(2)/25)*AV164+(1-EXP(-LN(2)/25))/(LN(2)/25)*Calculateur!AQ165*Calculateur!AS165*VLOOKUP('Données projet'!$B$10,Paramètres!$A$1:$I$89,3,0)*0.475*44/12</f>
        <v>0.20101240838919426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0.52462009858668956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-5.7639226724859328E-14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329.96352570744875</v>
      </c>
      <c r="BJ165" s="62">
        <f t="shared" si="146"/>
        <v>170.12252063636961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5.3205440053716299E-14</v>
      </c>
      <c r="CA165" s="14">
        <f t="shared" si="170"/>
        <v>8.602146238565607E-13</v>
      </c>
      <c r="CB165" s="22">
        <f t="shared" si="171"/>
        <v>1.590873277977066E-12</v>
      </c>
      <c r="CC165" s="62">
        <f t="shared" si="119"/>
        <v>290.37294098921052</v>
      </c>
      <c r="CD165" s="62">
        <f ca="1">AVERAGE(OFFSET($CC$3,0,0,'Données projet'!$E$12+1,1))-AVERAGE(OFFSET($H$3,0,0,'Données projet'!$E$12+1,1))</f>
        <v>276.21705775006376</v>
      </c>
      <c r="CE165" s="62">
        <f t="shared" si="148"/>
        <v>234.24947280606958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376.32432344617206</v>
      </c>
      <c r="CZ165" s="62">
        <f t="shared" si="150"/>
        <v>302.77411534670466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0.12075213514318951</v>
      </c>
      <c r="DG165" s="23">
        <f>EXP(-LN(2)/25)*DG164+(1-EXP(-LN(2)/25))/(LN(2)/25)*Calculateur!DB165*Calculateur!DD165*VLOOKUP('Données projet'!$B$13,Paramètres!$A$1:$I$89,3,0)*0.475*44/12</f>
        <v>9.4805008437218272E-2</v>
      </c>
      <c r="DH165" s="23">
        <f>EXP(-LN(2)/2)*DH164+(1-EXP(-LN(2)/2))/(LN(2)/2)*DB165*DE165*VLOOKUP('Données projet'!$B$13,Paramètres!$A$1:$I$89,3,0)*0.475*44/12</f>
        <v>9.176076157604985E-21</v>
      </c>
      <c r="DI165" s="24">
        <f t="shared" si="175"/>
        <v>0.21555714358040778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69.192620269784257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2.75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10.083333333333334</v>
      </c>
      <c r="H166" s="70">
        <f t="shared" si="110"/>
        <v>216.33333333333334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-5.9412741393316544E-14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338.33619350800484</v>
      </c>
      <c r="T166" s="62">
        <f t="shared" si="142"/>
        <v>173.80539144233424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1.9895196601282805E-13</v>
      </c>
      <c r="AJ166" s="14">
        <f>AI166*VLOOKUP('Données projet'!$B$10,Paramètres!$A$1:$I$89,3,0)*VLOOKUP('Données projet'!$B$10,Paramètres!$A$1:$I$89,5,0)</f>
        <v>1.8001173884840681E-13</v>
      </c>
      <c r="AK166" s="14">
        <f t="shared" si="164"/>
        <v>2.5254331426407198E-12</v>
      </c>
      <c r="AL166" s="22">
        <f t="shared" si="165"/>
        <v>4.7119831685935622E-12</v>
      </c>
      <c r="AM166" s="62">
        <f t="shared" si="113"/>
        <v>290.42429717793846</v>
      </c>
      <c r="AN166" s="62">
        <f ca="1">AVERAGE(OFFSET($AM$3,0,0,'Données projet'!$E$10+1,1))-AVERAGE(OFFSET($H$3,0,0,'Données projet'!$E$10+1,1))</f>
        <v>308.01218908312546</v>
      </c>
      <c r="AO166" s="62">
        <f t="shared" si="144"/>
        <v>433.94915035190684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0.31726194077392367</v>
      </c>
      <c r="AV166" s="23">
        <f>EXP(-LN(2)/25)*AV165+(1-EXP(-LN(2)/25))/(LN(2)/25)*Calculateur!AQ166*Calculateur!AS166*VLOOKUP('Données projet'!$B$10,Paramètres!$A$1:$I$89,3,0)*0.475*44/12</f>
        <v>0.1955157135110086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0.51277765428493227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-5.7639226724859328E-14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329.96352570744875</v>
      </c>
      <c r="BJ166" s="62">
        <f t="shared" si="146"/>
        <v>170.12252063636961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5.3205440053716299E-14</v>
      </c>
      <c r="CA166" s="14">
        <f t="shared" si="170"/>
        <v>8.602146238565607E-13</v>
      </c>
      <c r="CB166" s="22">
        <f t="shared" si="171"/>
        <v>1.590873277977066E-12</v>
      </c>
      <c r="CC166" s="62">
        <f t="shared" si="119"/>
        <v>290.42429717793533</v>
      </c>
      <c r="CD166" s="62">
        <f ca="1">AVERAGE(OFFSET($CC$3,0,0,'Données projet'!$E$12+1,1))-AVERAGE(OFFSET($H$3,0,0,'Données projet'!$E$12+1,1))</f>
        <v>276.21705775006376</v>
      </c>
      <c r="CE166" s="62">
        <f t="shared" si="148"/>
        <v>234.24947280606958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376.32432344617206</v>
      </c>
      <c r="CZ166" s="62">
        <f t="shared" si="150"/>
        <v>302.77411534670466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0.11838425942456152</v>
      </c>
      <c r="DG166" s="23">
        <f>EXP(-LN(2)/25)*DG165+(1-EXP(-LN(2)/25))/(LN(2)/25)*Calculateur!DB166*Calculateur!DD166*VLOOKUP('Données projet'!$B$13,Paramètres!$A$1:$I$89,3,0)*0.475*44/12</f>
        <v>9.2212560495923829E-2</v>
      </c>
      <c r="DH166" s="23">
        <f>EXP(-LN(2)/2)*DH165+(1-EXP(-LN(2)/2))/(LN(2)/2)*DB166*DE166*VLOOKUP('Données projet'!$B$13,Paramètres!$A$1:$I$89,3,0)*0.475*44/12</f>
        <v>6.488465675726684E-21</v>
      </c>
      <c r="DI166" s="24">
        <f t="shared" si="175"/>
        <v>0.21059681992048535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69.20662650307284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2.75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10.083333333333334</v>
      </c>
      <c r="H167" s="70">
        <f t="shared" si="110"/>
        <v>216.33333333333334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-5.9412741393316544E-14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338.33619350800484</v>
      </c>
      <c r="T167" s="62">
        <f t="shared" si="142"/>
        <v>173.80539144233424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1.9895196601282805E-13</v>
      </c>
      <c r="AJ167" s="14">
        <f>AI167*VLOOKUP('Données projet'!$B$10,Paramètres!$A$1:$I$89,3,0)*VLOOKUP('Données projet'!$B$10,Paramètres!$A$1:$I$89,5,0)</f>
        <v>1.8001173884840681E-13</v>
      </c>
      <c r="AK167" s="14">
        <f t="shared" si="164"/>
        <v>2.5254331426407198E-12</v>
      </c>
      <c r="AL167" s="22">
        <f t="shared" si="165"/>
        <v>4.7119831685935622E-12</v>
      </c>
      <c r="AM167" s="62">
        <f t="shared" si="113"/>
        <v>290.47476245160414</v>
      </c>
      <c r="AN167" s="62">
        <f ca="1">AVERAGE(OFFSET($AM$3,0,0,'Données projet'!$E$10+1,1))-AVERAGE(OFFSET($H$3,0,0,'Données projet'!$E$10+1,1))</f>
        <v>308.01218908312546</v>
      </c>
      <c r="AO167" s="62">
        <f t="shared" si="144"/>
        <v>433.94915035190684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0.3110406276260233</v>
      </c>
      <c r="AV167" s="23">
        <f>EXP(-LN(2)/25)*AV166+(1-EXP(-LN(2)/25))/(LN(2)/25)*Calculateur!AQ167*Calculateur!AS167*VLOOKUP('Données projet'!$B$10,Paramètres!$A$1:$I$89,3,0)*0.475*44/12</f>
        <v>0.19016932604332557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0.50120995366934884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-5.7639226724859328E-14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329.96352570744875</v>
      </c>
      <c r="BJ167" s="62">
        <f t="shared" si="146"/>
        <v>170.12252063636961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5.3205440053716299E-14</v>
      </c>
      <c r="CA167" s="14">
        <f t="shared" si="170"/>
        <v>8.602146238565607E-13</v>
      </c>
      <c r="CB167" s="22">
        <f t="shared" si="171"/>
        <v>1.590873277977066E-12</v>
      </c>
      <c r="CC167" s="62">
        <f t="shared" si="119"/>
        <v>290.47476245160101</v>
      </c>
      <c r="CD167" s="62">
        <f ca="1">AVERAGE(OFFSET($CC$3,0,0,'Données projet'!$E$12+1,1))-AVERAGE(OFFSET($H$3,0,0,'Données projet'!$E$12+1,1))</f>
        <v>276.21705775006376</v>
      </c>
      <c r="CE167" s="62">
        <f t="shared" si="148"/>
        <v>234.24947280606958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376.32432344617206</v>
      </c>
      <c r="CZ167" s="62">
        <f t="shared" si="150"/>
        <v>302.77411534670466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0.11606281630451423</v>
      </c>
      <c r="DG167" s="23">
        <f>EXP(-LN(2)/25)*DG166+(1-EXP(-LN(2)/25))/(LN(2)/25)*Calculateur!DB167*Calculateur!DD167*VLOOKUP('Données projet'!$B$13,Paramètres!$A$1:$I$89,3,0)*0.475*44/12</f>
        <v>8.9691003179914991E-2</v>
      </c>
      <c r="DH167" s="23">
        <f>EXP(-LN(2)/2)*DH166+(1-EXP(-LN(2)/2))/(LN(2)/2)*DB167*DE167*VLOOKUP('Données projet'!$B$13,Paramètres!$A$1:$I$89,3,0)*0.475*44/12</f>
        <v>4.5880380788024925E-21</v>
      </c>
      <c r="DI167" s="24">
        <f t="shared" si="175"/>
        <v>0.20575381948442922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69.220389759527109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2.75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10.083333333333334</v>
      </c>
      <c r="H168" s="70">
        <f t="shared" si="110"/>
        <v>216.33333333333334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-5.9412741393316544E-14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338.33619350800484</v>
      </c>
      <c r="T168" s="62">
        <f t="shared" si="142"/>
        <v>173.80539144233424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1.9895196601282805E-13</v>
      </c>
      <c r="AJ168" s="14">
        <f>AI168*VLOOKUP('Données projet'!$B$10,Paramètres!$A$1:$I$89,3,0)*VLOOKUP('Données projet'!$B$10,Paramètres!$A$1:$I$89,5,0)</f>
        <v>1.8001173884840681E-13</v>
      </c>
      <c r="AK168" s="14">
        <f t="shared" si="164"/>
        <v>2.5254331426407198E-12</v>
      </c>
      <c r="AL168" s="22">
        <f t="shared" si="165"/>
        <v>4.7119831685935622E-12</v>
      </c>
      <c r="AM168" s="62">
        <f t="shared" si="113"/>
        <v>290.5243522655951</v>
      </c>
      <c r="AN168" s="62">
        <f ca="1">AVERAGE(OFFSET($AM$3,0,0,'Données projet'!$E$10+1,1))-AVERAGE(OFFSET($H$3,0,0,'Données projet'!$E$10+1,1))</f>
        <v>308.01218908312546</v>
      </c>
      <c r="AO168" s="62">
        <f t="shared" si="144"/>
        <v>433.94915035190684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0.30494131063432695</v>
      </c>
      <c r="AV168" s="23">
        <f>EXP(-LN(2)/25)*AV167+(1-EXP(-LN(2)/25))/(LN(2)/25)*Calculateur!AQ168*Calculateur!AS168*VLOOKUP('Données projet'!$B$10,Paramètres!$A$1:$I$89,3,0)*0.475*44/12</f>
        <v>0.18496913582210062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0.48991044645642756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-5.7639226724859328E-14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329.96352570744875</v>
      </c>
      <c r="BJ168" s="62">
        <f t="shared" si="146"/>
        <v>170.12252063636961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5.3205440053716299E-14</v>
      </c>
      <c r="CA168" s="14">
        <f t="shared" si="170"/>
        <v>8.602146238565607E-13</v>
      </c>
      <c r="CB168" s="22">
        <f t="shared" si="171"/>
        <v>1.590873277977066E-12</v>
      </c>
      <c r="CC168" s="62">
        <f t="shared" si="119"/>
        <v>290.52435226559197</v>
      </c>
      <c r="CD168" s="62">
        <f ca="1">AVERAGE(OFFSET($CC$3,0,0,'Données projet'!$E$12+1,1))-AVERAGE(OFFSET($H$3,0,0,'Données projet'!$E$12+1,1))</f>
        <v>276.21705775006376</v>
      </c>
      <c r="CE168" s="62">
        <f t="shared" si="148"/>
        <v>234.24947280606958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376.32432344617206</v>
      </c>
      <c r="CZ168" s="62">
        <f t="shared" si="150"/>
        <v>302.77411534670466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0.11378689526811059</v>
      </c>
      <c r="DG168" s="23">
        <f>EXP(-LN(2)/25)*DG167+(1-EXP(-LN(2)/25))/(LN(2)/25)*Calculateur!DB168*Calculateur!DD168*VLOOKUP('Données projet'!$B$13,Paramètres!$A$1:$I$89,3,0)*0.475*44/12</f>
        <v>8.7238397981315344E-2</v>
      </c>
      <c r="DH168" s="23">
        <f>EXP(-LN(2)/2)*DH167+(1-EXP(-LN(2)/2))/(LN(2)/2)*DB168*DE168*VLOOKUP('Données projet'!$B$13,Paramètres!$A$1:$I$89,3,0)*0.475*44/12</f>
        <v>3.244232837863342E-21</v>
      </c>
      <c r="DI168" s="24">
        <f t="shared" si="175"/>
        <v>0.20102529324942592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69.233914254251914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2.75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10.083333333333334</v>
      </c>
      <c r="H169" s="70">
        <f t="shared" si="110"/>
        <v>216.33333333333334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-5.9412741393316544E-14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338.33619350800484</v>
      </c>
      <c r="T169" s="62">
        <f t="shared" si="142"/>
        <v>173.80539144233424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1.9895196601282805E-13</v>
      </c>
      <c r="AJ169" s="14">
        <f>AI169*VLOOKUP('Données projet'!$B$10,Paramètres!$A$1:$I$89,3,0)*VLOOKUP('Données projet'!$B$10,Paramètres!$A$1:$I$89,5,0)</f>
        <v>1.8001173884840681E-13</v>
      </c>
      <c r="AK169" s="14">
        <f t="shared" si="164"/>
        <v>2.5254331426407198E-12</v>
      </c>
      <c r="AL169" s="22">
        <f t="shared" si="165"/>
        <v>4.7119831685935622E-12</v>
      </c>
      <c r="AM169" s="62">
        <f t="shared" si="113"/>
        <v>290.57308180717962</v>
      </c>
      <c r="AN169" s="62">
        <f ca="1">AVERAGE(OFFSET($AM$3,0,0,'Données projet'!$E$10+1,1))-AVERAGE(OFFSET($H$3,0,0,'Données projet'!$E$10+1,1))</f>
        <v>308.01218908312546</v>
      </c>
      <c r="AO169" s="62">
        <f t="shared" si="144"/>
        <v>433.94915035190684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0.29896159752862173</v>
      </c>
      <c r="AV169" s="23">
        <f>EXP(-LN(2)/25)*AV168+(1-EXP(-LN(2)/25))/(LN(2)/25)*Calculateur!AQ169*Calculateur!AS169*VLOOKUP('Données projet'!$B$10,Paramètres!$A$1:$I$89,3,0)*0.475*44/12</f>
        <v>0.17991114507594116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0.47887274260456292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-5.7639226724859328E-14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329.96352570744875</v>
      </c>
      <c r="BJ169" s="62">
        <f t="shared" si="146"/>
        <v>170.12252063636961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5.3205440053716299E-14</v>
      </c>
      <c r="CA169" s="14">
        <f t="shared" si="170"/>
        <v>8.602146238565607E-13</v>
      </c>
      <c r="CB169" s="22">
        <f t="shared" si="171"/>
        <v>1.590873277977066E-12</v>
      </c>
      <c r="CC169" s="62">
        <f t="shared" si="119"/>
        <v>290.57308180717649</v>
      </c>
      <c r="CD169" s="62">
        <f ca="1">AVERAGE(OFFSET($CC$3,0,0,'Données projet'!$E$12+1,1))-AVERAGE(OFFSET($H$3,0,0,'Données projet'!$E$12+1,1))</f>
        <v>276.21705775006376</v>
      </c>
      <c r="CE169" s="62">
        <f t="shared" si="148"/>
        <v>234.24947280606958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376.32432344617206</v>
      </c>
      <c r="CZ169" s="62">
        <f t="shared" si="150"/>
        <v>302.77411534670466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0.11155560365505605</v>
      </c>
      <c r="DG169" s="23">
        <f>EXP(-LN(2)/25)*DG168+(1-EXP(-LN(2)/25))/(LN(2)/25)*Calculateur!DB169*Calculateur!DD169*VLOOKUP('Données projet'!$B$13,Paramètres!$A$1:$I$89,3,0)*0.475*44/12</f>
        <v>8.4852859400848316E-2</v>
      </c>
      <c r="DH169" s="23">
        <f>EXP(-LN(2)/2)*DH168+(1-EXP(-LN(2)/2))/(LN(2)/2)*DB169*DE169*VLOOKUP('Données projet'!$B$13,Paramètres!$A$1:$I$89,3,0)*0.475*44/12</f>
        <v>2.2940190394012462E-21</v>
      </c>
      <c r="DI169" s="24">
        <f t="shared" si="175"/>
        <v>0.19640846305590437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69.247204129229516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2.75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10.083333333333334</v>
      </c>
      <c r="H170" s="70">
        <f t="shared" si="110"/>
        <v>216.33333333333334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-5.9412741393316544E-14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338.33619350800484</v>
      </c>
      <c r="T170" s="62">
        <f t="shared" si="142"/>
        <v>173.80539144233424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1.9895196601282805E-13</v>
      </c>
      <c r="AJ170" s="14">
        <f>AI170*VLOOKUP('Données projet'!$B$10,Paramètres!$A$1:$I$89,3,0)*VLOOKUP('Données projet'!$B$10,Paramètres!$A$1:$I$89,5,0)</f>
        <v>1.8001173884840681E-13</v>
      </c>
      <c r="AK170" s="14">
        <f t="shared" si="164"/>
        <v>2.5254331426407198E-12</v>
      </c>
      <c r="AL170" s="22">
        <f t="shared" si="165"/>
        <v>4.7119831685935622E-12</v>
      </c>
      <c r="AM170" s="62">
        <f t="shared" si="113"/>
        <v>290.62096600016048</v>
      </c>
      <c r="AN170" s="62">
        <f ca="1">AVERAGE(OFFSET($AM$3,0,0,'Données projet'!$E$10+1,1))-AVERAGE(OFFSET($H$3,0,0,'Données projet'!$E$10+1,1))</f>
        <v>308.01218908312546</v>
      </c>
      <c r="AO170" s="62">
        <f t="shared" si="144"/>
        <v>433.94915035190684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0.2930991429496545</v>
      </c>
      <c r="AV170" s="23">
        <f>EXP(-LN(2)/25)*AV169+(1-EXP(-LN(2)/25))/(LN(2)/25)*Calculateur!AQ170*Calculateur!AS170*VLOOKUP('Données projet'!$B$10,Paramètres!$A$1:$I$89,3,0)*0.475*44/12</f>
        <v>0.17499146535272361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0.46809060830237814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-5.7639226724859328E-14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329.96352570744875</v>
      </c>
      <c r="BJ170" s="62">
        <f t="shared" si="146"/>
        <v>170.12252063636961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5.3205440053716299E-14</v>
      </c>
      <c r="CA170" s="14">
        <f t="shared" si="170"/>
        <v>8.602146238565607E-13</v>
      </c>
      <c r="CB170" s="22">
        <f t="shared" si="171"/>
        <v>1.590873277977066E-12</v>
      </c>
      <c r="CC170" s="62">
        <f t="shared" si="119"/>
        <v>290.62096600015735</v>
      </c>
      <c r="CD170" s="62">
        <f ca="1">AVERAGE(OFFSET($CC$3,0,0,'Données projet'!$E$12+1,1))-AVERAGE(OFFSET($H$3,0,0,'Données projet'!$E$12+1,1))</f>
        <v>276.21705775006376</v>
      </c>
      <c r="CE170" s="62">
        <f t="shared" si="148"/>
        <v>234.24947280606958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376.32432344617206</v>
      </c>
      <c r="CZ170" s="62">
        <f t="shared" si="150"/>
        <v>302.77411534670466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0.10936806630958003</v>
      </c>
      <c r="DG170" s="23">
        <f>EXP(-LN(2)/25)*DG169+(1-EXP(-LN(2)/25))/(LN(2)/25)*Calculateur!DB170*Calculateur!DD170*VLOOKUP('Données projet'!$B$13,Paramètres!$A$1:$I$89,3,0)*0.475*44/12</f>
        <v>8.2532553498314176E-2</v>
      </c>
      <c r="DH170" s="23">
        <f>EXP(-LN(2)/2)*DH169+(1-EXP(-LN(2)/2))/(LN(2)/2)*DB170*DE170*VLOOKUP('Données projet'!$B$13,Paramètres!$A$1:$I$89,3,0)*0.475*44/12</f>
        <v>1.622116418931671E-21</v>
      </c>
      <c r="DI170" s="24">
        <f t="shared" si="175"/>
        <v>0.19190061980789419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69.260263454587943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2.75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10.083333333333334</v>
      </c>
      <c r="H171" s="70">
        <f t="shared" si="110"/>
        <v>216.33333333333334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-5.9412741393316544E-14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338.33619350800484</v>
      </c>
      <c r="T171" s="62">
        <f t="shared" si="142"/>
        <v>173.80539144233424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1.9895196601282805E-13</v>
      </c>
      <c r="AJ171" s="14">
        <f>AI171*VLOOKUP('Données projet'!$B$10,Paramètres!$A$1:$I$89,3,0)*VLOOKUP('Données projet'!$B$10,Paramètres!$A$1:$I$89,5,0)</f>
        <v>1.8001173884840681E-13</v>
      </c>
      <c r="AK171" s="14">
        <f t="shared" si="164"/>
        <v>2.5254331426407198E-12</v>
      </c>
      <c r="AL171" s="22">
        <f t="shared" si="165"/>
        <v>4.7119831685935622E-12</v>
      </c>
      <c r="AM171" s="62">
        <f t="shared" si="113"/>
        <v>290.66801950944625</v>
      </c>
      <c r="AN171" s="62">
        <f ca="1">AVERAGE(OFFSET($AM$3,0,0,'Données projet'!$E$10+1,1))-AVERAGE(OFFSET($H$3,0,0,'Données projet'!$E$10+1,1))</f>
        <v>308.01218908312546</v>
      </c>
      <c r="AO171" s="62">
        <f t="shared" si="144"/>
        <v>433.94915035190684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0.28735164752923664</v>
      </c>
      <c r="AV171" s="23">
        <f>EXP(-LN(2)/25)*AV170+(1-EXP(-LN(2)/25))/(LN(2)/25)*Calculateur!AQ171*Calculateur!AS171*VLOOKUP('Données projet'!$B$10,Paramètres!$A$1:$I$89,3,0)*0.475*44/12</f>
        <v>0.17020631453025217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0.45755796205948884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-5.7639226724859328E-14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329.96352570744875</v>
      </c>
      <c r="BJ171" s="62">
        <f t="shared" si="146"/>
        <v>170.12252063636961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5.3205440053716299E-14</v>
      </c>
      <c r="CA171" s="14">
        <f t="shared" si="170"/>
        <v>8.602146238565607E-13</v>
      </c>
      <c r="CB171" s="22">
        <f t="shared" si="171"/>
        <v>1.590873277977066E-12</v>
      </c>
      <c r="CC171" s="62">
        <f t="shared" si="119"/>
        <v>290.66801950944313</v>
      </c>
      <c r="CD171" s="62">
        <f ca="1">AVERAGE(OFFSET($CC$3,0,0,'Données projet'!$E$12+1,1))-AVERAGE(OFFSET($H$3,0,0,'Données projet'!$E$12+1,1))</f>
        <v>276.21705775006376</v>
      </c>
      <c r="CE171" s="62">
        <f t="shared" si="148"/>
        <v>234.24947280606958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376.32432344617206</v>
      </c>
      <c r="CZ171" s="62">
        <f t="shared" si="150"/>
        <v>302.77411534670466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0.10722342523718276</v>
      </c>
      <c r="DG171" s="23">
        <f>EXP(-LN(2)/25)*DG170+(1-EXP(-LN(2)/25))/(LN(2)/25)*Calculateur!DB171*Calculateur!DD171*VLOOKUP('Données projet'!$B$13,Paramètres!$A$1:$I$89,3,0)*0.475*44/12</f>
        <v>8.0275696482704412E-2</v>
      </c>
      <c r="DH171" s="23">
        <f>EXP(-LN(2)/2)*DH170+(1-EXP(-LN(2)/2))/(LN(2)/2)*DB171*DE171*VLOOKUP('Données projet'!$B$13,Paramètres!$A$1:$I$89,3,0)*0.475*44/12</f>
        <v>1.1470095197006231E-21</v>
      </c>
      <c r="DI171" s="24">
        <f t="shared" si="175"/>
        <v>0.18749912171988717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69.273096229847681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2.75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10.083333333333334</v>
      </c>
      <c r="H172" s="70">
        <f t="shared" si="110"/>
        <v>216.33333333333334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-5.9412741393316544E-14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338.33619350800484</v>
      </c>
      <c r="T172" s="62">
        <f t="shared" si="142"/>
        <v>173.80539144233424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1.9895196601282805E-13</v>
      </c>
      <c r="AJ172" s="14">
        <f>AI172*VLOOKUP('Données projet'!$B$10,Paramètres!$A$1:$I$89,3,0)*VLOOKUP('Données projet'!$B$10,Paramètres!$A$1:$I$89,5,0)</f>
        <v>1.8001173884840681E-13</v>
      </c>
      <c r="AK172" s="14">
        <f t="shared" si="164"/>
        <v>2.5254331426407198E-12</v>
      </c>
      <c r="AL172" s="22">
        <f t="shared" si="165"/>
        <v>4.7119831685935622E-12</v>
      </c>
      <c r="AM172" s="62">
        <f t="shared" si="113"/>
        <v>290.71425674554172</v>
      </c>
      <c r="AN172" s="62">
        <f ca="1">AVERAGE(OFFSET($AM$3,0,0,'Données projet'!$E$10+1,1))-AVERAGE(OFFSET($H$3,0,0,'Données projet'!$E$10+1,1))</f>
        <v>308.01218908312546</v>
      </c>
      <c r="AO172" s="62">
        <f t="shared" si="144"/>
        <v>433.94915035190684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0.28171685698838711</v>
      </c>
      <c r="AV172" s="23">
        <f>EXP(-LN(2)/25)*AV171+(1-EXP(-LN(2)/25))/(LN(2)/25)*Calculateur!AQ172*Calculateur!AS172*VLOOKUP('Données projet'!$B$10,Paramètres!$A$1:$I$89,3,0)*0.475*44/12</f>
        <v>0.16555201390866137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0.44726887089704848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-5.7639226724859328E-14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329.96352570744875</v>
      </c>
      <c r="BJ172" s="62">
        <f t="shared" si="146"/>
        <v>170.12252063636961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5.3205440053716299E-14</v>
      </c>
      <c r="CA172" s="14">
        <f t="shared" si="170"/>
        <v>8.602146238565607E-13</v>
      </c>
      <c r="CB172" s="22">
        <f t="shared" si="171"/>
        <v>1.590873277977066E-12</v>
      </c>
      <c r="CC172" s="62">
        <f t="shared" si="119"/>
        <v>290.71425674553859</v>
      </c>
      <c r="CD172" s="62">
        <f ca="1">AVERAGE(OFFSET($CC$3,0,0,'Données projet'!$E$12+1,1))-AVERAGE(OFFSET($H$3,0,0,'Données projet'!$E$12+1,1))</f>
        <v>276.21705775006376</v>
      </c>
      <c r="CE172" s="62">
        <f t="shared" si="148"/>
        <v>234.24947280606958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376.32432344617206</v>
      </c>
      <c r="CZ172" s="62">
        <f t="shared" si="150"/>
        <v>302.77411534670466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0.1051208392681133</v>
      </c>
      <c r="DG172" s="23">
        <f>EXP(-LN(2)/25)*DG171+(1-EXP(-LN(2)/25))/(LN(2)/25)*Calculateur!DB172*Calculateur!DD172*VLOOKUP('Données projet'!$B$13,Paramètres!$A$1:$I$89,3,0)*0.475*44/12</f>
        <v>7.8080553340869455E-2</v>
      </c>
      <c r="DH172" s="23">
        <f>EXP(-LN(2)/2)*DH171+(1-EXP(-LN(2)/2))/(LN(2)/2)*DB172*DE172*VLOOKUP('Données projet'!$B$13,Paramètres!$A$1:$I$89,3,0)*0.475*44/12</f>
        <v>8.110582094658355E-22</v>
      </c>
      <c r="DI172" s="24">
        <f t="shared" si="175"/>
        <v>0.18320139260898277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69.285706385146455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2.75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10.083333333333334</v>
      </c>
      <c r="H173" s="70">
        <f t="shared" si="110"/>
        <v>216.33333333333334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-5.9412741393316544E-14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338.33619350800484</v>
      </c>
      <c r="T173" s="62">
        <f t="shared" si="142"/>
        <v>173.80539144233424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1.9895196601282805E-13</v>
      </c>
      <c r="AJ173" s="14">
        <f>AI173*VLOOKUP('Données projet'!$B$10,Paramètres!$A$1:$I$89,3,0)*VLOOKUP('Données projet'!$B$10,Paramètres!$A$1:$I$89,5,0)</f>
        <v>1.8001173884840681E-13</v>
      </c>
      <c r="AK173" s="14">
        <f t="shared" si="164"/>
        <v>2.5254331426407198E-12</v>
      </c>
      <c r="AL173" s="22">
        <f t="shared" si="165"/>
        <v>4.7119831685935622E-12</v>
      </c>
      <c r="AM173" s="62">
        <f t="shared" si="113"/>
        <v>290.75969186896191</v>
      </c>
      <c r="AN173" s="62">
        <f ca="1">AVERAGE(OFFSET($AM$3,0,0,'Données projet'!$E$10+1,1))-AVERAGE(OFFSET($H$3,0,0,'Données projet'!$E$10+1,1))</f>
        <v>308.01218908312546</v>
      </c>
      <c r="AO173" s="62">
        <f t="shared" si="144"/>
        <v>433.94915035190684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0.27619256125316077</v>
      </c>
      <c r="AV173" s="23">
        <f>EXP(-LN(2)/25)*AV172+(1-EXP(-LN(2)/25))/(LN(2)/25)*Calculateur!AQ173*Calculateur!AS173*VLOOKUP('Données projet'!$B$10,Paramètres!$A$1:$I$89,3,0)*0.475*44/12</f>
        <v>0.16102498538232698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0.43721754663548773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-5.7639226724859328E-14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329.96352570744875</v>
      </c>
      <c r="BJ173" s="62">
        <f t="shared" si="146"/>
        <v>170.12252063636961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5.3205440053716299E-14</v>
      </c>
      <c r="CA173" s="14">
        <f t="shared" si="170"/>
        <v>8.602146238565607E-13</v>
      </c>
      <c r="CB173" s="22">
        <f t="shared" si="171"/>
        <v>1.590873277977066E-12</v>
      </c>
      <c r="CC173" s="62">
        <f t="shared" si="119"/>
        <v>290.75969186895878</v>
      </c>
      <c r="CD173" s="62">
        <f ca="1">AVERAGE(OFFSET($CC$3,0,0,'Données projet'!$E$12+1,1))-AVERAGE(OFFSET($H$3,0,0,'Données projet'!$E$12+1,1))</f>
        <v>276.21705775006376</v>
      </c>
      <c r="CE173" s="62">
        <f t="shared" si="148"/>
        <v>234.24947280606958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376.32432344617206</v>
      </c>
      <c r="CZ173" s="62">
        <f t="shared" si="150"/>
        <v>302.77411534670466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0.10305948372744649</v>
      </c>
      <c r="DG173" s="23">
        <f>EXP(-LN(2)/25)*DG172+(1-EXP(-LN(2)/25))/(LN(2)/25)*Calculateur!DB173*Calculateur!DD173*VLOOKUP('Données projet'!$B$13,Paramètres!$A$1:$I$89,3,0)*0.475*44/12</f>
        <v>7.5945436503685529E-2</v>
      </c>
      <c r="DH173" s="23">
        <f>EXP(-LN(2)/2)*DH172+(1-EXP(-LN(2)/2))/(LN(2)/2)*DB173*DE173*VLOOKUP('Données projet'!$B$13,Paramètres!$A$1:$I$89,3,0)*0.475*44/12</f>
        <v>5.7350475985031156E-22</v>
      </c>
      <c r="DI173" s="24">
        <f t="shared" si="175"/>
        <v>0.17900492023113201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69.298097782442881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2.75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10.083333333333334</v>
      </c>
      <c r="H174" s="70">
        <f t="shared" si="110"/>
        <v>216.33333333333334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-5.9412741393316544E-14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338.33619350800484</v>
      </c>
      <c r="T174" s="62">
        <f t="shared" si="142"/>
        <v>173.80539144233424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1.9895196601282805E-13</v>
      </c>
      <c r="AJ174" s="14">
        <f>AI174*VLOOKUP('Données projet'!$B$10,Paramètres!$A$1:$I$89,3,0)*VLOOKUP('Données projet'!$B$10,Paramètres!$A$1:$I$89,5,0)</f>
        <v>1.8001173884840681E-13</v>
      </c>
      <c r="AK174" s="14">
        <f t="shared" si="164"/>
        <v>2.5254331426407198E-12</v>
      </c>
      <c r="AL174" s="22">
        <f t="shared" si="165"/>
        <v>4.7119831685935622E-12</v>
      </c>
      <c r="AM174" s="62">
        <f t="shared" si="113"/>
        <v>290.80433879456854</v>
      </c>
      <c r="AN174" s="62">
        <f ca="1">AVERAGE(OFFSET($AM$3,0,0,'Données projet'!$E$10+1,1))-AVERAGE(OFFSET($H$3,0,0,'Données projet'!$E$10+1,1))</f>
        <v>308.01218908312546</v>
      </c>
      <c r="AO174" s="62">
        <f t="shared" si="144"/>
        <v>433.94915035190684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0.27077659358781453</v>
      </c>
      <c r="AV174" s="23">
        <f>EXP(-LN(2)/25)*AV173+(1-EXP(-LN(2)/25))/(LN(2)/25)*Calculateur!AQ174*Calculateur!AS174*VLOOKUP('Données projet'!$B$10,Paramètres!$A$1:$I$89,3,0)*0.475*44/12</f>
        <v>0.1566217486891113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0.42739834227692586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-5.7639226724859328E-14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329.96352570744875</v>
      </c>
      <c r="BJ174" s="62">
        <f t="shared" si="146"/>
        <v>170.12252063636961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5.3205440053716299E-14</v>
      </c>
      <c r="CA174" s="14">
        <f t="shared" si="170"/>
        <v>8.602146238565607E-13</v>
      </c>
      <c r="CB174" s="22">
        <f t="shared" si="171"/>
        <v>1.590873277977066E-12</v>
      </c>
      <c r="CC174" s="62">
        <f t="shared" si="119"/>
        <v>290.80433879456541</v>
      </c>
      <c r="CD174" s="62">
        <f ca="1">AVERAGE(OFFSET($CC$3,0,0,'Données projet'!$E$12+1,1))-AVERAGE(OFFSET($H$3,0,0,'Données projet'!$E$12+1,1))</f>
        <v>276.21705775006376</v>
      </c>
      <c r="CE174" s="62">
        <f t="shared" si="148"/>
        <v>234.24947280606958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376.32432344617206</v>
      </c>
      <c r="CZ174" s="62">
        <f t="shared" si="150"/>
        <v>302.77411534670466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0.10103855011162942</v>
      </c>
      <c r="DG174" s="23">
        <f>EXP(-LN(2)/25)*DG173+(1-EXP(-LN(2)/25))/(LN(2)/25)*Calculateur!DB174*Calculateur!DD174*VLOOKUP('Données projet'!$B$13,Paramètres!$A$1:$I$89,3,0)*0.475*44/12</f>
        <v>7.3868704548695319E-2</v>
      </c>
      <c r="DH174" s="23">
        <f>EXP(-LN(2)/2)*DH173+(1-EXP(-LN(2)/2))/(LN(2)/2)*DB174*DE174*VLOOKUP('Données projet'!$B$13,Paramètres!$A$1:$I$89,3,0)*0.475*44/12</f>
        <v>4.0552910473291775E-22</v>
      </c>
      <c r="DI174" s="24">
        <f t="shared" si="175"/>
        <v>0.17490725466032475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69.310274216699227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2.75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10.083333333333334</v>
      </c>
      <c r="H175" s="70">
        <f t="shared" si="110"/>
        <v>216.33333333333334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-5.9412741393316544E-14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338.33619350800484</v>
      </c>
      <c r="T175" s="62">
        <f t="shared" si="142"/>
        <v>173.80539144233424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1.9895196601282805E-13</v>
      </c>
      <c r="AJ175" s="14">
        <f>AI175*VLOOKUP('Données projet'!$B$10,Paramètres!$A$1:$I$89,3,0)*VLOOKUP('Données projet'!$B$10,Paramètres!$A$1:$I$89,5,0)</f>
        <v>1.8001173884840681E-13</v>
      </c>
      <c r="AK175" s="14">
        <f t="shared" si="164"/>
        <v>2.5254331426407198E-12</v>
      </c>
      <c r="AL175" s="22">
        <f t="shared" si="165"/>
        <v>4.7119831685935622E-12</v>
      </c>
      <c r="AM175" s="62">
        <f t="shared" si="113"/>
        <v>290.84821119583142</v>
      </c>
      <c r="AN175" s="62">
        <f ca="1">AVERAGE(OFFSET($AM$3,0,0,'Données projet'!$E$10+1,1))-AVERAGE(OFFSET($H$3,0,0,'Données projet'!$E$10+1,1))</f>
        <v>308.01218908312546</v>
      </c>
      <c r="AO175" s="62">
        <f t="shared" si="144"/>
        <v>433.94915035190684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0.26546682974497166</v>
      </c>
      <c r="AV175" s="23">
        <f>EXP(-LN(2)/25)*AV174+(1-EXP(-LN(2)/25))/(LN(2)/25)*Calculateur!AQ175*Calculateur!AS175*VLOOKUP('Données projet'!$B$10,Paramètres!$A$1:$I$89,3,0)*0.475*44/12</f>
        <v>0.15233891873482774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0.4178057484797994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-5.7639226724859328E-14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329.96352570744875</v>
      </c>
      <c r="BJ175" s="62">
        <f t="shared" si="146"/>
        <v>170.12252063636961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5.3205440053716299E-14</v>
      </c>
      <c r="CA175" s="14">
        <f t="shared" si="170"/>
        <v>8.602146238565607E-13</v>
      </c>
      <c r="CB175" s="22">
        <f t="shared" si="171"/>
        <v>1.590873277977066E-12</v>
      </c>
      <c r="CC175" s="62">
        <f t="shared" si="119"/>
        <v>290.8482111958283</v>
      </c>
      <c r="CD175" s="62">
        <f ca="1">AVERAGE(OFFSET($CC$3,0,0,'Données projet'!$E$12+1,1))-AVERAGE(OFFSET($H$3,0,0,'Données projet'!$E$12+1,1))</f>
        <v>276.21705775006376</v>
      </c>
      <c r="CE175" s="62">
        <f t="shared" si="148"/>
        <v>234.24947280606958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376.32432344617206</v>
      </c>
      <c r="CZ175" s="62">
        <f t="shared" si="150"/>
        <v>302.77411534670466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9.9057245771370733E-2</v>
      </c>
      <c r="DG175" s="23">
        <f>EXP(-LN(2)/25)*DG174+(1-EXP(-LN(2)/25))/(LN(2)/25)*Calculateur!DB175*Calculateur!DD175*VLOOKUP('Données projet'!$B$13,Paramètres!$A$1:$I$89,3,0)*0.475*44/12</f>
        <v>7.1848760938224898E-2</v>
      </c>
      <c r="DH175" s="23">
        <f>EXP(-LN(2)/2)*DH174+(1-EXP(-LN(2)/2))/(LN(2)/2)*DB175*DE175*VLOOKUP('Données projet'!$B$13,Paramètres!$A$1:$I$89,3,0)*0.475*44/12</f>
        <v>2.8675237992515578E-22</v>
      </c>
      <c r="DI175" s="24">
        <f t="shared" si="175"/>
        <v>0.17090600670959563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69.322239417043647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2.75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10.083333333333334</v>
      </c>
      <c r="H176" s="70">
        <f t="shared" si="110"/>
        <v>216.33333333333334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-5.9412741393316544E-14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338.33619350800484</v>
      </c>
      <c r="T176" s="62">
        <f t="shared" si="142"/>
        <v>173.80539144233424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1.9895196601282805E-13</v>
      </c>
      <c r="AJ176" s="14">
        <f>AI176*VLOOKUP('Données projet'!$B$10,Paramètres!$A$1:$I$89,3,0)*VLOOKUP('Données projet'!$B$10,Paramètres!$A$1:$I$89,5,0)</f>
        <v>1.8001173884840681E-13</v>
      </c>
      <c r="AK176" s="14">
        <f t="shared" si="164"/>
        <v>2.5254331426407198E-12</v>
      </c>
      <c r="AL176" s="22">
        <f t="shared" si="165"/>
        <v>4.7119831685935622E-12</v>
      </c>
      <c r="AM176" s="62">
        <f t="shared" si="113"/>
        <v>290.89132250901639</v>
      </c>
      <c r="AN176" s="62">
        <f ca="1">AVERAGE(OFFSET($AM$3,0,0,'Données projet'!$E$10+1,1))-AVERAGE(OFFSET($H$3,0,0,'Données projet'!$E$10+1,1))</f>
        <v>308.01218908312546</v>
      </c>
      <c r="AO176" s="62">
        <f t="shared" si="144"/>
        <v>433.94915035190684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0.26026118713245078</v>
      </c>
      <c r="AV176" s="23">
        <f>EXP(-LN(2)/25)*AV175+(1-EXP(-LN(2)/25))/(LN(2)/25)*Calculateur!AQ176*Calculateur!AS176*VLOOKUP('Données projet'!$B$10,Paramètres!$A$1:$I$89,3,0)*0.475*44/12</f>
        <v>0.14817320299086831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0.40843439012331906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-5.7639226724859328E-14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329.96352570744875</v>
      </c>
      <c r="BJ176" s="62">
        <f t="shared" si="146"/>
        <v>170.12252063636961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5.3205440053716299E-14</v>
      </c>
      <c r="CA176" s="14">
        <f t="shared" si="170"/>
        <v>8.602146238565607E-13</v>
      </c>
      <c r="CB176" s="22">
        <f t="shared" si="171"/>
        <v>1.590873277977066E-12</v>
      </c>
      <c r="CC176" s="62">
        <f t="shared" si="119"/>
        <v>290.89132250901326</v>
      </c>
      <c r="CD176" s="62">
        <f ca="1">AVERAGE(OFFSET($CC$3,0,0,'Données projet'!$E$12+1,1))-AVERAGE(OFFSET($H$3,0,0,'Données projet'!$E$12+1,1))</f>
        <v>276.21705775006376</v>
      </c>
      <c r="CE176" s="62">
        <f t="shared" si="148"/>
        <v>234.24947280606958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376.32432344617206</v>
      </c>
      <c r="CZ176" s="62">
        <f t="shared" si="150"/>
        <v>302.77411534670466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9.7114793600748192E-2</v>
      </c>
      <c r="DG176" s="23">
        <f>EXP(-LN(2)/25)*DG175+(1-EXP(-LN(2)/25))/(LN(2)/25)*Calculateur!DB176*Calculateur!DD176*VLOOKUP('Données projet'!$B$13,Paramètres!$A$1:$I$89,3,0)*0.475*44/12</f>
        <v>6.9884052792007018E-2</v>
      </c>
      <c r="DH176" s="23">
        <f>EXP(-LN(2)/2)*DH175+(1-EXP(-LN(2)/2))/(LN(2)/2)*DB176*DE176*VLOOKUP('Données projet'!$B$13,Paramètres!$A$1:$I$89,3,0)*0.475*44/12</f>
        <v>2.0276455236645887E-22</v>
      </c>
      <c r="DI176" s="24">
        <f t="shared" si="175"/>
        <v>0.1669988463927552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69.333997047912277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2.75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10.083333333333334</v>
      </c>
      <c r="H177" s="70">
        <f t="shared" si="110"/>
        <v>216.33333333333334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-5.9412741393316544E-14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338.33619350800484</v>
      </c>
      <c r="T177" s="62">
        <f t="shared" si="142"/>
        <v>173.80539144233424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1.9895196601282805E-13</v>
      </c>
      <c r="AJ177" s="14">
        <f>AI177*VLOOKUP('Données projet'!$B$10,Paramètres!$A$1:$I$89,3,0)*VLOOKUP('Données projet'!$B$10,Paramètres!$A$1:$I$89,5,0)</f>
        <v>1.8001173884840681E-13</v>
      </c>
      <c r="AK177" s="14">
        <f t="shared" si="164"/>
        <v>2.5254331426407198E-12</v>
      </c>
      <c r="AL177" s="22">
        <f t="shared" si="165"/>
        <v>4.7119831685935622E-12</v>
      </c>
      <c r="AM177" s="62">
        <f t="shared" si="113"/>
        <v>290.93368593730008</v>
      </c>
      <c r="AN177" s="62">
        <f ca="1">AVERAGE(OFFSET($AM$3,0,0,'Données projet'!$E$10+1,1))-AVERAGE(OFFSET($H$3,0,0,'Données projet'!$E$10+1,1))</f>
        <v>308.01218908312546</v>
      </c>
      <c r="AO177" s="62">
        <f t="shared" si="144"/>
        <v>433.94915035190684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0.25515762399643294</v>
      </c>
      <c r="AV177" s="23">
        <f>EXP(-LN(2)/25)*AV176+(1-EXP(-LN(2)/25))/(LN(2)/25)*Calculateur!AQ177*Calculateur!AS177*VLOOKUP('Données projet'!$B$10,Paramètres!$A$1:$I$89,3,0)*0.475*44/12</f>
        <v>0.14412139896299292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0.39927902295942586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-5.7639226724859328E-14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329.96352570744875</v>
      </c>
      <c r="BJ177" s="62">
        <f t="shared" si="146"/>
        <v>170.12252063636961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5.3205440053716299E-14</v>
      </c>
      <c r="CA177" s="14">
        <f t="shared" si="170"/>
        <v>8.602146238565607E-13</v>
      </c>
      <c r="CB177" s="22">
        <f t="shared" si="171"/>
        <v>1.590873277977066E-12</v>
      </c>
      <c r="CC177" s="62">
        <f t="shared" si="119"/>
        <v>290.93368593729696</v>
      </c>
      <c r="CD177" s="62">
        <f ca="1">AVERAGE(OFFSET($CC$3,0,0,'Données projet'!$E$12+1,1))-AVERAGE(OFFSET($H$3,0,0,'Données projet'!$E$12+1,1))</f>
        <v>276.21705775006376</v>
      </c>
      <c r="CE177" s="62">
        <f t="shared" si="148"/>
        <v>234.24947280606958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376.32432344617206</v>
      </c>
      <c r="CZ177" s="62">
        <f t="shared" si="150"/>
        <v>302.77411534670466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9.5210431732412726E-2</v>
      </c>
      <c r="DG177" s="23">
        <f>EXP(-LN(2)/25)*DG176+(1-EXP(-LN(2)/25))/(LN(2)/25)*Calculateur!DB177*Calculateur!DD177*VLOOKUP('Données projet'!$B$13,Paramètres!$A$1:$I$89,3,0)*0.475*44/12</f>
        <v>6.7973069693366972E-2</v>
      </c>
      <c r="DH177" s="23">
        <f>EXP(-LN(2)/2)*DH176+(1-EXP(-LN(2)/2))/(LN(2)/2)*DB177*DE177*VLOOKUP('Données projet'!$B$13,Paramètres!$A$1:$I$89,3,0)*0.475*44/12</f>
        <v>1.4337618996257789E-22</v>
      </c>
      <c r="DI177" s="24">
        <f t="shared" si="175"/>
        <v>0.1631835014257797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69.345550710171466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2.75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10.083333333333334</v>
      </c>
      <c r="H178" s="70">
        <f t="shared" si="110"/>
        <v>216.33333333333334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-5.9412741393316544E-14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338.33619350800484</v>
      </c>
      <c r="T178" s="62">
        <f t="shared" si="142"/>
        <v>173.80539144233424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1.9895196601282805E-13</v>
      </c>
      <c r="AJ178" s="14">
        <f>AI178*VLOOKUP('Données projet'!$B$10,Paramètres!$A$1:$I$89,3,0)*VLOOKUP('Données projet'!$B$10,Paramètres!$A$1:$I$89,5,0)</f>
        <v>1.8001173884840681E-13</v>
      </c>
      <c r="AK178" s="14">
        <f t="shared" si="164"/>
        <v>2.5254331426407198E-12</v>
      </c>
      <c r="AL178" s="22">
        <f t="shared" si="165"/>
        <v>4.7119831685935622E-12</v>
      </c>
      <c r="AM178" s="62">
        <f t="shared" si="113"/>
        <v>290.97531445481343</v>
      </c>
      <c r="AN178" s="62">
        <f ca="1">AVERAGE(OFFSET($AM$3,0,0,'Données projet'!$E$10+1,1))-AVERAGE(OFFSET($H$3,0,0,'Données projet'!$E$10+1,1))</f>
        <v>308.01218908312546</v>
      </c>
      <c r="AO178" s="62">
        <f t="shared" si="144"/>
        <v>433.94915035190684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0.25015413862064628</v>
      </c>
      <c r="AV178" s="23">
        <f>EXP(-LN(2)/25)*AV177+(1-EXP(-LN(2)/25))/(LN(2)/25)*Calculateur!AQ178*Calculateur!AS178*VLOOKUP('Données projet'!$B$10,Paramètres!$A$1:$I$89,3,0)*0.475*44/12</f>
        <v>0.14018039172933491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0.39033453034998122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-5.7639226724859328E-14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329.96352570744875</v>
      </c>
      <c r="BJ178" s="62">
        <f t="shared" si="146"/>
        <v>170.12252063636961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5.3205440053716299E-14</v>
      </c>
      <c r="CA178" s="14">
        <f t="shared" si="170"/>
        <v>8.602146238565607E-13</v>
      </c>
      <c r="CB178" s="22">
        <f t="shared" si="171"/>
        <v>1.590873277977066E-12</v>
      </c>
      <c r="CC178" s="62">
        <f t="shared" si="119"/>
        <v>290.9753144548103</v>
      </c>
      <c r="CD178" s="62">
        <f ca="1">AVERAGE(OFFSET($CC$3,0,0,'Données projet'!$E$12+1,1))-AVERAGE(OFFSET($H$3,0,0,'Données projet'!$E$12+1,1))</f>
        <v>276.21705775006376</v>
      </c>
      <c r="CE178" s="62">
        <f t="shared" si="148"/>
        <v>234.24947280606958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376.32432344617206</v>
      </c>
      <c r="CZ178" s="62">
        <f t="shared" si="150"/>
        <v>302.77411534670466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9.3343413238769268E-2</v>
      </c>
      <c r="DG178" s="23">
        <f>EXP(-LN(2)/25)*DG177+(1-EXP(-LN(2)/25))/(LN(2)/25)*Calculateur!DB178*Calculateur!DD178*VLOOKUP('Données projet'!$B$13,Paramètres!$A$1:$I$89,3,0)*0.475*44/12</f>
        <v>6.6114342528053469E-2</v>
      </c>
      <c r="DH178" s="23">
        <f>EXP(-LN(2)/2)*DH177+(1-EXP(-LN(2)/2))/(LN(2)/2)*DB178*DE178*VLOOKUP('Données projet'!$B$13,Paramètres!$A$1:$I$89,3,0)*0.475*44/12</f>
        <v>1.0138227618322944E-22</v>
      </c>
      <c r="DI178" s="24">
        <f t="shared" si="175"/>
        <v>0.15945775576682275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69.356903942220555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2.75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10.083333333333334</v>
      </c>
      <c r="H179" s="70">
        <f t="shared" si="110"/>
        <v>216.33333333333334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-5.9412741393316544E-14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338.33619350800484</v>
      </c>
      <c r="T179" s="62">
        <f t="shared" si="142"/>
        <v>173.80539144233424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1.9895196601282805E-13</v>
      </c>
      <c r="AJ179" s="14">
        <f>AI179*VLOOKUP('Données projet'!$B$10,Paramètres!$A$1:$I$89,3,0)*VLOOKUP('Données projet'!$B$10,Paramètres!$A$1:$I$89,5,0)</f>
        <v>1.8001173884840681E-13</v>
      </c>
      <c r="AK179" s="14">
        <f t="shared" si="164"/>
        <v>2.5254331426407198E-12</v>
      </c>
      <c r="AL179" s="22">
        <f t="shared" si="165"/>
        <v>4.7119831685935622E-12</v>
      </c>
      <c r="AM179" s="62">
        <f t="shared" si="113"/>
        <v>291.01622081061538</v>
      </c>
      <c r="AN179" s="62">
        <f ca="1">AVERAGE(OFFSET($AM$3,0,0,'Données projet'!$E$10+1,1))-AVERAGE(OFFSET($H$3,0,0,'Données projet'!$E$10+1,1))</f>
        <v>308.01218908312546</v>
      </c>
      <c r="AO179" s="62">
        <f t="shared" si="144"/>
        <v>433.94915035190684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0.24524876854125405</v>
      </c>
      <c r="AV179" s="23">
        <f>EXP(-LN(2)/25)*AV178+(1-EXP(-LN(2)/25))/(LN(2)/25)*Calculateur!AQ179*Calculateur!AS179*VLOOKUP('Données projet'!$B$10,Paramètres!$A$1:$I$89,3,0)*0.475*44/12</f>
        <v>0.13634715154572982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0.38159592008698384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-5.7639226724859328E-14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329.96352570744875</v>
      </c>
      <c r="BJ179" s="62">
        <f t="shared" si="146"/>
        <v>170.12252063636961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5.3205440053716299E-14</v>
      </c>
      <c r="CA179" s="14">
        <f t="shared" si="170"/>
        <v>8.602146238565607E-13</v>
      </c>
      <c r="CB179" s="22">
        <f t="shared" si="171"/>
        <v>1.590873277977066E-12</v>
      </c>
      <c r="CC179" s="62">
        <f t="shared" si="119"/>
        <v>291.01622081061225</v>
      </c>
      <c r="CD179" s="62">
        <f ca="1">AVERAGE(OFFSET($CC$3,0,0,'Données projet'!$E$12+1,1))-AVERAGE(OFFSET($H$3,0,0,'Données projet'!$E$12+1,1))</f>
        <v>276.21705775006376</v>
      </c>
      <c r="CE179" s="62">
        <f t="shared" si="148"/>
        <v>234.24947280606958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376.32432344617206</v>
      </c>
      <c r="CZ179" s="62">
        <f t="shared" si="150"/>
        <v>302.77411534670466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9.1513005839017322E-2</v>
      </c>
      <c r="DG179" s="23">
        <f>EXP(-LN(2)/25)*DG178+(1-EXP(-LN(2)/25))/(LN(2)/25)*Calculateur!DB179*Calculateur!DD179*VLOOKUP('Données projet'!$B$13,Paramètres!$A$1:$I$89,3,0)*0.475*44/12</f>
        <v>6.4306442354821677E-2</v>
      </c>
      <c r="DH179" s="23">
        <f>EXP(-LN(2)/2)*DH178+(1-EXP(-LN(2)/2))/(LN(2)/2)*DB179*DE179*VLOOKUP('Données projet'!$B$13,Paramètres!$A$1:$I$89,3,0)*0.475*44/12</f>
        <v>7.1688094981288945E-23</v>
      </c>
      <c r="DI179" s="24">
        <f t="shared" si="175"/>
        <v>0.155819448193839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69.368060221075638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2.75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10.083333333333334</v>
      </c>
      <c r="H180" s="70">
        <f t="shared" si="110"/>
        <v>216.33333333333334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-5.9412741393316544E-14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338.33619350800484</v>
      </c>
      <c r="T180" s="62">
        <f t="shared" si="142"/>
        <v>173.80539144233424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1.9895196601282805E-13</v>
      </c>
      <c r="AJ180" s="14">
        <f>AI180*VLOOKUP('Données projet'!$B$10,Paramètres!$A$1:$I$89,3,0)*VLOOKUP('Données projet'!$B$10,Paramètres!$A$1:$I$89,5,0)</f>
        <v>1.8001173884840681E-13</v>
      </c>
      <c r="AK180" s="14">
        <f t="shared" si="164"/>
        <v>2.5254331426407198E-12</v>
      </c>
      <c r="AL180" s="22">
        <f t="shared" si="165"/>
        <v>4.7119831685935622E-12</v>
      </c>
      <c r="AM180" s="62">
        <f t="shared" si="113"/>
        <v>291.05641753259715</v>
      </c>
      <c r="AN180" s="62">
        <f ca="1">AVERAGE(OFFSET($AM$3,0,0,'Données projet'!$E$10+1,1))-AVERAGE(OFFSET($H$3,0,0,'Données projet'!$E$10+1,1))</f>
        <v>308.01218908312546</v>
      </c>
      <c r="AO180" s="62">
        <f t="shared" si="144"/>
        <v>433.94915035190684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0.24043958977713839</v>
      </c>
      <c r="AV180" s="23">
        <f>EXP(-LN(2)/25)*AV179+(1-EXP(-LN(2)/25))/(LN(2)/25)*Calculateur!AQ180*Calculateur!AS180*VLOOKUP('Données projet'!$B$10,Paramètres!$A$1:$I$89,3,0)*0.475*44/12</f>
        <v>0.13261873151652676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0.37305832129366512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-5.7639226724859328E-14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329.96352570744875</v>
      </c>
      <c r="BJ180" s="62">
        <f t="shared" si="146"/>
        <v>170.12252063636961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5.3205440053716299E-14</v>
      </c>
      <c r="CA180" s="14">
        <f t="shared" si="170"/>
        <v>8.602146238565607E-13</v>
      </c>
      <c r="CB180" s="22">
        <f t="shared" si="171"/>
        <v>1.590873277977066E-12</v>
      </c>
      <c r="CC180" s="62">
        <f t="shared" si="119"/>
        <v>291.05641753259403</v>
      </c>
      <c r="CD180" s="62">
        <f ca="1">AVERAGE(OFFSET($CC$3,0,0,'Données projet'!$E$12+1,1))-AVERAGE(OFFSET($H$3,0,0,'Données projet'!$E$12+1,1))</f>
        <v>276.21705775006376</v>
      </c>
      <c r="CE180" s="62">
        <f t="shared" si="148"/>
        <v>234.24947280606958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376.32432344617206</v>
      </c>
      <c r="CZ180" s="62">
        <f t="shared" si="150"/>
        <v>302.77411534670466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8.9718491611936235E-2</v>
      </c>
      <c r="DG180" s="23">
        <f>EXP(-LN(2)/25)*DG179+(1-EXP(-LN(2)/25))/(LN(2)/25)*Calculateur!DB180*Calculateur!DD180*VLOOKUP('Données projet'!$B$13,Paramètres!$A$1:$I$89,3,0)*0.475*44/12</f>
        <v>6.2547979306900245E-2</v>
      </c>
      <c r="DH180" s="23">
        <f>EXP(-LN(2)/2)*DH179+(1-EXP(-LN(2)/2))/(LN(2)/2)*DB180*DE180*VLOOKUP('Données projet'!$B$13,Paramètres!$A$1:$I$89,3,0)*0.475*44/12</f>
        <v>5.0691138091614719E-23</v>
      </c>
      <c r="DI180" s="24">
        <f t="shared" si="175"/>
        <v>0.15226647091883649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69.379022963434295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2.75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10.083333333333334</v>
      </c>
      <c r="H181" s="70">
        <f t="shared" si="110"/>
        <v>216.33333333333334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-5.9412741393316544E-14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338.33619350800484</v>
      </c>
      <c r="T181" s="62">
        <f t="shared" si="142"/>
        <v>173.80539144233424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1.9895196601282805E-13</v>
      </c>
      <c r="AJ181" s="14">
        <f>AI181*VLOOKUP('Données projet'!$B$10,Paramètres!$A$1:$I$89,3,0)*VLOOKUP('Données projet'!$B$10,Paramètres!$A$1:$I$89,5,0)</f>
        <v>1.8001173884840681E-13</v>
      </c>
      <c r="AK181" s="14">
        <f t="shared" si="164"/>
        <v>2.5254331426407198E-12</v>
      </c>
      <c r="AL181" s="22">
        <f t="shared" si="165"/>
        <v>4.7119831685935622E-12</v>
      </c>
      <c r="AM181" s="62">
        <f t="shared" si="113"/>
        <v>291.09591693131881</v>
      </c>
      <c r="AN181" s="62">
        <f ca="1">AVERAGE(OFFSET($AM$3,0,0,'Données projet'!$E$10+1,1))-AVERAGE(OFFSET($H$3,0,0,'Données projet'!$E$10+1,1))</f>
        <v>308.01218908312546</v>
      </c>
      <c r="AO181" s="62">
        <f t="shared" si="144"/>
        <v>433.94915035190684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0.23572471607527762</v>
      </c>
      <c r="AV181" s="23">
        <f>EXP(-LN(2)/25)*AV180+(1-EXP(-LN(2)/25))/(LN(2)/25)*Calculateur!AQ181*Calculateur!AS181*VLOOKUP('Données projet'!$B$10,Paramètres!$A$1:$I$89,3,0)*0.475*44/12</f>
        <v>0.12899226532909133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0.36471698140436892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-5.7639226724859328E-14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329.96352570744875</v>
      </c>
      <c r="BJ181" s="62">
        <f t="shared" si="146"/>
        <v>170.12252063636961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5.3205440053716299E-14</v>
      </c>
      <c r="CA181" s="14">
        <f t="shared" si="170"/>
        <v>8.602146238565607E-13</v>
      </c>
      <c r="CB181" s="22">
        <f t="shared" si="171"/>
        <v>1.590873277977066E-12</v>
      </c>
      <c r="CC181" s="62">
        <f t="shared" si="119"/>
        <v>291.09591693131568</v>
      </c>
      <c r="CD181" s="62">
        <f ca="1">AVERAGE(OFFSET($CC$3,0,0,'Données projet'!$E$12+1,1))-AVERAGE(OFFSET($H$3,0,0,'Données projet'!$E$12+1,1))</f>
        <v>276.21705775006376</v>
      </c>
      <c r="CE181" s="62">
        <f t="shared" si="148"/>
        <v>234.24947280606958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376.32432344617206</v>
      </c>
      <c r="CZ181" s="62">
        <f t="shared" si="150"/>
        <v>302.77411534670466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8.7959166714302608E-2</v>
      </c>
      <c r="DG181" s="23">
        <f>EXP(-LN(2)/25)*DG180+(1-EXP(-LN(2)/25))/(LN(2)/25)*Calculateur!DB181*Calculateur!DD181*VLOOKUP('Données projet'!$B$13,Paramètres!$A$1:$I$89,3,0)*0.475*44/12</f>
        <v>6.0837601523497778E-2</v>
      </c>
      <c r="DH181" s="23">
        <f>EXP(-LN(2)/2)*DH180+(1-EXP(-LN(2)/2))/(LN(2)/2)*DB181*DE181*VLOOKUP('Données projet'!$B$13,Paramètres!$A$1:$I$89,3,0)*0.475*44/12</f>
        <v>3.5844047490644473E-23</v>
      </c>
      <c r="DI181" s="24">
        <f t="shared" si="175"/>
        <v>0.14879676823780039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69.389795526722025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2.75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10.083333333333334</v>
      </c>
      <c r="H182" s="70">
        <f t="shared" si="110"/>
        <v>216.33333333333334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-5.9412741393316544E-14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338.33619350800484</v>
      </c>
      <c r="T182" s="62">
        <f t="shared" si="142"/>
        <v>173.80539144233424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1.9895196601282805E-13</v>
      </c>
      <c r="AJ182" s="14">
        <f>AI182*VLOOKUP('Données projet'!$B$10,Paramètres!$A$1:$I$89,3,0)*VLOOKUP('Données projet'!$B$10,Paramètres!$A$1:$I$89,5,0)</f>
        <v>1.8001173884840681E-13</v>
      </c>
      <c r="AK182" s="14">
        <f t="shared" si="164"/>
        <v>2.5254331426407198E-12</v>
      </c>
      <c r="AL182" s="22">
        <f t="shared" si="165"/>
        <v>4.7119831685935622E-12</v>
      </c>
      <c r="AM182" s="62">
        <f t="shared" si="113"/>
        <v>291.13473110378015</v>
      </c>
      <c r="AN182" s="62">
        <f ca="1">AVERAGE(OFFSET($AM$3,0,0,'Données projet'!$E$10+1,1))-AVERAGE(OFFSET($H$3,0,0,'Données projet'!$E$10+1,1))</f>
        <v>308.01218908312546</v>
      </c>
      <c r="AO182" s="62">
        <f t="shared" si="144"/>
        <v>433.94915035190684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0.23110229817092134</v>
      </c>
      <c r="AV182" s="23">
        <f>EXP(-LN(2)/25)*AV181+(1-EXP(-LN(2)/25))/(LN(2)/25)*Calculateur!AQ182*Calculateur!AS182*VLOOKUP('Données projet'!$B$10,Paramètres!$A$1:$I$89,3,0)*0.475*44/12</f>
        <v>0.12546496505025892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0.35656726322118026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-5.7639226724859328E-14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329.96352570744875</v>
      </c>
      <c r="BJ182" s="62">
        <f t="shared" si="146"/>
        <v>170.12252063636961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5.3205440053716299E-14</v>
      </c>
      <c r="CA182" s="14">
        <f t="shared" si="170"/>
        <v>8.602146238565607E-13</v>
      </c>
      <c r="CB182" s="22">
        <f t="shared" si="171"/>
        <v>1.590873277977066E-12</v>
      </c>
      <c r="CC182" s="62">
        <f t="shared" si="119"/>
        <v>291.13473110377703</v>
      </c>
      <c r="CD182" s="62">
        <f ca="1">AVERAGE(OFFSET($CC$3,0,0,'Données projet'!$E$12+1,1))-AVERAGE(OFFSET($H$3,0,0,'Données projet'!$E$12+1,1))</f>
        <v>276.21705775006376</v>
      </c>
      <c r="CE182" s="62">
        <f t="shared" si="148"/>
        <v>234.24947280606958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376.32432344617206</v>
      </c>
      <c r="CZ182" s="62">
        <f t="shared" si="150"/>
        <v>302.77411534670466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8.623434110482936E-2</v>
      </c>
      <c r="DG182" s="23">
        <f>EXP(-LN(2)/25)*DG181+(1-EXP(-LN(2)/25))/(LN(2)/25)*Calculateur!DB182*Calculateur!DD182*VLOOKUP('Données projet'!$B$13,Paramètres!$A$1:$I$89,3,0)*0.475*44/12</f>
        <v>5.917399411052731E-2</v>
      </c>
      <c r="DH182" s="23">
        <f>EXP(-LN(2)/2)*DH181+(1-EXP(-LN(2)/2))/(LN(2)/2)*DB182*DE182*VLOOKUP('Données projet'!$B$13,Paramètres!$A$1:$I$89,3,0)*0.475*44/12</f>
        <v>2.5345569045807359E-23</v>
      </c>
      <c r="DI182" s="24">
        <f t="shared" si="175"/>
        <v>0.14540833521535668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69.400381210120571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2.75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10.083333333333334</v>
      </c>
      <c r="H183" s="70">
        <f t="shared" si="110"/>
        <v>216.33333333333334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-5.9412741393316544E-14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338.33619350800484</v>
      </c>
      <c r="T183" s="62">
        <f t="shared" si="142"/>
        <v>173.80539144233424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1.9895196601282805E-13</v>
      </c>
      <c r="AJ183" s="14">
        <f>AI183*VLOOKUP('Données projet'!$B$10,Paramètres!$A$1:$I$89,3,0)*VLOOKUP('Données projet'!$B$10,Paramètres!$A$1:$I$89,5,0)</f>
        <v>1.8001173884840681E-13</v>
      </c>
      <c r="AK183" s="14">
        <f t="shared" si="164"/>
        <v>2.5254331426407198E-12</v>
      </c>
      <c r="AL183" s="22">
        <f t="shared" si="165"/>
        <v>4.7119831685935622E-12</v>
      </c>
      <c r="AM183" s="62">
        <f t="shared" si="113"/>
        <v>291.1728719371248</v>
      </c>
      <c r="AN183" s="62">
        <f ca="1">AVERAGE(OFFSET($AM$3,0,0,'Données projet'!$E$10+1,1))-AVERAGE(OFFSET($H$3,0,0,'Données projet'!$E$10+1,1))</f>
        <v>308.01218908312546</v>
      </c>
      <c r="AO183" s="62">
        <f t="shared" si="144"/>
        <v>433.94915035190684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0.22657052306227296</v>
      </c>
      <c r="AV183" s="23">
        <f>EXP(-LN(2)/25)*AV182+(1-EXP(-LN(2)/25))/(LN(2)/25)*Calculateur!AQ183*Calculateur!AS183*VLOOKUP('Données projet'!$B$10,Paramètres!$A$1:$I$89,3,0)*0.475*44/12</f>
        <v>0.12203411898304384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0.34860464204531683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-5.7639226724859328E-14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329.96352570744875</v>
      </c>
      <c r="BJ183" s="62">
        <f t="shared" si="146"/>
        <v>170.12252063636961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5.3205440053716299E-14</v>
      </c>
      <c r="CA183" s="14">
        <f t="shared" si="170"/>
        <v>8.602146238565607E-13</v>
      </c>
      <c r="CB183" s="22">
        <f t="shared" si="171"/>
        <v>1.590873277977066E-12</v>
      </c>
      <c r="CC183" s="62">
        <f t="shared" si="119"/>
        <v>291.17287193712167</v>
      </c>
      <c r="CD183" s="62">
        <f ca="1">AVERAGE(OFFSET($CC$3,0,0,'Données projet'!$E$12+1,1))-AVERAGE(OFFSET($H$3,0,0,'Données projet'!$E$12+1,1))</f>
        <v>276.21705775006376</v>
      </c>
      <c r="CE183" s="62">
        <f t="shared" si="148"/>
        <v>234.24947280606958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376.32432344617206</v>
      </c>
      <c r="CZ183" s="62">
        <f t="shared" si="150"/>
        <v>302.77411534670466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8.4543338273518134E-2</v>
      </c>
      <c r="DG183" s="23">
        <f>EXP(-LN(2)/25)*DG182+(1-EXP(-LN(2)/25))/(LN(2)/25)*Calculateur!DB183*Calculateur!DD183*VLOOKUP('Données projet'!$B$13,Paramètres!$A$1:$I$89,3,0)*0.475*44/12</f>
        <v>5.7555878129749834E-2</v>
      </c>
      <c r="DH183" s="23">
        <f>EXP(-LN(2)/2)*DH182+(1-EXP(-LN(2)/2))/(LN(2)/2)*DB183*DE183*VLOOKUP('Données projet'!$B$13,Paramètres!$A$1:$I$89,3,0)*0.475*44/12</f>
        <v>1.7922023745322236E-23</v>
      </c>
      <c r="DI183" s="24">
        <f t="shared" si="175"/>
        <v>0.14209921640326797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69.410783255578195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2.75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10.083333333333334</v>
      </c>
      <c r="H184" s="70">
        <f t="shared" si="110"/>
        <v>216.33333333333334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-5.9412741393316544E-14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338.33619350800484</v>
      </c>
      <c r="T184" s="62">
        <f t="shared" si="142"/>
        <v>173.80539144233424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1.9895196601282805E-13</v>
      </c>
      <c r="AJ184" s="14">
        <f>AI184*VLOOKUP('Données projet'!$B$10,Paramètres!$A$1:$I$89,3,0)*VLOOKUP('Données projet'!$B$10,Paramètres!$A$1:$I$89,5,0)</f>
        <v>1.8001173884840681E-13</v>
      </c>
      <c r="AK184" s="14">
        <f t="shared" si="164"/>
        <v>2.5254331426407198E-12</v>
      </c>
      <c r="AL184" s="22">
        <f t="shared" si="165"/>
        <v>4.7119831685935622E-12</v>
      </c>
      <c r="AM184" s="62">
        <f t="shared" si="113"/>
        <v>291.21035111228105</v>
      </c>
      <c r="AN184" s="62">
        <f ca="1">AVERAGE(OFFSET($AM$3,0,0,'Données projet'!$E$10+1,1))-AVERAGE(OFFSET($H$3,0,0,'Données projet'!$E$10+1,1))</f>
        <v>308.01218908312546</v>
      </c>
      <c r="AO184" s="62">
        <f t="shared" si="144"/>
        <v>433.94915035190684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0.22212761329939529</v>
      </c>
      <c r="AV184" s="23">
        <f>EXP(-LN(2)/25)*AV183+(1-EXP(-LN(2)/25))/(LN(2)/25)*Calculateur!AQ184*Calculateur!AS184*VLOOKUP('Données projet'!$B$10,Paramètres!$A$1:$I$89,3,0)*0.475*44/12</f>
        <v>0.1186970895819571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0.34082470288135236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-5.7639226724859328E-14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329.96352570744875</v>
      </c>
      <c r="BJ184" s="62">
        <f t="shared" si="146"/>
        <v>170.12252063636961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5.3205440053716299E-14</v>
      </c>
      <c r="CA184" s="14">
        <f t="shared" si="170"/>
        <v>8.602146238565607E-13</v>
      </c>
      <c r="CB184" s="22">
        <f t="shared" si="171"/>
        <v>1.590873277977066E-12</v>
      </c>
      <c r="CC184" s="62">
        <f t="shared" si="119"/>
        <v>291.21035111227792</v>
      </c>
      <c r="CD184" s="62">
        <f ca="1">AVERAGE(OFFSET($CC$3,0,0,'Données projet'!$E$12+1,1))-AVERAGE(OFFSET($H$3,0,0,'Données projet'!$E$12+1,1))</f>
        <v>276.21705775006376</v>
      </c>
      <c r="CE184" s="62">
        <f t="shared" si="148"/>
        <v>234.24947280606958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376.32432344617206</v>
      </c>
      <c r="CZ184" s="62">
        <f t="shared" si="150"/>
        <v>302.77411534670466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8.2885494976319044E-2</v>
      </c>
      <c r="DG184" s="23">
        <f>EXP(-LN(2)/25)*DG183+(1-EXP(-LN(2)/25))/(LN(2)/25)*Calculateur!DB184*Calculateur!DD184*VLOOKUP('Données projet'!$B$13,Paramètres!$A$1:$I$89,3,0)*0.475*44/12</f>
        <v>5.5982009615559741E-2</v>
      </c>
      <c r="DH184" s="23">
        <f>EXP(-LN(2)/2)*DH183+(1-EXP(-LN(2)/2))/(LN(2)/2)*DB184*DE184*VLOOKUP('Données projet'!$B$13,Paramètres!$A$1:$I$89,3,0)*0.475*44/12</f>
        <v>1.267278452290368E-23</v>
      </c>
      <c r="DI184" s="24">
        <f t="shared" si="175"/>
        <v>0.1388675045918788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69.421004848802625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2.75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10.083333333333334</v>
      </c>
      <c r="H185" s="70">
        <f t="shared" si="110"/>
        <v>216.33333333333334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-5.9412741393316544E-14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338.33619350800484</v>
      </c>
      <c r="T185" s="62">
        <f t="shared" si="142"/>
        <v>173.80539144233424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1.9895196601282805E-13</v>
      </c>
      <c r="AJ185" s="14">
        <f>AI185*VLOOKUP('Données projet'!$B$10,Paramètres!$A$1:$I$89,3,0)*VLOOKUP('Données projet'!$B$10,Paramètres!$A$1:$I$89,5,0)</f>
        <v>1.8001173884840681E-13</v>
      </c>
      <c r="AK185" s="14">
        <f t="shared" si="164"/>
        <v>2.5254331426407198E-12</v>
      </c>
      <c r="AL185" s="22">
        <f t="shared" si="165"/>
        <v>4.7119831685935622E-12</v>
      </c>
      <c r="AM185" s="62">
        <f t="shared" si="113"/>
        <v>291.24718010753918</v>
      </c>
      <c r="AN185" s="62">
        <f ca="1">AVERAGE(OFFSET($AM$3,0,0,'Données projet'!$E$10+1,1))-AVERAGE(OFFSET($H$3,0,0,'Données projet'!$E$10+1,1))</f>
        <v>308.01218908312546</v>
      </c>
      <c r="AO185" s="62">
        <f t="shared" si="144"/>
        <v>433.94915035190684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0.21777182628706027</v>
      </c>
      <c r="AV185" s="23">
        <f>EXP(-LN(2)/25)*AV184+(1-EXP(-LN(2)/25))/(LN(2)/25)*Calculateur!AQ185*Calculateur!AS185*VLOOKUP('Données projet'!$B$10,Paramètres!$A$1:$I$89,3,0)*0.475*44/12</f>
        <v>0.11545131142532983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0.33322313771239009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-5.7639226724859328E-14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329.96352570744875</v>
      </c>
      <c r="BJ185" s="62">
        <f t="shared" si="146"/>
        <v>170.12252063636961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5.3205440053716299E-14</v>
      </c>
      <c r="CA185" s="14">
        <f t="shared" si="170"/>
        <v>8.602146238565607E-13</v>
      </c>
      <c r="CB185" s="22">
        <f t="shared" si="171"/>
        <v>1.590873277977066E-12</v>
      </c>
      <c r="CC185" s="62">
        <f t="shared" si="119"/>
        <v>291.24718010753605</v>
      </c>
      <c r="CD185" s="62">
        <f ca="1">AVERAGE(OFFSET($CC$3,0,0,'Données projet'!$E$12+1,1))-AVERAGE(OFFSET($H$3,0,0,'Données projet'!$E$12+1,1))</f>
        <v>276.21705775006376</v>
      </c>
      <c r="CE185" s="62">
        <f t="shared" si="148"/>
        <v>234.24947280606958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376.32432344617206</v>
      </c>
      <c r="CZ185" s="62">
        <f t="shared" si="150"/>
        <v>302.77411534670466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8.1260160974993459E-2</v>
      </c>
      <c r="DG185" s="23">
        <f>EXP(-LN(2)/25)*DG184+(1-EXP(-LN(2)/25))/(LN(2)/25)*Calculateur!DB185*Calculateur!DD185*VLOOKUP('Données projet'!$B$13,Paramètres!$A$1:$I$89,3,0)*0.475*44/12</f>
        <v>5.4451178618656323E-2</v>
      </c>
      <c r="DH185" s="23">
        <f>EXP(-LN(2)/2)*DH184+(1-EXP(-LN(2)/2))/(LN(2)/2)*DB185*DE185*VLOOKUP('Données projet'!$B$13,Paramètres!$A$1:$I$89,3,0)*0.475*44/12</f>
        <v>8.9610118726611181E-24</v>
      </c>
      <c r="DI185" s="24">
        <f t="shared" si="175"/>
        <v>0.13571133959364978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69.431049120236665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2.75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10.083333333333334</v>
      </c>
      <c r="H186" s="70">
        <f t="shared" si="110"/>
        <v>216.33333333333334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-5.9412741393316544E-14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338.33619350800484</v>
      </c>
      <c r="T186" s="62">
        <f t="shared" si="142"/>
        <v>173.80539144233424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1.9895196601282805E-13</v>
      </c>
      <c r="AJ186" s="14">
        <f>AI186*VLOOKUP('Données projet'!$B$10,Paramètres!$A$1:$I$89,3,0)*VLOOKUP('Données projet'!$B$10,Paramètres!$A$1:$I$89,5,0)</f>
        <v>1.8001173884840681E-13</v>
      </c>
      <c r="AK186" s="14">
        <f t="shared" si="164"/>
        <v>2.5254331426407198E-12</v>
      </c>
      <c r="AL186" s="22">
        <f t="shared" si="165"/>
        <v>4.7119831685935622E-12</v>
      </c>
      <c r="AM186" s="62">
        <f t="shared" si="113"/>
        <v>291.28337020206681</v>
      </c>
      <c r="AN186" s="62">
        <f ca="1">AVERAGE(OFFSET($AM$3,0,0,'Données projet'!$E$10+1,1))-AVERAGE(OFFSET($H$3,0,0,'Données projet'!$E$10+1,1))</f>
        <v>308.01218908312546</v>
      </c>
      <c r="AO186" s="62">
        <f t="shared" si="144"/>
        <v>433.94915035190684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0.2135014536012694</v>
      </c>
      <c r="AV186" s="23">
        <f>EXP(-LN(2)/25)*AV185+(1-EXP(-LN(2)/25))/(LN(2)/25)*Calculateur!AQ186*Calculateur!AS186*VLOOKUP('Données projet'!$B$10,Paramètres!$A$1:$I$89,3,0)*0.475*44/12</f>
        <v>0.11229428924308359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0.32579574284435298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-5.7639226724859328E-14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329.96352570744875</v>
      </c>
      <c r="BJ186" s="62">
        <f t="shared" si="146"/>
        <v>170.12252063636961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5.3205440053716299E-14</v>
      </c>
      <c r="CA186" s="14">
        <f t="shared" si="170"/>
        <v>8.602146238565607E-13</v>
      </c>
      <c r="CB186" s="22">
        <f t="shared" si="171"/>
        <v>1.590873277977066E-12</v>
      </c>
      <c r="CC186" s="62">
        <f t="shared" si="119"/>
        <v>291.28337020206368</v>
      </c>
      <c r="CD186" s="62">
        <f ca="1">AVERAGE(OFFSET($CC$3,0,0,'Données projet'!$E$12+1,1))-AVERAGE(OFFSET($H$3,0,0,'Données projet'!$E$12+1,1))</f>
        <v>276.21705775006376</v>
      </c>
      <c r="CE186" s="62">
        <f t="shared" si="148"/>
        <v>234.24947280606958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376.32432344617206</v>
      </c>
      <c r="CZ186" s="62">
        <f t="shared" si="150"/>
        <v>302.77411534670466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7.9666698782078008E-2</v>
      </c>
      <c r="DG186" s="23">
        <f>EXP(-LN(2)/25)*DG185+(1-EXP(-LN(2)/25))/(LN(2)/25)*Calculateur!DB186*Calculateur!DD186*VLOOKUP('Données projet'!$B$13,Paramètres!$A$1:$I$89,3,0)*0.475*44/12</f>
        <v>5.2962208275866132E-2</v>
      </c>
      <c r="DH186" s="23">
        <f>EXP(-LN(2)/2)*DH185+(1-EXP(-LN(2)/2))/(LN(2)/2)*DB186*DE186*VLOOKUP('Données projet'!$B$13,Paramètres!$A$1:$I$89,3,0)*0.475*44/12</f>
        <v>6.3363922614518398E-24</v>
      </c>
      <c r="DI186" s="24">
        <f t="shared" si="175"/>
        <v>0.13262890705794414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69.440919146016938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2.75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10.083333333333334</v>
      </c>
      <c r="H187" s="70">
        <f t="shared" si="110"/>
        <v>216.33333333333334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-5.9412741393316544E-14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338.33619350800484</v>
      </c>
      <c r="T187" s="62">
        <f t="shared" si="142"/>
        <v>173.80539144233424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1.9895196601282805E-13</v>
      </c>
      <c r="AJ187" s="14">
        <f>AI187*VLOOKUP('Données projet'!$B$10,Paramètres!$A$1:$I$89,3,0)*VLOOKUP('Données projet'!$B$10,Paramètres!$A$1:$I$89,5,0)</f>
        <v>1.8001173884840681E-13</v>
      </c>
      <c r="AK187" s="14">
        <f t="shared" si="164"/>
        <v>2.5254331426407198E-12</v>
      </c>
      <c r="AL187" s="22">
        <f t="shared" si="165"/>
        <v>4.7119831685935622E-12</v>
      </c>
      <c r="AM187" s="62">
        <f t="shared" si="113"/>
        <v>291.31893247936341</v>
      </c>
      <c r="AN187" s="62">
        <f ca="1">AVERAGE(OFFSET($AM$3,0,0,'Données projet'!$E$10+1,1))-AVERAGE(OFFSET($H$3,0,0,'Données projet'!$E$10+1,1))</f>
        <v>308.01218908312546</v>
      </c>
      <c r="AO187" s="62">
        <f t="shared" si="144"/>
        <v>433.94915035190684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0.20931482031917675</v>
      </c>
      <c r="AV187" s="23">
        <f>EXP(-LN(2)/25)*AV186+(1-EXP(-LN(2)/25))/(LN(2)/25)*Calculateur!AQ187*Calculateur!AS187*VLOOKUP('Données projet'!$B$10,Paramètres!$A$1:$I$89,3,0)*0.475*44/12</f>
        <v>0.10922359599843144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0.31853841631760821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-5.7639226724859328E-14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329.96352570744875</v>
      </c>
      <c r="BJ187" s="62">
        <f t="shared" si="146"/>
        <v>170.12252063636961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5.3205440053716299E-14</v>
      </c>
      <c r="CA187" s="14">
        <f t="shared" si="170"/>
        <v>8.602146238565607E-13</v>
      </c>
      <c r="CB187" s="22">
        <f t="shared" si="171"/>
        <v>1.590873277977066E-12</v>
      </c>
      <c r="CC187" s="62">
        <f t="shared" si="119"/>
        <v>291.31893247936029</v>
      </c>
      <c r="CD187" s="62">
        <f ca="1">AVERAGE(OFFSET($CC$3,0,0,'Données projet'!$E$12+1,1))-AVERAGE(OFFSET($H$3,0,0,'Données projet'!$E$12+1,1))</f>
        <v>276.21705775006376</v>
      </c>
      <c r="CE187" s="62">
        <f t="shared" si="148"/>
        <v>234.24947280606958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376.32432344617206</v>
      </c>
      <c r="CZ187" s="62">
        <f t="shared" si="150"/>
        <v>302.77411534670466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7.8104483410849662E-2</v>
      </c>
      <c r="DG187" s="23">
        <f>EXP(-LN(2)/25)*DG186+(1-EXP(-LN(2)/25))/(LN(2)/25)*Calculateur!DB187*Calculateur!DD187*VLOOKUP('Données projet'!$B$13,Paramètres!$A$1:$I$89,3,0)*0.475*44/12</f>
        <v>5.1513953905401089E-2</v>
      </c>
      <c r="DH187" s="23">
        <f>EXP(-LN(2)/2)*DH186+(1-EXP(-LN(2)/2))/(LN(2)/2)*DB187*DE187*VLOOKUP('Données projet'!$B$13,Paramètres!$A$1:$I$89,3,0)*0.475*44/12</f>
        <v>4.4805059363305591E-24</v>
      </c>
      <c r="DI187" s="24">
        <f t="shared" si="175"/>
        <v>0.12961843731625075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69.450617948916005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2.75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10.083333333333334</v>
      </c>
      <c r="H188" s="70">
        <f t="shared" si="110"/>
        <v>216.33333333333334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-5.9412741393316544E-14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338.33619350800484</v>
      </c>
      <c r="T188" s="62">
        <f t="shared" si="142"/>
        <v>173.80539144233424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1.9895196601282805E-13</v>
      </c>
      <c r="AJ188" s="14">
        <f>AI188*VLOOKUP('Données projet'!$B$10,Paramètres!$A$1:$I$89,3,0)*VLOOKUP('Données projet'!$B$10,Paramètres!$A$1:$I$89,5,0)</f>
        <v>1.8001173884840681E-13</v>
      </c>
      <c r="AK188" s="14">
        <f t="shared" si="164"/>
        <v>2.5254331426407198E-12</v>
      </c>
      <c r="AL188" s="22">
        <f t="shared" si="165"/>
        <v>4.7119831685935622E-12</v>
      </c>
      <c r="AM188" s="62">
        <f t="shared" si="113"/>
        <v>291.35387783065426</v>
      </c>
      <c r="AN188" s="62">
        <f ca="1">AVERAGE(OFFSET($AM$3,0,0,'Données projet'!$E$10+1,1))-AVERAGE(OFFSET($H$3,0,0,'Données projet'!$E$10+1,1))</f>
        <v>308.01218908312546</v>
      </c>
      <c r="AO188" s="62">
        <f t="shared" si="144"/>
        <v>433.94915035190684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0.20521028436215177</v>
      </c>
      <c r="AV188" s="23">
        <f>EXP(-LN(2)/25)*AV187+(1-EXP(-LN(2)/25))/(LN(2)/25)*Calculateur!AQ188*Calculateur!AS188*VLOOKUP('Données projet'!$B$10,Paramètres!$A$1:$I$89,3,0)*0.475*44/12</f>
        <v>0.10623687102203505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0.31144715538418682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-5.7639226724859328E-14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329.96352570744875</v>
      </c>
      <c r="BJ188" s="62">
        <f t="shared" si="146"/>
        <v>170.12252063636961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5.3205440053716299E-14</v>
      </c>
      <c r="CA188" s="14">
        <f t="shared" si="170"/>
        <v>8.602146238565607E-13</v>
      </c>
      <c r="CB188" s="22">
        <f t="shared" si="171"/>
        <v>1.590873277977066E-12</v>
      </c>
      <c r="CC188" s="62">
        <f t="shared" si="119"/>
        <v>291.35387783065113</v>
      </c>
      <c r="CD188" s="62">
        <f ca="1">AVERAGE(OFFSET($CC$3,0,0,'Données projet'!$E$12+1,1))-AVERAGE(OFFSET($H$3,0,0,'Données projet'!$E$12+1,1))</f>
        <v>276.21705775006376</v>
      </c>
      <c r="CE188" s="62">
        <f t="shared" si="148"/>
        <v>234.24947280606958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376.32432344617206</v>
      </c>
      <c r="CZ188" s="62">
        <f t="shared" si="150"/>
        <v>302.77411534670466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7.6572902130193812E-2</v>
      </c>
      <c r="DG188" s="23">
        <f>EXP(-LN(2)/25)*DG187+(1-EXP(-LN(2)/25))/(LN(2)/25)*Calculateur!DB188*Calculateur!DD188*VLOOKUP('Données projet'!$B$13,Paramètres!$A$1:$I$89,3,0)*0.475*44/12</f>
        <v>5.0105302126856793E-2</v>
      </c>
      <c r="DH188" s="23">
        <f>EXP(-LN(2)/2)*DH187+(1-EXP(-LN(2)/2))/(LN(2)/2)*DB188*DE188*VLOOKUP('Données projet'!$B$13,Paramètres!$A$1:$I$89,3,0)*0.475*44/12</f>
        <v>3.1681961307259199E-24</v>
      </c>
      <c r="DI188" s="24">
        <f t="shared" si="175"/>
        <v>0.12667820425705062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69.460148499268058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2.75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10.083333333333334</v>
      </c>
      <c r="H189" s="70">
        <f t="shared" si="110"/>
        <v>216.33333333333334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-5.9412741393316544E-14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338.33619350800484</v>
      </c>
      <c r="T189" s="62">
        <f t="shared" si="142"/>
        <v>173.80539144233424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1.9895196601282805E-13</v>
      </c>
      <c r="AJ189" s="14">
        <f>AI189*VLOOKUP('Données projet'!$B$10,Paramètres!$A$1:$I$89,3,0)*VLOOKUP('Données projet'!$B$10,Paramètres!$A$1:$I$89,5,0)</f>
        <v>1.8001173884840681E-13</v>
      </c>
      <c r="AK189" s="14">
        <f t="shared" si="164"/>
        <v>2.5254331426407198E-12</v>
      </c>
      <c r="AL189" s="22">
        <f t="shared" si="165"/>
        <v>4.7119831685935622E-12</v>
      </c>
      <c r="AM189" s="62">
        <f t="shared" si="113"/>
        <v>291.38821695822628</v>
      </c>
      <c r="AN189" s="62">
        <f ca="1">AVERAGE(OFFSET($AM$3,0,0,'Données projet'!$E$10+1,1))-AVERAGE(OFFSET($H$3,0,0,'Données projet'!$E$10+1,1))</f>
        <v>308.01218908312546</v>
      </c>
      <c r="AO189" s="62">
        <f t="shared" si="144"/>
        <v>433.94915035190684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0.20118623585172432</v>
      </c>
      <c r="AV189" s="23">
        <f>EXP(-LN(2)/25)*AV188+(1-EXP(-LN(2)/25))/(LN(2)/25)*Calculateur!AQ189*Calculateur!AS189*VLOOKUP('Données projet'!$B$10,Paramètres!$A$1:$I$89,3,0)*0.475*44/12</f>
        <v>0.10333181819718326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0.30451805404890758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-5.7639226724859328E-14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329.96352570744875</v>
      </c>
      <c r="BJ189" s="62">
        <f t="shared" si="146"/>
        <v>170.12252063636961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5.3205440053716299E-14</v>
      </c>
      <c r="CA189" s="14">
        <f t="shared" si="170"/>
        <v>8.602146238565607E-13</v>
      </c>
      <c r="CB189" s="22">
        <f t="shared" si="171"/>
        <v>1.590873277977066E-12</v>
      </c>
      <c r="CC189" s="62">
        <f t="shared" si="119"/>
        <v>291.38821695822315</v>
      </c>
      <c r="CD189" s="62">
        <f ca="1">AVERAGE(OFFSET($CC$3,0,0,'Données projet'!$E$12+1,1))-AVERAGE(OFFSET($H$3,0,0,'Données projet'!$E$12+1,1))</f>
        <v>276.21705775006376</v>
      </c>
      <c r="CE189" s="62">
        <f t="shared" si="148"/>
        <v>234.24947280606958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376.32432344617206</v>
      </c>
      <c r="CZ189" s="62">
        <f t="shared" si="150"/>
        <v>302.77411534670466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7.5071354224279283E-2</v>
      </c>
      <c r="DG189" s="23">
        <f>EXP(-LN(2)/25)*DG188+(1-EXP(-LN(2)/25))/(LN(2)/25)*Calculateur!DB189*Calculateur!DD189*VLOOKUP('Données projet'!$B$13,Paramètres!$A$1:$I$89,3,0)*0.475*44/12</f>
        <v>4.8735170005274574E-2</v>
      </c>
      <c r="DH189" s="23">
        <f>EXP(-LN(2)/2)*DH188+(1-EXP(-LN(2)/2))/(LN(2)/2)*DB189*DE189*VLOOKUP('Données projet'!$B$13,Paramètres!$A$1:$I$89,3,0)*0.475*44/12</f>
        <v>2.2402529681652795E-24</v>
      </c>
      <c r="DI189" s="24">
        <f t="shared" si="175"/>
        <v>0.12380652422955385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69.469513715878605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2.75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10.083333333333334</v>
      </c>
      <c r="H190" s="70">
        <f t="shared" si="110"/>
        <v>216.33333333333334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-5.9412741393316544E-14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338.33619350800484</v>
      </c>
      <c r="T190" s="62">
        <f t="shared" si="142"/>
        <v>173.80539144233424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1.9895196601282805E-13</v>
      </c>
      <c r="AJ190" s="14">
        <f>AI190*VLOOKUP('Données projet'!$B$10,Paramètres!$A$1:$I$89,3,0)*VLOOKUP('Données projet'!$B$10,Paramètres!$A$1:$I$89,5,0)</f>
        <v>1.8001173884840681E-13</v>
      </c>
      <c r="AK190" s="14">
        <f t="shared" si="164"/>
        <v>2.5254331426407198E-12</v>
      </c>
      <c r="AL190" s="22">
        <f t="shared" si="165"/>
        <v>4.7119831685935622E-12</v>
      </c>
      <c r="AM190" s="62">
        <f t="shared" si="113"/>
        <v>291.42196037870571</v>
      </c>
      <c r="AN190" s="62">
        <f ca="1">AVERAGE(OFFSET($AM$3,0,0,'Données projet'!$E$10+1,1))-AVERAGE(OFFSET($H$3,0,0,'Données projet'!$E$10+1,1))</f>
        <v>308.01218908312546</v>
      </c>
      <c r="AO190" s="62">
        <f t="shared" si="144"/>
        <v>433.94915035190684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0.19724109647815913</v>
      </c>
      <c r="AV190" s="23">
        <f>EXP(-LN(2)/25)*AV189+(1-EXP(-LN(2)/25))/(LN(2)/25)*Calculateur!AQ190*Calculateur!AS190*VLOOKUP('Données projet'!$B$10,Paramètres!$A$1:$I$89,3,0)*0.475*44/12</f>
        <v>0.10050620419459713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0.29774730067275623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-5.7639226724859328E-14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329.96352570744875</v>
      </c>
      <c r="BJ190" s="62">
        <f t="shared" si="146"/>
        <v>170.12252063636961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5.3205440053716299E-14</v>
      </c>
      <c r="CA190" s="14">
        <f t="shared" si="170"/>
        <v>8.602146238565607E-13</v>
      </c>
      <c r="CB190" s="22">
        <f t="shared" si="171"/>
        <v>1.590873277977066E-12</v>
      </c>
      <c r="CC190" s="62">
        <f t="shared" si="119"/>
        <v>291.42196037870258</v>
      </c>
      <c r="CD190" s="62">
        <f ca="1">AVERAGE(OFFSET($CC$3,0,0,'Données projet'!$E$12+1,1))-AVERAGE(OFFSET($H$3,0,0,'Données projet'!$E$12+1,1))</f>
        <v>276.21705775006376</v>
      </c>
      <c r="CE190" s="62">
        <f t="shared" si="148"/>
        <v>234.24947280606958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376.32432344617206</v>
      </c>
      <c r="CZ190" s="62">
        <f t="shared" si="150"/>
        <v>302.77411534670466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7.3599250756945955E-2</v>
      </c>
      <c r="DG190" s="23">
        <f>EXP(-LN(2)/25)*DG189+(1-EXP(-LN(2)/25))/(LN(2)/25)*Calculateur!DB190*Calculateur!DD190*VLOOKUP('Données projet'!$B$13,Paramètres!$A$1:$I$89,3,0)*0.475*44/12</f>
        <v>4.7402504218609136E-2</v>
      </c>
      <c r="DH190" s="23">
        <f>EXP(-LN(2)/2)*DH189+(1-EXP(-LN(2)/2))/(LN(2)/2)*DB190*DE190*VLOOKUP('Données projet'!$B$13,Paramètres!$A$1:$I$89,3,0)*0.475*44/12</f>
        <v>1.58409806536296E-24</v>
      </c>
      <c r="DI190" s="24">
        <f t="shared" si="175"/>
        <v>0.1210017549755551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69.478716466918456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2.75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10.083333333333334</v>
      </c>
      <c r="H191" s="70">
        <f t="shared" si="110"/>
        <v>216.33333333333334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-5.9412741393316544E-14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338.33619350800484</v>
      </c>
      <c r="T191" s="62">
        <f t="shared" si="142"/>
        <v>173.80539144233424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1.9895196601282805E-13</v>
      </c>
      <c r="AJ191" s="14">
        <f>AI191*VLOOKUP('Données projet'!$B$10,Paramètres!$A$1:$I$89,3,0)*VLOOKUP('Données projet'!$B$10,Paramètres!$A$1:$I$89,5,0)</f>
        <v>1.8001173884840681E-13</v>
      </c>
      <c r="AK191" s="14">
        <f t="shared" si="164"/>
        <v>2.5254331426407198E-12</v>
      </c>
      <c r="AL191" s="22">
        <f t="shared" si="165"/>
        <v>4.7119831685935622E-12</v>
      </c>
      <c r="AM191" s="62">
        <f t="shared" si="113"/>
        <v>291.45511842627889</v>
      </c>
      <c r="AN191" s="62">
        <f ca="1">AVERAGE(OFFSET($AM$3,0,0,'Données projet'!$E$10+1,1))-AVERAGE(OFFSET($H$3,0,0,'Données projet'!$E$10+1,1))</f>
        <v>308.01218908312546</v>
      </c>
      <c r="AO191" s="62">
        <f t="shared" si="144"/>
        <v>433.94915035190684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0.19337331888141213</v>
      </c>
      <c r="AV191" s="23">
        <f>EXP(-LN(2)/25)*AV190+(1-EXP(-LN(2)/25))/(LN(2)/25)*Calculateur!AQ191*Calculateur!AS191*VLOOKUP('Données projet'!$B$10,Paramètres!$A$1:$I$89,3,0)*0.475*44/12</f>
        <v>9.7757856755504302E-2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0.29113117563691643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-5.7639226724859328E-14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329.96352570744875</v>
      </c>
      <c r="BJ191" s="62">
        <f t="shared" si="146"/>
        <v>170.12252063636961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5.3205440053716299E-14</v>
      </c>
      <c r="CA191" s="14">
        <f t="shared" si="170"/>
        <v>8.602146238565607E-13</v>
      </c>
      <c r="CB191" s="22">
        <f t="shared" si="171"/>
        <v>1.590873277977066E-12</v>
      </c>
      <c r="CC191" s="62">
        <f t="shared" si="119"/>
        <v>291.45511842627576</v>
      </c>
      <c r="CD191" s="62">
        <f ca="1">AVERAGE(OFFSET($CC$3,0,0,'Données projet'!$E$12+1,1))-AVERAGE(OFFSET($H$3,0,0,'Données projet'!$E$12+1,1))</f>
        <v>276.21705775006376</v>
      </c>
      <c r="CE191" s="62">
        <f t="shared" si="148"/>
        <v>234.24947280606958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376.32432344617206</v>
      </c>
      <c r="CZ191" s="62">
        <f t="shared" si="150"/>
        <v>302.77411534670466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7.2156014340712574E-2</v>
      </c>
      <c r="DG191" s="23">
        <f>EXP(-LN(2)/25)*DG190+(1-EXP(-LN(2)/25))/(LN(2)/25)*Calculateur!DB191*Calculateur!DD191*VLOOKUP('Données projet'!$B$13,Paramètres!$A$1:$I$89,3,0)*0.475*44/12</f>
        <v>4.6106280247961914E-2</v>
      </c>
      <c r="DH191" s="23">
        <f>EXP(-LN(2)/2)*DH190+(1-EXP(-LN(2)/2))/(LN(2)/2)*DB191*DE191*VLOOKUP('Données projet'!$B$13,Paramètres!$A$1:$I$89,3,0)*0.475*44/12</f>
        <v>1.1201264840826398E-24</v>
      </c>
      <c r="DI191" s="24">
        <f t="shared" si="175"/>
        <v>0.11826229458867449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69.487759570802041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2.75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10.083333333333334</v>
      </c>
      <c r="H192" s="70">
        <f t="shared" si="110"/>
        <v>216.33333333333334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-5.9412741393316544E-14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338.33619350800484</v>
      </c>
      <c r="T192" s="62">
        <f t="shared" si="142"/>
        <v>173.80539144233424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1.9895196601282805E-13</v>
      </c>
      <c r="AJ192" s="14">
        <f>AI192*VLOOKUP('Données projet'!$B$10,Paramètres!$A$1:$I$89,3,0)*VLOOKUP('Données projet'!$B$10,Paramètres!$A$1:$I$89,5,0)</f>
        <v>1.8001173884840681E-13</v>
      </c>
      <c r="AK192" s="14">
        <f t="shared" si="164"/>
        <v>2.5254331426407198E-12</v>
      </c>
      <c r="AL192" s="22">
        <f t="shared" si="165"/>
        <v>4.7119831685935622E-12</v>
      </c>
      <c r="AM192" s="62">
        <f t="shared" si="113"/>
        <v>291.48770125585679</v>
      </c>
      <c r="AN192" s="62">
        <f ca="1">AVERAGE(OFFSET($AM$3,0,0,'Données projet'!$E$10+1,1))-AVERAGE(OFFSET($H$3,0,0,'Données projet'!$E$10+1,1))</f>
        <v>308.01218908312546</v>
      </c>
      <c r="AO192" s="62">
        <f t="shared" si="144"/>
        <v>433.94915035190684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0.18958138604422595</v>
      </c>
      <c r="AV192" s="23">
        <f>EXP(-LN(2)/25)*AV191+(1-EXP(-LN(2)/25))/(LN(2)/25)*Calculateur!AQ192*Calculateur!AS192*VLOOKUP('Données projet'!$B$10,Paramètres!$A$1:$I$89,3,0)*0.475*44/12</f>
        <v>9.5084663021662783E-2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0.28466604906588872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-5.7639226724859328E-14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329.96352570744875</v>
      </c>
      <c r="BJ192" s="62">
        <f t="shared" si="146"/>
        <v>170.12252063636961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5.3205440053716299E-14</v>
      </c>
      <c r="CA192" s="14">
        <f t="shared" si="170"/>
        <v>8.602146238565607E-13</v>
      </c>
      <c r="CB192" s="22">
        <f t="shared" si="171"/>
        <v>1.590873277977066E-12</v>
      </c>
      <c r="CC192" s="62">
        <f t="shared" si="119"/>
        <v>291.48770125585366</v>
      </c>
      <c r="CD192" s="62">
        <f ca="1">AVERAGE(OFFSET($CC$3,0,0,'Données projet'!$E$12+1,1))-AVERAGE(OFFSET($H$3,0,0,'Données projet'!$E$12+1,1))</f>
        <v>276.21705775006376</v>
      </c>
      <c r="CE192" s="62">
        <f t="shared" si="148"/>
        <v>234.24947280606958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376.32432344617206</v>
      </c>
      <c r="CZ192" s="62">
        <f t="shared" si="150"/>
        <v>302.77411534670466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7.074107891031424E-2</v>
      </c>
      <c r="DG192" s="23">
        <f>EXP(-LN(2)/25)*DG191+(1-EXP(-LN(2)/25))/(LN(2)/25)*Calculateur!DB192*Calculateur!DD192*VLOOKUP('Données projet'!$B$13,Paramètres!$A$1:$I$89,3,0)*0.475*44/12</f>
        <v>4.4845501589957495E-2</v>
      </c>
      <c r="DH192" s="23">
        <f>EXP(-LN(2)/2)*DH191+(1-EXP(-LN(2)/2))/(LN(2)/2)*DB192*DE192*VLOOKUP('Données projet'!$B$13,Paramètres!$A$1:$I$89,3,0)*0.475*44/12</f>
        <v>7.9204903268147998E-25</v>
      </c>
      <c r="DI192" s="24">
        <f t="shared" si="175"/>
        <v>0.11558658050027174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69.496645797050576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2.75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10.083333333333334</v>
      </c>
      <c r="H193" s="70">
        <f t="shared" si="110"/>
        <v>216.33333333333334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-5.9412741393316544E-14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338.33619350800484</v>
      </c>
      <c r="T193" s="62">
        <f t="shared" si="142"/>
        <v>173.80539144233424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1.9895196601282805E-13</v>
      </c>
      <c r="AJ193" s="14">
        <f>AI193*VLOOKUP('Données projet'!$B$10,Paramètres!$A$1:$I$89,3,0)*VLOOKUP('Données projet'!$B$10,Paramètres!$A$1:$I$89,5,0)</f>
        <v>1.8001173884840681E-13</v>
      </c>
      <c r="AK193" s="14">
        <f t="shared" si="164"/>
        <v>2.5254331426407198E-12</v>
      </c>
      <c r="AL193" s="22">
        <f t="shared" si="165"/>
        <v>4.7119831685935622E-12</v>
      </c>
      <c r="AM193" s="62">
        <f t="shared" si="113"/>
        <v>291.51971884618592</v>
      </c>
      <c r="AN193" s="62">
        <f ca="1">AVERAGE(OFFSET($AM$3,0,0,'Données projet'!$E$10+1,1))-AVERAGE(OFFSET($H$3,0,0,'Données projet'!$E$10+1,1))</f>
        <v>308.01218908312546</v>
      </c>
      <c r="AO193" s="62">
        <f t="shared" si="144"/>
        <v>433.94915035190684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0.18586381069712632</v>
      </c>
      <c r="AV193" s="23">
        <f>EXP(-LN(2)/25)*AV192+(1-EXP(-LN(2)/25))/(LN(2)/25)*Calculateur!AQ193*Calculateur!AS193*VLOOKUP('Données projet'!$B$10,Paramètres!$A$1:$I$89,3,0)*0.475*44/12</f>
        <v>9.2484567911050308E-2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0.27834837860817663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-5.7639226724859328E-14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329.96352570744875</v>
      </c>
      <c r="BJ193" s="62">
        <f t="shared" si="146"/>
        <v>170.12252063636961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5.3205440053716299E-14</v>
      </c>
      <c r="CA193" s="14">
        <f t="shared" si="170"/>
        <v>8.602146238565607E-13</v>
      </c>
      <c r="CB193" s="22">
        <f t="shared" si="171"/>
        <v>1.590873277977066E-12</v>
      </c>
      <c r="CC193" s="62">
        <f t="shared" si="119"/>
        <v>291.5197188461828</v>
      </c>
      <c r="CD193" s="62">
        <f ca="1">AVERAGE(OFFSET($CC$3,0,0,'Données projet'!$E$12+1,1))-AVERAGE(OFFSET($H$3,0,0,'Données projet'!$E$12+1,1))</f>
        <v>276.21705775006376</v>
      </c>
      <c r="CE193" s="62">
        <f t="shared" si="148"/>
        <v>234.24947280606958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376.32432344617206</v>
      </c>
      <c r="CZ193" s="62">
        <f t="shared" si="150"/>
        <v>302.77411534670466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6.9353889500680624E-2</v>
      </c>
      <c r="DG193" s="23">
        <f>EXP(-LN(2)/25)*DG192+(1-EXP(-LN(2)/25))/(LN(2)/25)*Calculateur!DB193*Calculateur!DD193*VLOOKUP('Données projet'!$B$13,Paramètres!$A$1:$I$89,3,0)*0.475*44/12</f>
        <v>4.3619198990657672E-2</v>
      </c>
      <c r="DH193" s="23">
        <f>EXP(-LN(2)/2)*DH192+(1-EXP(-LN(2)/2))/(LN(2)/2)*DB193*DE193*VLOOKUP('Données projet'!$B$13,Paramètres!$A$1:$I$89,3,0)*0.475*44/12</f>
        <v>5.6006324204131988E-25</v>
      </c>
      <c r="DI193" s="24">
        <f t="shared" si="175"/>
        <v>0.1129730884913383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69.505377867140339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2.75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10.083333333333334</v>
      </c>
      <c r="H194" s="70">
        <f t="shared" si="110"/>
        <v>216.33333333333334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-5.9412741393316544E-14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338.33619350800484</v>
      </c>
      <c r="T194" s="62">
        <f t="shared" si="142"/>
        <v>173.80539144233424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1.9895196601282805E-13</v>
      </c>
      <c r="AJ194" s="14">
        <f>AI194*VLOOKUP('Données projet'!$B$10,Paramètres!$A$1:$I$89,3,0)*VLOOKUP('Données projet'!$B$10,Paramètres!$A$1:$I$89,5,0)</f>
        <v>1.8001173884840681E-13</v>
      </c>
      <c r="AK194" s="14">
        <f t="shared" si="164"/>
        <v>2.5254331426407198E-12</v>
      </c>
      <c r="AL194" s="22">
        <f t="shared" si="165"/>
        <v>4.7119831685935622E-12</v>
      </c>
      <c r="AM194" s="62">
        <f t="shared" si="113"/>
        <v>291.55118100290349</v>
      </c>
      <c r="AN194" s="62">
        <f ca="1">AVERAGE(OFFSET($AM$3,0,0,'Données projet'!$E$10+1,1))-AVERAGE(OFFSET($H$3,0,0,'Données projet'!$E$10+1,1))</f>
        <v>308.01218908312546</v>
      </c>
      <c r="AO194" s="62">
        <f t="shared" si="144"/>
        <v>433.94915035190684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0.18221913473508627</v>
      </c>
      <c r="AV194" s="23">
        <f>EXP(-LN(2)/25)*AV193+(1-EXP(-LN(2)/25))/(LN(2)/25)*Calculateur!AQ194*Calculateur!AS194*VLOOKUP('Données projet'!$B$10,Paramètres!$A$1:$I$89,3,0)*0.475*44/12</f>
        <v>8.9955572537970582E-2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0.27217470727305687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-5.7639226724859328E-14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329.96352570744875</v>
      </c>
      <c r="BJ194" s="62">
        <f t="shared" si="146"/>
        <v>170.12252063636961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5.3205440053716299E-14</v>
      </c>
      <c r="CA194" s="14">
        <f t="shared" si="170"/>
        <v>8.602146238565607E-13</v>
      </c>
      <c r="CB194" s="22">
        <f t="shared" si="171"/>
        <v>1.590873277977066E-12</v>
      </c>
      <c r="CC194" s="62">
        <f t="shared" si="119"/>
        <v>291.55118100290036</v>
      </c>
      <c r="CD194" s="62">
        <f ca="1">AVERAGE(OFFSET($CC$3,0,0,'Données projet'!$E$12+1,1))-AVERAGE(OFFSET($H$3,0,0,'Données projet'!$E$12+1,1))</f>
        <v>276.21705775006376</v>
      </c>
      <c r="CE194" s="62">
        <f t="shared" si="148"/>
        <v>234.24947280606958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376.32432344617206</v>
      </c>
      <c r="CZ194" s="62">
        <f t="shared" si="150"/>
        <v>302.77411534670466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6.799390202926793E-2</v>
      </c>
      <c r="DG194" s="23">
        <f>EXP(-LN(2)/25)*DG193+(1-EXP(-LN(2)/25))/(LN(2)/25)*Calculateur!DB194*Calculateur!DD194*VLOOKUP('Données projet'!$B$13,Paramètres!$A$1:$I$89,3,0)*0.475*44/12</f>
        <v>4.2426429700424158E-2</v>
      </c>
      <c r="DH194" s="23">
        <f>EXP(-LN(2)/2)*DH193+(1-EXP(-LN(2)/2))/(LN(2)/2)*DB194*DE194*VLOOKUP('Données projet'!$B$13,Paramètres!$A$1:$I$89,3,0)*0.475*44/12</f>
        <v>3.9602451634073999E-25</v>
      </c>
      <c r="DI194" s="24">
        <f t="shared" si="175"/>
        <v>0.11042033172969209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69.513958455336024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2.75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10.083333333333334</v>
      </c>
      <c r="H195" s="70">
        <f t="shared" si="110"/>
        <v>216.33333333333334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-5.9412741393316544E-14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338.33619350800484</v>
      </c>
      <c r="T195" s="62">
        <f t="shared" si="142"/>
        <v>173.80539144233424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1.9895196601282805E-13</v>
      </c>
      <c r="AJ195" s="14">
        <f>AI195*VLOOKUP('Données projet'!$B$10,Paramètres!$A$1:$I$89,3,0)*VLOOKUP('Données projet'!$B$10,Paramètres!$A$1:$I$89,5,0)</f>
        <v>1.8001173884840681E-13</v>
      </c>
      <c r="AK195" s="14">
        <f t="shared" si="164"/>
        <v>2.5254331426407198E-12</v>
      </c>
      <c r="AL195" s="22">
        <f t="shared" si="165"/>
        <v>4.7119831685935622E-12</v>
      </c>
      <c r="AM195" s="62">
        <f t="shared" si="113"/>
        <v>291.58209736154083</v>
      </c>
      <c r="AN195" s="62">
        <f ca="1">AVERAGE(OFFSET($AM$3,0,0,'Données projet'!$E$10+1,1))-AVERAGE(OFFSET($H$3,0,0,'Données projet'!$E$10+1,1))</f>
        <v>308.01218908312546</v>
      </c>
      <c r="AO195" s="62">
        <f t="shared" si="144"/>
        <v>433.94915035190684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0.178645928645629</v>
      </c>
      <c r="AV195" s="23">
        <f>EXP(-LN(2)/25)*AV194+(1-EXP(-LN(2)/25))/(LN(2)/25)*Calculateur!AQ195*Calculateur!AS195*VLOOKUP('Données projet'!$B$10,Paramètres!$A$1:$I$89,3,0)*0.475*44/12</f>
        <v>8.7495732676361807E-2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0.2661416613219908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-5.7639226724859328E-14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329.96352570744875</v>
      </c>
      <c r="BJ195" s="62">
        <f t="shared" si="146"/>
        <v>170.12252063636961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5.3205440053716299E-14</v>
      </c>
      <c r="CA195" s="14">
        <f t="shared" si="170"/>
        <v>8.602146238565607E-13</v>
      </c>
      <c r="CB195" s="22">
        <f t="shared" si="171"/>
        <v>1.590873277977066E-12</v>
      </c>
      <c r="CC195" s="62">
        <f t="shared" si="119"/>
        <v>291.58209736153771</v>
      </c>
      <c r="CD195" s="62">
        <f ca="1">AVERAGE(OFFSET($CC$3,0,0,'Données projet'!$E$12+1,1))-AVERAGE(OFFSET($H$3,0,0,'Données projet'!$E$12+1,1))</f>
        <v>276.21705775006376</v>
      </c>
      <c r="CE195" s="62">
        <f t="shared" si="148"/>
        <v>234.24947280606958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376.32432344617206</v>
      </c>
      <c r="CZ195" s="62">
        <f t="shared" si="150"/>
        <v>302.77411534670466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6.6660583082659181E-2</v>
      </c>
      <c r="DG195" s="23">
        <f>EXP(-LN(2)/25)*DG194+(1-EXP(-LN(2)/25))/(LN(2)/25)*Calculateur!DB195*Calculateur!DD195*VLOOKUP('Données projet'!$B$13,Paramètres!$A$1:$I$89,3,0)*0.475*44/12</f>
        <v>4.1266276749157088E-2</v>
      </c>
      <c r="DH195" s="23">
        <f>EXP(-LN(2)/2)*DH194+(1-EXP(-LN(2)/2))/(LN(2)/2)*DB195*DE195*VLOOKUP('Données projet'!$B$13,Paramètres!$A$1:$I$89,3,0)*0.475*44/12</f>
        <v>2.8003162102065994E-25</v>
      </c>
      <c r="DI195" s="24">
        <f t="shared" si="175"/>
        <v>0.10792685983181627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69.522390189509849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2.75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10.083333333333334</v>
      </c>
      <c r="H196" s="70">
        <f t="shared" ref="H196:H203" si="192">(B196+E196+F196)*44/12+(C196+D196)*0.475*44/12</f>
        <v>216.33333333333334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-5.9412741393316544E-14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338.33619350800484</v>
      </c>
      <c r="T196" s="62">
        <f t="shared" si="142"/>
        <v>173.80539144233424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1.9895196601282805E-13</v>
      </c>
      <c r="AJ196" s="14">
        <f>AI196*VLOOKUP('Données projet'!$B$10,Paramètres!$A$1:$I$89,3,0)*VLOOKUP('Données projet'!$B$10,Paramètres!$A$1:$I$89,5,0)</f>
        <v>1.8001173884840681E-13</v>
      </c>
      <c r="AK196" s="14">
        <f t="shared" si="164"/>
        <v>2.5254331426407198E-12</v>
      </c>
      <c r="AL196" s="22">
        <f t="shared" si="165"/>
        <v>4.7119831685935622E-12</v>
      </c>
      <c r="AM196" s="62">
        <f t="shared" ref="AM196:AM203" si="193">AL196+(AD196+AE196)*44/12</f>
        <v>291.6124773904744</v>
      </c>
      <c r="AN196" s="62">
        <f ca="1">AVERAGE(OFFSET($AM$3,0,0,'Données projet'!$E$10+1,1))-AVERAGE(OFFSET($H$3,0,0,'Données projet'!$E$10+1,1))</f>
        <v>308.01218908312546</v>
      </c>
      <c r="AO196" s="62">
        <f t="shared" si="144"/>
        <v>433.94915035190684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0.17514279094814547</v>
      </c>
      <c r="AV196" s="23">
        <f>EXP(-LN(2)/25)*AV195+(1-EXP(-LN(2)/25))/(LN(2)/25)*Calculateur!AQ196*Calculateur!AS196*VLOOKUP('Données projet'!$B$10,Paramètres!$A$1:$I$89,3,0)*0.475*44/12</f>
        <v>8.5103157265126086E-2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0.26024594821327157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-5.7639226724859328E-14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329.96352570744875</v>
      </c>
      <c r="BJ196" s="62">
        <f t="shared" si="146"/>
        <v>170.12252063636961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5.3205440053716299E-14</v>
      </c>
      <c r="CA196" s="14">
        <f t="shared" si="170"/>
        <v>8.602146238565607E-13</v>
      </c>
      <c r="CB196" s="22">
        <f t="shared" si="171"/>
        <v>1.590873277977066E-12</v>
      </c>
      <c r="CC196" s="62">
        <f t="shared" ref="CC196:CC203" si="195">CB196+(BT196+BU196)*44/12</f>
        <v>291.61247739047127</v>
      </c>
      <c r="CD196" s="62">
        <f ca="1">AVERAGE(OFFSET($CC$3,0,0,'Données projet'!$E$12+1,1))-AVERAGE(OFFSET($H$3,0,0,'Données projet'!$E$12+1,1))</f>
        <v>276.21705775006376</v>
      </c>
      <c r="CE196" s="62">
        <f t="shared" si="148"/>
        <v>234.24947280606958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376.32432344617206</v>
      </c>
      <c r="CZ196" s="62">
        <f t="shared" si="150"/>
        <v>302.77411534670466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6.535340970734918E-2</v>
      </c>
      <c r="DG196" s="23">
        <f>EXP(-LN(2)/25)*DG195+(1-EXP(-LN(2)/25))/(LN(2)/25)*Calculateur!DB196*Calculateur!DD196*VLOOKUP('Données projet'!$B$13,Paramètres!$A$1:$I$89,3,0)*0.475*44/12</f>
        <v>4.0137848241352206E-2</v>
      </c>
      <c r="DH196" s="23">
        <f>EXP(-LN(2)/2)*DH195+(1-EXP(-LN(2)/2))/(LN(2)/2)*DB196*DE196*VLOOKUP('Données projet'!$B$13,Paramètres!$A$1:$I$89,3,0)*0.475*44/12</f>
        <v>1.9801225817036999E-25</v>
      </c>
      <c r="DI196" s="24">
        <f t="shared" si="175"/>
        <v>0.10549125794870139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69.530675651946282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2.75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10.083333333333334</v>
      </c>
      <c r="H197" s="70">
        <f t="shared" si="192"/>
        <v>216.33333333333334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-5.9412741393316544E-14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338.33619350800484</v>
      </c>
      <c r="T197" s="62">
        <f t="shared" ref="T197:T203" si="204">$T$3</f>
        <v>173.80539144233424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1.9895196601282805E-13</v>
      </c>
      <c r="AJ197" s="14">
        <f>AI197*VLOOKUP('Données projet'!$B$10,Paramètres!$A$1:$I$89,3,0)*VLOOKUP('Données projet'!$B$10,Paramètres!$A$1:$I$89,5,0)</f>
        <v>1.8001173884840681E-13</v>
      </c>
      <c r="AK197" s="14">
        <f t="shared" si="164"/>
        <v>2.5254331426407198E-12</v>
      </c>
      <c r="AL197" s="22">
        <f t="shared" si="165"/>
        <v>4.7119831685935622E-12</v>
      </c>
      <c r="AM197" s="62">
        <f t="shared" si="193"/>
        <v>291.6423303938256</v>
      </c>
      <c r="AN197" s="62">
        <f ca="1">AVERAGE(OFFSET($AM$3,0,0,'Données projet'!$E$10+1,1))-AVERAGE(OFFSET($H$3,0,0,'Données projet'!$E$10+1,1))</f>
        <v>308.01218908312546</v>
      </c>
      <c r="AO197" s="62">
        <f t="shared" ref="AO197:AO203" si="205">$AO$3</f>
        <v>433.94915035190684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0.17170834764420656</v>
      </c>
      <c r="AV197" s="23">
        <f>EXP(-LN(2)/25)*AV196+(1-EXP(-LN(2)/25))/(LN(2)/25)*Calculateur!AQ197*Calculateur!AS197*VLOOKUP('Données projet'!$B$10,Paramètres!$A$1:$I$89,3,0)*0.475*44/12</f>
        <v>8.2776006954330683E-2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0.25448435459853724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-5.7639226724859328E-14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329.96352570744875</v>
      </c>
      <c r="BJ197" s="62">
        <f t="shared" ref="BJ197:BJ203" si="206">$BJ$3</f>
        <v>170.12252063636961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5.3205440053716299E-14</v>
      </c>
      <c r="CA197" s="14">
        <f t="shared" si="170"/>
        <v>8.602146238565607E-13</v>
      </c>
      <c r="CB197" s="22">
        <f t="shared" si="171"/>
        <v>1.590873277977066E-12</v>
      </c>
      <c r="CC197" s="62">
        <f t="shared" si="195"/>
        <v>291.64233039382248</v>
      </c>
      <c r="CD197" s="62">
        <f ca="1">AVERAGE(OFFSET($CC$3,0,0,'Données projet'!$E$12+1,1))-AVERAGE(OFFSET($H$3,0,0,'Données projet'!$E$12+1,1))</f>
        <v>276.21705775006376</v>
      </c>
      <c r="CE197" s="62">
        <f t="shared" ref="CE197:CE203" si="207">$CE$3</f>
        <v>234.24947280606958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376.32432344617206</v>
      </c>
      <c r="CZ197" s="62">
        <f t="shared" ref="CZ197:CZ203" si="208">$CZ$3</f>
        <v>302.77411534670466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6.4071869204631968E-2</v>
      </c>
      <c r="DG197" s="23">
        <f>EXP(-LN(2)/25)*DG196+(1-EXP(-LN(2)/25))/(LN(2)/25)*Calculateur!DB197*Calculateur!DD197*VLOOKUP('Données projet'!$B$13,Paramètres!$A$1:$I$89,3,0)*0.475*44/12</f>
        <v>3.9040276670434727E-2</v>
      </c>
      <c r="DH197" s="23">
        <f>EXP(-LN(2)/2)*DH196+(1-EXP(-LN(2)/2))/(LN(2)/2)*DB197*DE197*VLOOKUP('Données projet'!$B$13,Paramètres!$A$1:$I$89,3,0)*0.475*44/12</f>
        <v>1.4001581051032997E-25</v>
      </c>
      <c r="DI197" s="24">
        <f t="shared" si="175"/>
        <v>0.1031121458750667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69.538817380132969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2.75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10.083333333333334</v>
      </c>
      <c r="H198" s="70">
        <f t="shared" si="192"/>
        <v>216.33333333333334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-5.9412741393316544E-14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338.33619350800484</v>
      </c>
      <c r="T198" s="62">
        <f t="shared" si="204"/>
        <v>173.80539144233424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1.9895196601282805E-13</v>
      </c>
      <c r="AJ198" s="14">
        <f>AI198*VLOOKUP('Données projet'!$B$10,Paramètres!$A$1:$I$89,3,0)*VLOOKUP('Données projet'!$B$10,Paramètres!$A$1:$I$89,5,0)</f>
        <v>1.8001173884840681E-13</v>
      </c>
      <c r="AK198" s="14">
        <f t="shared" si="164"/>
        <v>2.5254331426407198E-12</v>
      </c>
      <c r="AL198" s="22">
        <f t="shared" si="165"/>
        <v>4.7119831685935622E-12</v>
      </c>
      <c r="AM198" s="62">
        <f t="shared" si="193"/>
        <v>291.67166551430989</v>
      </c>
      <c r="AN198" s="62">
        <f ca="1">AVERAGE(OFFSET($AM$3,0,0,'Données projet'!$E$10+1,1))-AVERAGE(OFFSET($H$3,0,0,'Données projet'!$E$10+1,1))</f>
        <v>308.01218908312546</v>
      </c>
      <c r="AO198" s="62">
        <f t="shared" si="205"/>
        <v>433.94915035190684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0.16834125167865432</v>
      </c>
      <c r="AV198" s="23">
        <f>EXP(-LN(2)/25)*AV197+(1-EXP(-LN(2)/25))/(LN(2)/25)*Calculateur!AQ198*Calculateur!AS198*VLOOKUP('Données projet'!$B$10,Paramètres!$A$1:$I$89,3,0)*0.475*44/12</f>
        <v>8.0512492691163492E-2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0.24885374436981783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-5.7639226724859328E-14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329.96352570744875</v>
      </c>
      <c r="BJ198" s="62">
        <f t="shared" si="206"/>
        <v>170.12252063636961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5.3205440053716299E-14</v>
      </c>
      <c r="CA198" s="14">
        <f t="shared" si="170"/>
        <v>8.602146238565607E-13</v>
      </c>
      <c r="CB198" s="22">
        <f t="shared" si="171"/>
        <v>1.590873277977066E-12</v>
      </c>
      <c r="CC198" s="62">
        <f t="shared" si="195"/>
        <v>291.67166551430677</v>
      </c>
      <c r="CD198" s="62">
        <f ca="1">AVERAGE(OFFSET($CC$3,0,0,'Données projet'!$E$12+1,1))-AVERAGE(OFFSET($H$3,0,0,'Données projet'!$E$12+1,1))</f>
        <v>276.21705775006376</v>
      </c>
      <c r="CE198" s="62">
        <f t="shared" si="207"/>
        <v>234.24947280606958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376.32432344617206</v>
      </c>
      <c r="CZ198" s="62">
        <f t="shared" si="208"/>
        <v>302.77411534670466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6.2815458929510529E-2</v>
      </c>
      <c r="DG198" s="23">
        <f>EXP(-LN(2)/25)*DG197+(1-EXP(-LN(2)/25))/(LN(2)/25)*Calculateur!DB198*Calculateur!DD198*VLOOKUP('Données projet'!$B$13,Paramètres!$A$1:$I$89,3,0)*0.475*44/12</f>
        <v>3.7972718251842764E-2</v>
      </c>
      <c r="DH198" s="23">
        <f>EXP(-LN(2)/2)*DH197+(1-EXP(-LN(2)/2))/(LN(2)/2)*DB198*DE198*VLOOKUP('Données projet'!$B$13,Paramètres!$A$1:$I$89,3,0)*0.475*44/12</f>
        <v>9.9006129085184997E-26</v>
      </c>
      <c r="DI198" s="24">
        <f t="shared" si="175"/>
        <v>0.1007881771813533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69.546817867537783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2.75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10.083333333333334</v>
      </c>
      <c r="H199" s="70">
        <f t="shared" si="192"/>
        <v>216.33333333333334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-5.9412741393316544E-14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338.33619350800484</v>
      </c>
      <c r="T199" s="62">
        <f t="shared" si="204"/>
        <v>173.80539144233424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1.9895196601282805E-13</v>
      </c>
      <c r="AJ199" s="14">
        <f>AI199*VLOOKUP('Données projet'!$B$10,Paramètres!$A$1:$I$89,3,0)*VLOOKUP('Données projet'!$B$10,Paramètres!$A$1:$I$89,5,0)</f>
        <v>1.8001173884840681E-13</v>
      </c>
      <c r="AK199" s="14">
        <f t="shared" si="164"/>
        <v>2.5254331426407198E-12</v>
      </c>
      <c r="AL199" s="22">
        <f t="shared" si="165"/>
        <v>4.7119831685935622E-12</v>
      </c>
      <c r="AM199" s="62">
        <f t="shared" si="193"/>
        <v>291.70049173603735</v>
      </c>
      <c r="AN199" s="62">
        <f ca="1">AVERAGE(OFFSET($AM$3,0,0,'Données projet'!$E$10+1,1))-AVERAGE(OFFSET($H$3,0,0,'Données projet'!$E$10+1,1))</f>
        <v>308.01218908312546</v>
      </c>
      <c r="AO199" s="62">
        <f t="shared" si="205"/>
        <v>433.94915035190684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0.16504018241126081</v>
      </c>
      <c r="AV199" s="23">
        <f>EXP(-LN(2)/25)*AV198+(1-EXP(-LN(2)/25))/(LN(2)/25)*Calculateur!AQ199*Calculateur!AS199*VLOOKUP('Données projet'!$B$10,Paramètres!$A$1:$I$89,3,0)*0.475*44/12</f>
        <v>7.831087434455565E-2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0.24335105675581647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-5.7639226724859328E-14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329.96352570744875</v>
      </c>
      <c r="BJ199" s="62">
        <f t="shared" si="206"/>
        <v>170.12252063636961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5.3205440053716299E-14</v>
      </c>
      <c r="CA199" s="14">
        <f t="shared" si="170"/>
        <v>8.602146238565607E-13</v>
      </c>
      <c r="CB199" s="22">
        <f t="shared" si="171"/>
        <v>1.590873277977066E-12</v>
      </c>
      <c r="CC199" s="62">
        <f t="shared" si="195"/>
        <v>291.70049173603422</v>
      </c>
      <c r="CD199" s="62">
        <f ca="1">AVERAGE(OFFSET($CC$3,0,0,'Données projet'!$E$12+1,1))-AVERAGE(OFFSET($H$3,0,0,'Données projet'!$E$12+1,1))</f>
        <v>276.21705775006376</v>
      </c>
      <c r="CE199" s="62">
        <f t="shared" si="207"/>
        <v>234.24947280606958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376.32432344617206</v>
      </c>
      <c r="CZ199" s="62">
        <f t="shared" si="208"/>
        <v>302.77411534670466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6.1583686093549618E-2</v>
      </c>
      <c r="DG199" s="23">
        <f>EXP(-LN(2)/25)*DG198+(1-EXP(-LN(2)/25))/(LN(2)/25)*Calculateur!DB199*Calculateur!DD199*VLOOKUP('Données projet'!$B$13,Paramètres!$A$1:$I$89,3,0)*0.475*44/12</f>
        <v>3.6934352274347659E-2</v>
      </c>
      <c r="DH199" s="23">
        <f>EXP(-LN(2)/2)*DH198+(1-EXP(-LN(2)/2))/(LN(2)/2)*DB199*DE199*VLOOKUP('Données projet'!$B$13,Paramètres!$A$1:$I$89,3,0)*0.475*44/12</f>
        <v>7.0007905255164985E-26</v>
      </c>
      <c r="DI199" s="24">
        <f t="shared" si="175"/>
        <v>9.851803836789727E-2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69.554679564372535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2.75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10.083333333333334</v>
      </c>
      <c r="H200" s="70">
        <f t="shared" si="192"/>
        <v>216.33333333333334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-5.9412741393316544E-14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338.33619350800484</v>
      </c>
      <c r="T200" s="62">
        <f t="shared" si="204"/>
        <v>173.80539144233424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1.9895196601282805E-13</v>
      </c>
      <c r="AJ200" s="14">
        <f>AI200*VLOOKUP('Données projet'!$B$10,Paramètres!$A$1:$I$89,3,0)*VLOOKUP('Données projet'!$B$10,Paramètres!$A$1:$I$89,5,0)</f>
        <v>1.8001173884840681E-13</v>
      </c>
      <c r="AK200" s="14">
        <f t="shared" si="164"/>
        <v>2.5254331426407198E-12</v>
      </c>
      <c r="AL200" s="22">
        <f t="shared" si="165"/>
        <v>4.7119831685935622E-12</v>
      </c>
      <c r="AM200" s="62">
        <f t="shared" si="193"/>
        <v>291.72881788726352</v>
      </c>
      <c r="AN200" s="62">
        <f ca="1">AVERAGE(OFFSET($AM$3,0,0,'Données projet'!$E$10+1,1))-AVERAGE(OFFSET($H$3,0,0,'Données projet'!$E$10+1,1))</f>
        <v>308.01218908312546</v>
      </c>
      <c r="AO200" s="62">
        <f t="shared" si="205"/>
        <v>433.94915035190684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0.16180384509874746</v>
      </c>
      <c r="AV200" s="23">
        <f>EXP(-LN(2)/25)*AV199+(1-EXP(-LN(2)/25))/(LN(2)/25)*Calculateur!AQ200*Calculateur!AS200*VLOOKUP('Données projet'!$B$10,Paramètres!$A$1:$I$89,3,0)*0.475*44/12</f>
        <v>7.6169459367413872E-2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0.23797330446616133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-5.7639226724859328E-14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329.96352570744875</v>
      </c>
      <c r="BJ200" s="62">
        <f t="shared" si="206"/>
        <v>170.12252063636961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5.3205440053716299E-14</v>
      </c>
      <c r="CA200" s="14">
        <f t="shared" si="170"/>
        <v>8.602146238565607E-13</v>
      </c>
      <c r="CB200" s="22">
        <f t="shared" si="171"/>
        <v>1.590873277977066E-12</v>
      </c>
      <c r="CC200" s="62">
        <f t="shared" si="195"/>
        <v>291.72881788726039</v>
      </c>
      <c r="CD200" s="62">
        <f ca="1">AVERAGE(OFFSET($CC$3,0,0,'Données projet'!$E$12+1,1))-AVERAGE(OFFSET($H$3,0,0,'Données projet'!$E$12+1,1))</f>
        <v>276.21705775006376</v>
      </c>
      <c r="CE200" s="62">
        <f t="shared" si="207"/>
        <v>234.24947280606958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376.32432344617206</v>
      </c>
      <c r="CZ200" s="62">
        <f t="shared" si="208"/>
        <v>302.77411534670466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6.0376067571594652E-2</v>
      </c>
      <c r="DG200" s="23">
        <f>EXP(-LN(2)/25)*DG199+(1-EXP(-LN(2)/25))/(LN(2)/25)*Calculateur!DB200*Calculateur!DD200*VLOOKUP('Données projet'!$B$13,Paramètres!$A$1:$I$89,3,0)*0.475*44/12</f>
        <v>3.5924380469112449E-2</v>
      </c>
      <c r="DH200" s="23">
        <f>EXP(-LN(2)/2)*DH199+(1-EXP(-LN(2)/2))/(LN(2)/2)*DB200*DE200*VLOOKUP('Données projet'!$B$13,Paramètres!$A$1:$I$89,3,0)*0.475*44/12</f>
        <v>4.9503064542592499E-26</v>
      </c>
      <c r="DI200" s="24">
        <f t="shared" si="175"/>
        <v>9.6300448040707101E-2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69.562404878343315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2.75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10.083333333333334</v>
      </c>
      <c r="H201" s="70">
        <f t="shared" si="192"/>
        <v>216.33333333333334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-5.9412741393316544E-14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338.33619350800484</v>
      </c>
      <c r="T201" s="62">
        <f t="shared" si="204"/>
        <v>173.80539144233424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1.9895196601282805E-13</v>
      </c>
      <c r="AJ201" s="14">
        <f>AI201*VLOOKUP('Données projet'!$B$10,Paramètres!$A$1:$I$89,3,0)*VLOOKUP('Données projet'!$B$10,Paramètres!$A$1:$I$89,5,0)</f>
        <v>1.8001173884840681E-13</v>
      </c>
      <c r="AK201" s="14">
        <f t="shared" si="164"/>
        <v>2.5254331426407198E-12</v>
      </c>
      <c r="AL201" s="22">
        <f t="shared" si="165"/>
        <v>4.7119831685935622E-12</v>
      </c>
      <c r="AM201" s="62">
        <f t="shared" si="193"/>
        <v>291.75665264309384</v>
      </c>
      <c r="AN201" s="62">
        <f ca="1">AVERAGE(OFFSET($AM$3,0,0,'Données projet'!$E$10+1,1))-AVERAGE(OFFSET($H$3,0,0,'Données projet'!$E$10+1,1))</f>
        <v>308.01218908312546</v>
      </c>
      <c r="AO201" s="62">
        <f t="shared" si="205"/>
        <v>433.94915035190684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0.15863097038696164</v>
      </c>
      <c r="AV201" s="23">
        <f>EXP(-LN(2)/25)*AV200+(1-EXP(-LN(2)/25))/(LN(2)/25)*Calculateur!AQ201*Calculateur!AS201*VLOOKUP('Données projet'!$B$10,Paramètres!$A$1:$I$89,3,0)*0.475*44/12</f>
        <v>7.4086601495434154E-2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0.23271757188239578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-5.7639226724859328E-14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329.96352570744875</v>
      </c>
      <c r="BJ201" s="62">
        <f t="shared" si="206"/>
        <v>170.12252063636961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5.3205440053716299E-14</v>
      </c>
      <c r="CA201" s="14">
        <f t="shared" si="170"/>
        <v>8.602146238565607E-13</v>
      </c>
      <c r="CB201" s="22">
        <f t="shared" si="171"/>
        <v>1.590873277977066E-12</v>
      </c>
      <c r="CC201" s="62">
        <f t="shared" si="195"/>
        <v>291.75665264309072</v>
      </c>
      <c r="CD201" s="62">
        <f ca="1">AVERAGE(OFFSET($CC$3,0,0,'Données projet'!$E$12+1,1))-AVERAGE(OFFSET($H$3,0,0,'Données projet'!$E$12+1,1))</f>
        <v>276.21705775006376</v>
      </c>
      <c r="CE201" s="62">
        <f t="shared" si="207"/>
        <v>234.24947280606958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376.32432344617206</v>
      </c>
      <c r="CZ201" s="62">
        <f t="shared" si="208"/>
        <v>302.77411534670466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5.9192129712280654E-2</v>
      </c>
      <c r="DG201" s="23">
        <f>EXP(-LN(2)/25)*DG200+(1-EXP(-LN(2)/25))/(LN(2)/25)*Calculateur!DB201*Calculateur!DD201*VLOOKUP('Données projet'!$B$13,Paramètres!$A$1:$I$89,3,0)*0.475*44/12</f>
        <v>3.4942026396003509E-2</v>
      </c>
      <c r="DH201" s="23">
        <f>EXP(-LN(2)/2)*DH200+(1-EXP(-LN(2)/2))/(LN(2)/2)*DB201*DE201*VLOOKUP('Données projet'!$B$13,Paramètres!$A$1:$I$89,3,0)*0.475*44/12</f>
        <v>3.5003952627582493E-26</v>
      </c>
      <c r="DI201" s="24">
        <f t="shared" si="175"/>
        <v>9.4134156108284156E-2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69.569996175387942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2.75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10.083333333333334</v>
      </c>
      <c r="H202" s="70">
        <f t="shared" si="192"/>
        <v>216.33333333333334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-5.9412741393316544E-14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338.33619350800484</v>
      </c>
      <c r="T202" s="62">
        <f t="shared" si="204"/>
        <v>173.80539144233424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1.9895196601282805E-13</v>
      </c>
      <c r="AJ202" s="14">
        <f>AI202*VLOOKUP('Données projet'!$B$10,Paramètres!$A$1:$I$89,3,0)*VLOOKUP('Données projet'!$B$10,Paramètres!$A$1:$I$89,5,0)</f>
        <v>1.8001173884840681E-13</v>
      </c>
      <c r="AK202" s="14">
        <f t="shared" si="164"/>
        <v>2.5254331426407198E-12</v>
      </c>
      <c r="AL202" s="22">
        <f t="shared" si="165"/>
        <v>4.7119831685935622E-12</v>
      </c>
      <c r="AM202" s="62">
        <f t="shared" si="193"/>
        <v>291.78400452813958</v>
      </c>
      <c r="AN202" s="62">
        <f ca="1">AVERAGE(OFFSET($AM$3,0,0,'Données projet'!$E$10+1,1))-AVERAGE(OFFSET($H$3,0,0,'Données projet'!$E$10+1,1))</f>
        <v>308.01218908312546</v>
      </c>
      <c r="AO202" s="62">
        <f t="shared" si="205"/>
        <v>433.94915035190684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0.15552031381301146</v>
      </c>
      <c r="AV202" s="23">
        <f>EXP(-LN(2)/25)*AV201+(1-EXP(-LN(2)/25))/(LN(2)/25)*Calculateur!AQ202*Calculateur!AS202*VLOOKUP('Données projet'!$B$10,Paramètres!$A$1:$I$89,3,0)*0.475*44/12</f>
        <v>7.206069948149646E-2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0.22758101329450792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-5.7639226724859328E-14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329.96352570744875</v>
      </c>
      <c r="BJ202" s="62">
        <f t="shared" si="206"/>
        <v>170.12252063636961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5.3205440053716299E-14</v>
      </c>
      <c r="CA202" s="14">
        <f t="shared" si="170"/>
        <v>8.602146238565607E-13</v>
      </c>
      <c r="CB202" s="22">
        <f t="shared" si="171"/>
        <v>1.590873277977066E-12</v>
      </c>
      <c r="CC202" s="62">
        <f t="shared" si="195"/>
        <v>291.78400452813645</v>
      </c>
      <c r="CD202" s="62">
        <f ca="1">AVERAGE(OFFSET($CC$3,0,0,'Données projet'!$E$12+1,1))-AVERAGE(OFFSET($H$3,0,0,'Données projet'!$E$12+1,1))</f>
        <v>276.21705775006376</v>
      </c>
      <c r="CE202" s="62">
        <f t="shared" si="207"/>
        <v>234.24947280606958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376.32432344617206</v>
      </c>
      <c r="CZ202" s="62">
        <f t="shared" si="208"/>
        <v>302.77411534670466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5.8031408152257019E-2</v>
      </c>
      <c r="DG202" s="23">
        <f>EXP(-LN(2)/25)*DG201+(1-EXP(-LN(2)/25))/(LN(2)/25)*Calculateur!DB202*Calculateur!DD202*VLOOKUP('Données projet'!$B$13,Paramètres!$A$1:$I$89,3,0)*0.475*44/12</f>
        <v>3.3986534846683486E-2</v>
      </c>
      <c r="DH202" s="23">
        <f>EXP(-LN(2)/2)*DH201+(1-EXP(-LN(2)/2))/(LN(2)/2)*DB202*DE202*VLOOKUP('Données projet'!$B$13,Paramètres!$A$1:$I$89,3,0)*0.475*44/12</f>
        <v>2.4751532271296249E-26</v>
      </c>
      <c r="DI202" s="24">
        <f t="shared" si="175"/>
        <v>9.2017942998940505E-2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69.577455780400413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2.75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56.25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10.083333333333334</v>
      </c>
      <c r="H203" s="70">
        <f t="shared" si="192"/>
        <v>216.33333333333334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-5.9412741393316544E-14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338.33619350800484</v>
      </c>
      <c r="T203" s="62">
        <f t="shared" si="204"/>
        <v>173.80539144233424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1.9895196601282805E-13</v>
      </c>
      <c r="AJ203" s="14">
        <f>AI203*VLOOKUP('Données projet'!$B$10,Paramètres!$A$1:$I$89,3,0)*VLOOKUP('Données projet'!$B$10,Paramètres!$A$1:$I$89,5,0)</f>
        <v>1.8001173884840681E-13</v>
      </c>
      <c r="AK203" s="14">
        <f t="shared" si="164"/>
        <v>2.5254331426407198E-12</v>
      </c>
      <c r="AL203" s="22">
        <f t="shared" si="165"/>
        <v>4.7119831685935622E-12</v>
      </c>
      <c r="AM203" s="62">
        <f t="shared" si="193"/>
        <v>291.81088191912954</v>
      </c>
      <c r="AN203" s="62">
        <f ca="1">AVERAGE(OFFSET($AM$3,0,0,'Données projet'!$E$10+1,1))-AVERAGE(OFFSET($H$3,0,0,'Données projet'!$E$10+1,1))</f>
        <v>308.01218908312546</v>
      </c>
      <c r="AO203" s="62">
        <f t="shared" si="205"/>
        <v>433.94915035190684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0.15247065531716328</v>
      </c>
      <c r="AV203" s="23">
        <f>EXP(-LN(2)/25)*AV202+(1-EXP(-LN(2)/25))/(LN(2)/25)*Calculateur!AQ203*Calculateur!AS203*VLOOKUP('Données projet'!$B$10,Paramètres!$A$1:$I$89,3,0)*0.475*44/12</f>
        <v>7.0090195864667457E-2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0.22256085118183072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-5.7639226724859328E-14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329.96352570744875</v>
      </c>
      <c r="BJ203" s="62">
        <f t="shared" si="206"/>
        <v>170.12252063636961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5.3205440053716299E-14</v>
      </c>
      <c r="CA203" s="14">
        <f t="shared" si="170"/>
        <v>8.602146238565607E-13</v>
      </c>
      <c r="CB203" s="22">
        <f t="shared" si="171"/>
        <v>1.590873277977066E-12</v>
      </c>
      <c r="CC203" s="62">
        <f t="shared" si="195"/>
        <v>291.81088191912642</v>
      </c>
      <c r="CD203" s="62">
        <f ca="1">AVERAGE(OFFSET($CC$3,0,0,'Données projet'!$E$12+1,1))-AVERAGE(OFFSET($H$3,0,0,'Données projet'!$E$12+1,1))</f>
        <v>276.21705775006376</v>
      </c>
      <c r="CE203" s="62">
        <f t="shared" si="207"/>
        <v>234.24947280606958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376.32432344617206</v>
      </c>
      <c r="CZ203" s="62">
        <f t="shared" si="208"/>
        <v>302.77411534670466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5.6893447634055197E-2</v>
      </c>
      <c r="DG203" s="23">
        <f>EXP(-LN(2)/25)*DG202+(1-EXP(-LN(2)/25))/(LN(2)/25)*Calculateur!DB203*Calculateur!DD203*VLOOKUP('Données projet'!$B$13,Paramètres!$A$1:$I$89,3,0)*0.475*44/12</f>
        <v>3.3057171264026734E-2</v>
      </c>
      <c r="DH203" s="23">
        <f>EXP(-LN(2)/2)*DH202+(1-EXP(-LN(2)/2))/(LN(2)/2)*DB203*DE203*VLOOKUP('Données projet'!$B$13,Paramètres!$A$1:$I$89,3,0)*0.475*44/12</f>
        <v>1.7501976313791246E-26</v>
      </c>
      <c r="DI203" s="24">
        <f t="shared" si="175"/>
        <v>8.9950618898081924E-2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69.584785977943127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1.9472943612303364</v>
      </c>
      <c r="BA205" s="88">
        <f>EXP(LN('Données projet'!B88)/'Données projet'!A88)</f>
        <v>1.1457367676485573</v>
      </c>
      <c r="BV205" s="88">
        <f>EXP(LN('Données projet'!B114)/'Données projet'!A114)</f>
        <v>1.2677537154322802</v>
      </c>
      <c r="CQ205" s="88">
        <f>EXP(LN('Données projet'!B140)/'Données projet'!A140)</f>
        <v>1.244502252163008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25" sqref="I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chevelu</v>
      </c>
      <c r="B6" s="155">
        <f>'Données projet'!D9</f>
        <v>1.248</v>
      </c>
      <c r="C6" s="156">
        <f ca="1">IF(OR('Données projet'!B9="",'Données projet'!C9="",'Données projet'!C9=0%),0,Calculateur!S3)</f>
        <v>338.33619350800484</v>
      </c>
      <c r="D6" s="156">
        <f>IF(OR('Données projet'!B9="",'Données projet'!C9="",'Données projet'!C9=0%),0,Calculateur!T3)</f>
        <v>173.80539144233424</v>
      </c>
      <c r="E6" s="156">
        <f ca="1">MIN(C6,D6)</f>
        <v>173.80539144233424</v>
      </c>
      <c r="F6" s="156">
        <f ca="1">E6*B6</f>
        <v>216.90912852003314</v>
      </c>
      <c r="G6" s="156">
        <f ca="1">F6*(100%-'Données projet'!$C$24)*(100%-'Données projet'!$C$25)*(100%-'Données projet'!$C$26)*(100%-'Données projet'!$C$27)</f>
        <v>185.45730488462831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185.45730488462831</v>
      </c>
      <c r="M6" s="25">
        <f ca="1">L6/B6</f>
        <v>148.60360968319577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1.248</v>
      </c>
      <c r="C7" s="156">
        <f ca="1">IF(OR('Données projet'!B10="",'Données projet'!C10="",'Données projet'!C10=0%),0,Calculateur!AN3)</f>
        <v>308.01218908312546</v>
      </c>
      <c r="D7" s="156">
        <f>IF(OR('Données projet'!B10="",'Données projet'!C10="",'Données projet'!C10=0%),0,Calculateur!AO3)</f>
        <v>433.94915035190684</v>
      </c>
      <c r="E7" s="156">
        <f t="shared" ref="E7:E15" ca="1" si="0">MIN(C7,D7)</f>
        <v>308.01218908312546</v>
      </c>
      <c r="F7" s="156">
        <f t="shared" ref="F7:F15" ca="1" si="1">E7*B7</f>
        <v>384.39921197574057</v>
      </c>
      <c r="G7" s="156">
        <f ca="1">F7*(100%-'Données projet'!$C$24)*(100%-'Données projet'!$C$25)*(100%-'Données projet'!$C$26)*(100%-'Données projet'!$C$27)</f>
        <v>328.66132623925819</v>
      </c>
      <c r="H7" s="164">
        <f>IF(OR('Données projet'!B10="",'Données projet'!C10="",'Données projet'!C10=0%),0,AVERAGE(Calculateur!$AX$3:$AX$33)*B7)</f>
        <v>5.1792997609845637</v>
      </c>
      <c r="I7" s="158">
        <f>H7*(100%-'Données projet'!$C$24)*(100%-'Données projet'!$C$25)*(100%-'Données projet'!$C$26)*(100%-'Données projet'!$C$27)</f>
        <v>4.428301295641802</v>
      </c>
      <c r="J7" s="159">
        <f>IF(OR('Données projet'!B10="",'Données projet'!C10="",'Données projet'!C10=0%),0,SUM(Calculateur!$AQ$3:$AQ$33)*VLOOKUP('Données projet'!$B$10,Paramètres!$A$1:$I$89,9,0)*B7)</f>
        <v>23.712</v>
      </c>
      <c r="K7" s="160">
        <f>J7*(100%-'Données projet'!$C$24)*(100%-'Données projet'!$C$25)*(100%-'Données projet'!$C$26)*(100%-'Données projet'!$C$27)</f>
        <v>20.273759999999999</v>
      </c>
      <c r="L7" s="161">
        <f t="shared" ref="L7:L15" ca="1" si="2">G7+I7+K7</f>
        <v>353.36338753489997</v>
      </c>
      <c r="M7" s="25">
        <f ca="1">L7/B7</f>
        <v>283.14374001193909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0.99839999999999995</v>
      </c>
      <c r="C8" s="156">
        <f ca="1">IF(OR('Données projet'!B11="",'Données projet'!C11="",'Données projet'!C11=0%),0,Calculateur!BI3)</f>
        <v>329.96352570744875</v>
      </c>
      <c r="D8" s="156">
        <f>IF(OR('Données projet'!B11="",'Données projet'!C11="",'Données projet'!C11=0%),0,Calculateur!BJ3)</f>
        <v>170.12252063636961</v>
      </c>
      <c r="E8" s="156">
        <f t="shared" ca="1" si="0"/>
        <v>170.12252063636961</v>
      </c>
      <c r="F8" s="156">
        <f t="shared" ca="1" si="1"/>
        <v>169.85032460335142</v>
      </c>
      <c r="G8" s="156">
        <f ca="1">F8*(100%-'Données projet'!$C$24)*(100%-'Données projet'!$C$25)*(100%-'Données projet'!$C$26)*(100%-'Données projet'!$C$27)</f>
        <v>145.22202753586546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145.22202753586546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Cèdre de l'Atlas</v>
      </c>
      <c r="B9" s="163">
        <f>'Données projet'!D12</f>
        <v>2.1528</v>
      </c>
      <c r="C9" s="156">
        <f ca="1">IF(OR('Données projet'!B12="",'Données projet'!C12="",'Données projet'!C12=0%),0,Calculateur!CD3)</f>
        <v>276.21705775006376</v>
      </c>
      <c r="D9" s="156">
        <f>IF(OR('Données projet'!B12="",'Données projet'!C12="",'Données projet'!C12=0%),0,Calculateur!CE3)</f>
        <v>234.24947280606958</v>
      </c>
      <c r="E9" s="156">
        <f t="shared" ca="1" si="0"/>
        <v>234.24947280606958</v>
      </c>
      <c r="F9" s="156">
        <f t="shared" ca="1" si="1"/>
        <v>504.29226505690661</v>
      </c>
      <c r="G9" s="156">
        <f ca="1">F9*(100%-'Données projet'!$C$24)*(100%-'Données projet'!$C$25)*(100%-'Données projet'!$C$26)*(100%-'Données projet'!$C$27)</f>
        <v>431.16988662365515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431.16988662365515</v>
      </c>
      <c r="M9" s="25">
        <f ca="1">L9/B9</f>
        <v>200.2832992491895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Pin laricio</v>
      </c>
      <c r="B10" s="163">
        <f>'Données projet'!D13</f>
        <v>2.1528</v>
      </c>
      <c r="C10" s="156">
        <f ca="1">IF(OR('Données projet'!B13="",'Données projet'!C13="",'Données projet'!C13=0%),0,Calculateur!CY3)</f>
        <v>376.32432344617206</v>
      </c>
      <c r="D10" s="156">
        <f>IF(OR('Données projet'!B13="",'Données projet'!C13="",'Données projet'!C13=0%),0,Calculateur!CZ3)</f>
        <v>302.77411534670466</v>
      </c>
      <c r="E10" s="156">
        <f t="shared" ca="1" si="0"/>
        <v>302.77411534670466</v>
      </c>
      <c r="F10" s="156">
        <f t="shared" ca="1" si="1"/>
        <v>651.81211551838578</v>
      </c>
      <c r="G10" s="156">
        <f ca="1">F10*(100%-'Données projet'!$C$24)*(100%-'Données projet'!$C$25)*(100%-'Données projet'!$C$26)*(100%-'Données projet'!$C$27)</f>
        <v>557.2993587682198</v>
      </c>
      <c r="H10" s="164">
        <f>IF(OR('Données projet'!B13="",'Données projet'!C13="",'Données projet'!C13=0%),0,AVERAGE(Calculateur!$DI$3:$DI$33)*B10)</f>
        <v>4.8242441360630295</v>
      </c>
      <c r="I10" s="158">
        <f>H10*(100%-'Données projet'!$C$24)*(100%-'Données projet'!$C$25)*(100%-'Données projet'!$C$26)*(100%-'Données projet'!$C$27)</f>
        <v>4.12472873633389</v>
      </c>
      <c r="J10" s="159">
        <f>IF(OR('Données projet'!B13="",'Données projet'!C13="",'Données projet'!C13=0%),0,SUM(Calculateur!$DB$3:$DB$33)*VLOOKUP('Données projet'!$B$13,Paramètres!$A$1:$I$89,9,0)*B10)</f>
        <v>62.022168000000001</v>
      </c>
      <c r="K10" s="160">
        <f>J10*(100%-'Données projet'!$C$24)*(100%-'Données projet'!$C$25)*(100%-'Données projet'!$C$26)*(100%-'Données projet'!$C$27)</f>
        <v>53.028953639999997</v>
      </c>
      <c r="L10" s="161">
        <f t="shared" ca="1" si="2"/>
        <v>614.45304114455371</v>
      </c>
      <c r="M10" s="25">
        <f ca="1">L10/B10</f>
        <v>285.42040186945081</v>
      </c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1927.2630456744175</v>
      </c>
      <c r="G16" s="175">
        <f t="shared" ca="1" si="3"/>
        <v>1647.8099040516267</v>
      </c>
      <c r="H16" s="176">
        <f t="shared" si="3"/>
        <v>10.003543897047592</v>
      </c>
      <c r="I16" s="176">
        <f t="shared" si="3"/>
        <v>8.5530300319756911</v>
      </c>
      <c r="J16" s="177">
        <f t="shared" si="3"/>
        <v>85.734167999999997</v>
      </c>
      <c r="K16" s="177">
        <f t="shared" si="3"/>
        <v>73.302713639999993</v>
      </c>
      <c r="L16" s="178">
        <f t="shared" ca="1" si="3"/>
        <v>1729.6656477236027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chevelu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Pin laricio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F6" zoomScale="90" zoomScaleNormal="90" workbookViewId="0">
      <selection activeCell="S32" sqref="S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chevelu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639.20232097639189</v>
      </c>
      <c r="U10" s="190">
        <f>'Données projet'!D9</f>
        <v>1.248</v>
      </c>
      <c r="V10" s="189">
        <f>U10*T10</f>
        <v>797.72449657853713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1103.5023267707152</v>
      </c>
      <c r="U11" s="190">
        <f>'Données projet'!D10</f>
        <v>1.248</v>
      </c>
      <c r="V11" s="189">
        <f t="shared" ref="V11" si="0">U11*T11</f>
        <v>1377.1709038098525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639.20232097639189</v>
      </c>
      <c r="U12" s="190">
        <f>'Données projet'!D11</f>
        <v>0.99839999999999995</v>
      </c>
      <c r="V12" s="189">
        <f t="shared" ref="V12:V19" si="1">U12*T12</f>
        <v>638.17959726282959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964.48101674448367</v>
      </c>
      <c r="U13" s="190">
        <f>'Données projet'!D12</f>
        <v>2.1528</v>
      </c>
      <c r="V13" s="189">
        <f t="shared" si="1"/>
        <v>2076.3347328475243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chevelu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laricio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1561.5859711872515</v>
      </c>
      <c r="U14" s="190">
        <f>'Données projet'!D13</f>
        <v>2.1528</v>
      </c>
      <c r="V14" s="189">
        <f t="shared" si="1"/>
        <v>3361.7822787719151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6060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630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630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-55717.35909979562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>
        <v>4</v>
      </c>
      <c r="I24" s="204">
        <v>630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13</v>
      </c>
      <c r="C25" s="206">
        <v>20</v>
      </c>
      <c r="D25" s="194">
        <f t="shared" si="2"/>
        <v>260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-55717.35909979562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14</v>
      </c>
      <c r="C26" s="206">
        <v>25</v>
      </c>
      <c r="D26" s="194">
        <f t="shared" si="2"/>
        <v>350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14</v>
      </c>
      <c r="C27" s="206">
        <v>25</v>
      </c>
      <c r="D27" s="194">
        <f t="shared" si="2"/>
        <v>350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14</v>
      </c>
      <c r="C28" s="206">
        <v>25</v>
      </c>
      <c r="D28" s="194">
        <f t="shared" si="2"/>
        <v>350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14</v>
      </c>
      <c r="C29" s="206">
        <v>35</v>
      </c>
      <c r="D29" s="194">
        <f t="shared" si="2"/>
        <v>490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14</v>
      </c>
      <c r="C30" s="206">
        <v>35</v>
      </c>
      <c r="D30" s="194">
        <f t="shared" si="2"/>
        <v>490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14</v>
      </c>
      <c r="C31" s="206">
        <v>35</v>
      </c>
      <c r="D31" s="194">
        <f t="shared" si="2"/>
        <v>490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14</v>
      </c>
      <c r="C32" s="206">
        <v>45</v>
      </c>
      <c r="D32" s="194">
        <f t="shared" si="2"/>
        <v>630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14</v>
      </c>
      <c r="C33" s="206">
        <v>45</v>
      </c>
      <c r="D33" s="194">
        <f t="shared" si="2"/>
        <v>630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14</v>
      </c>
      <c r="C34" s="206">
        <v>45</v>
      </c>
      <c r="D34" s="194">
        <f t="shared" si="2"/>
        <v>630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14</v>
      </c>
      <c r="C35" s="206">
        <v>60</v>
      </c>
      <c r="D35" s="194">
        <f t="shared" si="2"/>
        <v>840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14</v>
      </c>
      <c r="C36" s="206">
        <v>60</v>
      </c>
      <c r="D36" s="194">
        <f t="shared" si="2"/>
        <v>840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14</v>
      </c>
      <c r="C37" s="206">
        <v>60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13</v>
      </c>
      <c r="C38" s="206">
        <v>80</v>
      </c>
      <c r="D38" s="194">
        <f t="shared" si="2"/>
        <v>1040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13</v>
      </c>
      <c r="C39" s="206">
        <v>80</v>
      </c>
      <c r="D39" s="194">
        <f t="shared" si="2"/>
        <v>1040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13</v>
      </c>
      <c r="C40" s="206">
        <v>80</v>
      </c>
      <c r="D40" s="194">
        <f t="shared" si="2"/>
        <v>1040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13</v>
      </c>
      <c r="C41" s="206">
        <v>120</v>
      </c>
      <c r="D41" s="194">
        <f t="shared" si="2"/>
        <v>1560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222</v>
      </c>
      <c r="C42" s="206">
        <v>150</v>
      </c>
      <c r="D42" s="194">
        <f t="shared" si="2"/>
        <v>33300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4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21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17</v>
      </c>
      <c r="C56" s="204">
        <v>12</v>
      </c>
      <c r="D56" s="191">
        <f t="shared" si="4"/>
        <v>204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14</v>
      </c>
      <c r="C57" s="204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11</v>
      </c>
      <c r="C58" s="204">
        <v>15</v>
      </c>
      <c r="D58" s="191">
        <f t="shared" si="4"/>
        <v>165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9</v>
      </c>
      <c r="C59" s="204">
        <v>15</v>
      </c>
      <c r="D59" s="191">
        <f t="shared" si="4"/>
        <v>135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7</v>
      </c>
      <c r="C60" s="204">
        <v>15</v>
      </c>
      <c r="D60" s="191">
        <f t="shared" si="4"/>
        <v>105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6</v>
      </c>
      <c r="C61" s="204">
        <v>15</v>
      </c>
      <c r="D61" s="191">
        <f t="shared" si="4"/>
        <v>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252</v>
      </c>
      <c r="C62" s="204">
        <v>25</v>
      </c>
      <c r="D62" s="191">
        <f t="shared" si="4"/>
        <v>6300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13</v>
      </c>
      <c r="C87" s="204">
        <v>20</v>
      </c>
      <c r="D87" s="191">
        <f t="shared" si="6"/>
        <v>260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14</v>
      </c>
      <c r="C88" s="204">
        <v>25</v>
      </c>
      <c r="D88" s="191">
        <f t="shared" si="6"/>
        <v>350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14</v>
      </c>
      <c r="C89" s="204">
        <v>25</v>
      </c>
      <c r="D89" s="191">
        <f t="shared" si="6"/>
        <v>350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14</v>
      </c>
      <c r="C90" s="204">
        <v>25</v>
      </c>
      <c r="D90" s="191">
        <f t="shared" si="6"/>
        <v>350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14</v>
      </c>
      <c r="C91" s="204">
        <v>35</v>
      </c>
      <c r="D91" s="191">
        <f t="shared" si="6"/>
        <v>490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14</v>
      </c>
      <c r="C92" s="204">
        <v>35</v>
      </c>
      <c r="D92" s="191">
        <f t="shared" si="6"/>
        <v>490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14</v>
      </c>
      <c r="C93" s="204">
        <v>35</v>
      </c>
      <c r="D93" s="191">
        <f t="shared" si="6"/>
        <v>490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14</v>
      </c>
      <c r="C94" s="204">
        <v>45</v>
      </c>
      <c r="D94" s="191">
        <f t="shared" si="6"/>
        <v>630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14</v>
      </c>
      <c r="C95" s="204">
        <v>45</v>
      </c>
      <c r="D95" s="191">
        <f t="shared" si="6"/>
        <v>630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14</v>
      </c>
      <c r="C96" s="204">
        <v>45</v>
      </c>
      <c r="D96" s="191">
        <f t="shared" si="6"/>
        <v>630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14</v>
      </c>
      <c r="C97" s="204">
        <v>60</v>
      </c>
      <c r="D97" s="191">
        <f t="shared" si="6"/>
        <v>840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14</v>
      </c>
      <c r="C98" s="204">
        <v>60</v>
      </c>
      <c r="D98" s="191">
        <f t="shared" si="6"/>
        <v>840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14</v>
      </c>
      <c r="C99" s="204">
        <v>60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13</v>
      </c>
      <c r="C100" s="204">
        <v>80</v>
      </c>
      <c r="D100" s="191">
        <f t="shared" si="6"/>
        <v>1040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13</v>
      </c>
      <c r="C101" s="204">
        <v>80</v>
      </c>
      <c r="D101" s="191">
        <f t="shared" si="6"/>
        <v>1040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13</v>
      </c>
      <c r="C102" s="204">
        <v>80</v>
      </c>
      <c r="D102" s="191">
        <f t="shared" si="6"/>
        <v>1040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13</v>
      </c>
      <c r="C103" s="204">
        <v>120</v>
      </c>
      <c r="D103" s="191">
        <f t="shared" si="6"/>
        <v>1560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222</v>
      </c>
      <c r="C104" s="204">
        <v>150</v>
      </c>
      <c r="D104" s="191">
        <f t="shared" si="6"/>
        <v>33300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0</v>
      </c>
      <c r="C116" s="204"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>
        <v>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40</v>
      </c>
      <c r="B118" s="193">
        <f>'Données projet'!D116</f>
        <v>63</v>
      </c>
      <c r="C118" s="204">
        <v>15</v>
      </c>
      <c r="D118" s="191">
        <f t="shared" si="8"/>
        <v>945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50</v>
      </c>
      <c r="B119" s="193">
        <f>'Données projet'!D117</f>
        <v>0</v>
      </c>
      <c r="C119" s="204">
        <v>0</v>
      </c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60</v>
      </c>
      <c r="B120" s="193">
        <f>'Données projet'!D118</f>
        <v>67</v>
      </c>
      <c r="C120" s="204">
        <v>32</v>
      </c>
      <c r="D120" s="191">
        <f t="shared" si="8"/>
        <v>2144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70</v>
      </c>
      <c r="B121" s="193">
        <f>'Données projet'!D119</f>
        <v>69</v>
      </c>
      <c r="C121" s="204">
        <v>45</v>
      </c>
      <c r="D121" s="191">
        <f t="shared" si="8"/>
        <v>3105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80</v>
      </c>
      <c r="B122" s="193">
        <f>'Données projet'!D120</f>
        <v>71</v>
      </c>
      <c r="C122" s="204">
        <v>58</v>
      </c>
      <c r="D122" s="191">
        <f t="shared" si="8"/>
        <v>4118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90</v>
      </c>
      <c r="B123" s="193">
        <f>'Données projet'!D121</f>
        <v>73</v>
      </c>
      <c r="C123" s="204">
        <v>62</v>
      </c>
      <c r="D123" s="191">
        <f t="shared" si="8"/>
        <v>4526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100</v>
      </c>
      <c r="B124" s="193">
        <f>'Données projet'!D122</f>
        <v>375</v>
      </c>
      <c r="C124" s="204">
        <v>65</v>
      </c>
      <c r="D124" s="191">
        <f t="shared" si="8"/>
        <v>24375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Pin laricio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22</v>
      </c>
      <c r="B147" s="187">
        <f>'Données projet'!D140</f>
        <v>16</v>
      </c>
      <c r="C147" s="204">
        <v>15</v>
      </c>
      <c r="D147" s="194">
        <f>B147*C147</f>
        <v>240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17</v>
      </c>
      <c r="C148" s="204">
        <v>20</v>
      </c>
      <c r="D148" s="194">
        <f t="shared" ref="D148:D166" si="10">B148*C148</f>
        <v>340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34</v>
      </c>
      <c r="C149" s="204">
        <v>25</v>
      </c>
      <c r="D149" s="194">
        <f t="shared" si="10"/>
        <v>850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41</v>
      </c>
      <c r="C150" s="204">
        <v>25</v>
      </c>
      <c r="D150" s="194">
        <f t="shared" si="10"/>
        <v>1025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41</v>
      </c>
      <c r="C151" s="204">
        <v>25</v>
      </c>
      <c r="D151" s="194">
        <f t="shared" si="10"/>
        <v>1025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53</v>
      </c>
      <c r="C152" s="204">
        <v>35</v>
      </c>
      <c r="D152" s="194">
        <f t="shared" si="10"/>
        <v>1855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53</v>
      </c>
      <c r="C153" s="204">
        <v>35</v>
      </c>
      <c r="D153" s="194">
        <f t="shared" si="10"/>
        <v>1855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58</v>
      </c>
      <c r="B154" s="187">
        <f>'Données projet'!D147</f>
        <v>78</v>
      </c>
      <c r="C154" s="204">
        <v>45</v>
      </c>
      <c r="D154" s="194">
        <f t="shared" si="10"/>
        <v>3510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66</v>
      </c>
      <c r="B155" s="187">
        <f>'Données projet'!D148</f>
        <v>65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74</v>
      </c>
      <c r="B156" s="187">
        <f>'Données projet'!D149</f>
        <v>37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82</v>
      </c>
      <c r="B157" s="187">
        <f>'Données projet'!D150</f>
        <v>555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2024-07-15T07:37:33Z</dcterms:modified>
</cp:coreProperties>
</file>