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Chambres d'Agriculture/Yoann Terrien/Dossier LBC/"/>
    </mc:Choice>
  </mc:AlternateContent>
  <xr:revisionPtr revIDLastSave="162" documentId="11_785EBEBB6478A93751353AF968EBF6B69F868F6A" xr6:coauthVersionLast="47" xr6:coauthVersionMax="47" xr10:uidLastSave="{B178F45F-F476-49C9-8287-8D7FA40FB8E6}"/>
  <bookViews>
    <workbookView xWindow="-110" yWindow="-110" windowWidth="19420" windowHeight="1150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FS38" i="2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I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EW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V85" i="2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HH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Y154" i="2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D160" i="2"/>
  <c r="EB161" i="2"/>
  <c r="EX161" i="2"/>
  <c r="AB161" i="2"/>
  <c r="EA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HH162" i="2"/>
  <c r="EW162" i="2"/>
  <c r="EY161" i="2"/>
  <c r="DI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Y162" i="2"/>
  <c r="EB163" i="2"/>
  <c r="ED162" i="2"/>
  <c r="HI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 l="1"/>
  <c r="DI163" i="2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HJ166" i="2" s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HG172" i="2"/>
  <c r="EV172" i="2"/>
  <c r="EA172" i="2"/>
  <c r="EW172" i="2"/>
  <c r="EB172" i="2"/>
  <c r="ED172" i="2" s="1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G179" i="2" l="1"/>
  <c r="ED178" i="2"/>
  <c r="EB179" i="2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EY182" i="2" s="1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ED184" i="2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Y186" i="2"/>
  <c r="HH187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V189" i="2"/>
  <c r="HH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W190" i="2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HH192" i="2"/>
  <c r="EY191" i="2"/>
  <c r="EV192" i="2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EB193" i="2"/>
  <c r="DI192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FS197" i="2"/>
  <c r="EY196" i="2"/>
  <c r="AA197" i="2"/>
  <c r="EW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HG199" i="2"/>
  <c r="EB199" i="2"/>
  <c r="FS199" i="2"/>
  <c r="EW199" i="2"/>
  <c r="EA199" i="2"/>
  <c r="HH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HJ200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S202" i="2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BC68" i="2" a="1"/>
  <c r="BC68" i="2" s="1"/>
  <c r="BC47" i="2" a="1"/>
  <c r="BC47" i="2" s="1"/>
  <c r="BC65" i="2" a="1"/>
  <c r="BC65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07" i="2" a="1"/>
  <c r="FD107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AX200" i="2"/>
  <c r="FY71" i="2" l="1" a="1"/>
  <c r="FY71" i="2" s="1"/>
  <c r="FY18" i="2" a="1"/>
  <c r="FY18" i="2" s="1"/>
  <c r="HH203" i="2"/>
  <c r="HG203" i="2"/>
  <c r="FY54" i="2" a="1"/>
  <c r="FY54" i="2" s="1"/>
  <c r="FD59" i="2" a="1"/>
  <c r="FD59" i="2" s="1"/>
  <c r="FD159" i="2" a="1"/>
  <c r="FD159" i="2" s="1"/>
  <c r="FD167" i="2" a="1"/>
  <c r="FD167" i="2" s="1"/>
  <c r="FD131" i="2" a="1"/>
  <c r="FD131" i="2" s="1"/>
  <c r="FD43" i="2" a="1"/>
  <c r="FD43" i="2" s="1"/>
  <c r="FD64" i="2" a="1"/>
  <c r="FD64" i="2" s="1"/>
  <c r="FD189" i="2" a="1"/>
  <c r="FD189" i="2" s="1"/>
  <c r="FD14" i="2" a="1"/>
  <c r="FD14" i="2" s="1"/>
  <c r="BC181" i="2" a="1"/>
  <c r="BC181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CD60" i="2" l="1"/>
  <c r="CD35" i="2"/>
  <c r="CD187" i="2"/>
  <c r="CD116" i="2"/>
  <c r="CD96" i="2"/>
  <c r="CD192" i="2"/>
  <c r="CD57" i="2"/>
  <c r="CD42" i="2"/>
  <c r="CD180" i="2"/>
  <c r="CD93" i="2"/>
  <c r="CD64" i="2"/>
  <c r="CD114" i="2"/>
  <c r="CD162" i="2"/>
  <c r="CD195" i="2"/>
  <c r="CD115" i="2"/>
  <c r="CD12" i="2"/>
  <c r="CD74" i="2"/>
  <c r="CD191" i="2"/>
  <c r="CD136" i="2"/>
  <c r="CD188" i="2"/>
  <c r="CD4" i="2"/>
  <c r="CD45" i="2"/>
  <c r="CD123" i="2"/>
  <c r="CD126" i="2"/>
  <c r="CD62" i="2"/>
  <c r="CD131" i="2"/>
  <c r="CD119" i="2"/>
  <c r="CD128" i="2"/>
  <c r="CD83" i="2"/>
  <c r="CD196" i="2"/>
  <c r="CD167" i="2"/>
  <c r="CD121" i="2"/>
  <c r="CD174" i="2"/>
  <c r="CD106" i="2"/>
  <c r="CD165" i="2"/>
  <c r="CD22" i="2"/>
  <c r="CD166" i="2"/>
  <c r="CD113" i="2"/>
  <c r="CD129" i="2"/>
  <c r="CD47" i="2"/>
  <c r="CD178" i="2"/>
  <c r="CD11" i="2"/>
  <c r="CD10" i="2"/>
  <c r="CD159" i="2"/>
  <c r="CD152" i="2"/>
  <c r="CD72" i="2"/>
  <c r="CD85" i="2"/>
  <c r="CD160" i="2"/>
  <c r="CD43" i="2"/>
  <c r="CD198" i="2"/>
  <c r="CD173" i="2"/>
  <c r="CD34" i="2"/>
  <c r="CD84" i="2"/>
  <c r="CD81" i="2"/>
  <c r="CD108" i="2"/>
  <c r="CD88" i="2"/>
  <c r="CD148" i="2"/>
  <c r="CD58" i="2"/>
  <c r="CD149" i="2"/>
  <c r="CD127" i="2"/>
  <c r="CD194" i="2"/>
  <c r="CD146" i="2"/>
  <c r="CD41" i="2"/>
  <c r="CD164" i="2"/>
  <c r="CD151" i="2"/>
  <c r="CD63" i="2"/>
  <c r="CD26" i="2"/>
  <c r="CD56" i="2"/>
  <c r="CD175" i="2"/>
  <c r="CD203" i="2"/>
  <c r="CD18" i="2"/>
  <c r="CD150" i="2"/>
  <c r="CD55" i="2"/>
  <c r="CD110" i="2"/>
  <c r="CD52" i="2"/>
  <c r="CD71" i="2"/>
  <c r="CD24" i="2"/>
  <c r="CD29" i="2"/>
  <c r="CD190" i="2"/>
  <c r="CD53" i="2"/>
  <c r="CD98" i="2"/>
  <c r="CD86" i="2"/>
  <c r="CD7" i="2"/>
  <c r="CD90" i="2"/>
  <c r="CD133" i="2"/>
  <c r="CD154" i="2"/>
  <c r="CD143" i="2"/>
  <c r="CD28" i="2"/>
  <c r="CD39" i="2"/>
  <c r="CD163" i="2"/>
  <c r="CD70" i="2"/>
  <c r="CD176" i="2"/>
  <c r="CD155" i="2"/>
  <c r="CD3" i="2"/>
  <c r="C9" i="4" s="1"/>
  <c r="E9" i="4" s="1"/>
  <c r="F9" i="4" s="1"/>
  <c r="G9" i="4" s="1"/>
  <c r="L9" i="4" s="1"/>
  <c r="CD87" i="2"/>
  <c r="CD51" i="2"/>
  <c r="CD17" i="2"/>
  <c r="CD177" i="2"/>
  <c r="CD130" i="2"/>
  <c r="CD92" i="2"/>
  <c r="CD37" i="2"/>
  <c r="CD147" i="2"/>
  <c r="CD44" i="2"/>
  <c r="CD122" i="2"/>
  <c r="CD33" i="2"/>
  <c r="CD171" i="2"/>
  <c r="CD189" i="2"/>
  <c r="CD9" i="2"/>
  <c r="CD134" i="2"/>
  <c r="CD61" i="2"/>
  <c r="CD100" i="2"/>
  <c r="CD30" i="2"/>
  <c r="CD31" i="2"/>
  <c r="CD67" i="2"/>
  <c r="CD54" i="2"/>
  <c r="CD48" i="2"/>
  <c r="CD118" i="2"/>
  <c r="CD144" i="2"/>
  <c r="CD117" i="2"/>
  <c r="CD200" i="2"/>
  <c r="CD141" i="2"/>
  <c r="CD202" i="2"/>
  <c r="CD107" i="2"/>
  <c r="CD132" i="2"/>
  <c r="CD27" i="2"/>
  <c r="CD172" i="2"/>
  <c r="CD102" i="2"/>
  <c r="CD158" i="2"/>
  <c r="CD101" i="2"/>
  <c r="CD94" i="2"/>
  <c r="CD184" i="2"/>
  <c r="CD140" i="2"/>
  <c r="CD46" i="2"/>
  <c r="CD65" i="2"/>
  <c r="CD185" i="2"/>
  <c r="CD25" i="2"/>
  <c r="CD69" i="2"/>
  <c r="CD137" i="2"/>
  <c r="CD6" i="2"/>
  <c r="CD124" i="2"/>
  <c r="CD23" i="2"/>
  <c r="CD36" i="2"/>
  <c r="CD59" i="2"/>
  <c r="CD103" i="2"/>
  <c r="CD199" i="2"/>
  <c r="CD109" i="2"/>
  <c r="CD89" i="2"/>
  <c r="CD75" i="2"/>
  <c r="CD76" i="2"/>
  <c r="CD112" i="2"/>
  <c r="CD78" i="2"/>
  <c r="CD168" i="2"/>
  <c r="CD49" i="2"/>
  <c r="CD157" i="2"/>
  <c r="CD95" i="2"/>
  <c r="CD97" i="2"/>
  <c r="CD20" i="2"/>
  <c r="CD179" i="2"/>
  <c r="CD99" i="2"/>
  <c r="CD153" i="2"/>
  <c r="CD82" i="2"/>
  <c r="CD170" i="2"/>
  <c r="CD66" i="2"/>
  <c r="CD183" i="2"/>
  <c r="CD186" i="2"/>
  <c r="CD80" i="2"/>
  <c r="CD8" i="2"/>
  <c r="CD135" i="2"/>
  <c r="CD77" i="2"/>
  <c r="CD145" i="2"/>
  <c r="CD156" i="2"/>
  <c r="CD19" i="2"/>
  <c r="CD120" i="2"/>
  <c r="CD73" i="2"/>
  <c r="CD182" i="2"/>
  <c r="CD13" i="2"/>
  <c r="CD79" i="2"/>
  <c r="CD201" i="2"/>
  <c r="CD111" i="2"/>
  <c r="CD16" i="2"/>
  <c r="CD32" i="2"/>
  <c r="CD40" i="2"/>
  <c r="CD142" i="2"/>
  <c r="CD14" i="2"/>
  <c r="CD169" i="2"/>
  <c r="CD50" i="2"/>
  <c r="CD181" i="2"/>
  <c r="CD68" i="2"/>
  <c r="CD193" i="2"/>
  <c r="CD161" i="2"/>
  <c r="CD105" i="2"/>
  <c r="CD104" i="2"/>
  <c r="CD21" i="2"/>
  <c r="CD138" i="2"/>
  <c r="CD91" i="2"/>
  <c r="CD197" i="2"/>
  <c r="CD125" i="2"/>
  <c r="CD38" i="2"/>
  <c r="CD15" i="2"/>
  <c r="CD5" i="2"/>
  <c r="CD139" i="2"/>
  <c r="FE106" i="2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GE130" i="2" l="1"/>
  <c r="GE181" i="2"/>
  <c r="GE77" i="2"/>
  <c r="GE169" i="2"/>
  <c r="GE9" i="2"/>
  <c r="GE173" i="2"/>
  <c r="GE141" i="2"/>
  <c r="GE56" i="2"/>
  <c r="GE129" i="2"/>
  <c r="GE123" i="2"/>
  <c r="GE145" i="2"/>
  <c r="GE21" i="2"/>
  <c r="GE148" i="2"/>
  <c r="GE5" i="2"/>
  <c r="GE180" i="2"/>
  <c r="GE58" i="2"/>
  <c r="GE120" i="2"/>
  <c r="GE52" i="2"/>
  <c r="GE99" i="2"/>
  <c r="GE194" i="2"/>
  <c r="GE176" i="2"/>
  <c r="GE161" i="2"/>
  <c r="GE40" i="2"/>
  <c r="GE172" i="2"/>
  <c r="GE178" i="2"/>
  <c r="GE191" i="2"/>
  <c r="GE36" i="2"/>
  <c r="GE41" i="2"/>
  <c r="GE95" i="2"/>
  <c r="GE137" i="2"/>
  <c r="GE54" i="2"/>
  <c r="GE116" i="2"/>
  <c r="GE190" i="2"/>
  <c r="GE118" i="2"/>
  <c r="GE153" i="2"/>
  <c r="GE138" i="2"/>
  <c r="GE146" i="2"/>
  <c r="GE73" i="2"/>
  <c r="GE6" i="2"/>
  <c r="GE13" i="2"/>
  <c r="GE104" i="2"/>
  <c r="GE27" i="2"/>
  <c r="GE100" i="2"/>
  <c r="GE51" i="2"/>
  <c r="GE96" i="2"/>
  <c r="GE80" i="2"/>
  <c r="GE126" i="2"/>
  <c r="GE60" i="2"/>
  <c r="GE197" i="2"/>
  <c r="GE32" i="2"/>
  <c r="GE117" i="2"/>
  <c r="GE154" i="2"/>
  <c r="GE110" i="2"/>
  <c r="GE98" i="2"/>
  <c r="GE127" i="2"/>
  <c r="GE108" i="2"/>
  <c r="GE70" i="2"/>
  <c r="GE22" i="2"/>
  <c r="GE17" i="2"/>
  <c r="GE24" i="2"/>
  <c r="GE175" i="2"/>
  <c r="GE49" i="2"/>
  <c r="GE187" i="2"/>
  <c r="GE107" i="2"/>
  <c r="GE121" i="2"/>
  <c r="GE203" i="2"/>
  <c r="GE81" i="2"/>
  <c r="GE43" i="2"/>
  <c r="GE151" i="2"/>
  <c r="GE155" i="2"/>
  <c r="GE183" i="2"/>
  <c r="GE177" i="2"/>
  <c r="GE200" i="2"/>
  <c r="GE199" i="2"/>
  <c r="GE188" i="2"/>
  <c r="GE61" i="2"/>
  <c r="GE135" i="2"/>
  <c r="GE65" i="2"/>
  <c r="GE167" i="2"/>
  <c r="GE198" i="2"/>
  <c r="GE35" i="2"/>
  <c r="GE11" i="2"/>
  <c r="GE144" i="2"/>
  <c r="GE76" i="2"/>
  <c r="GE71" i="2"/>
  <c r="GE131" i="2"/>
  <c r="GE47" i="2"/>
  <c r="GE87" i="2"/>
  <c r="GE38" i="2"/>
  <c r="GE164" i="2"/>
  <c r="GE122" i="2"/>
  <c r="GE147" i="2"/>
  <c r="GE182" i="2"/>
  <c r="GE192" i="2"/>
  <c r="GE20" i="2"/>
  <c r="GE72" i="2"/>
  <c r="GE68" i="2"/>
  <c r="GE29" i="2"/>
  <c r="GE143" i="2"/>
  <c r="GE166" i="2"/>
  <c r="GE12" i="2"/>
  <c r="GE134" i="2"/>
  <c r="GE156" i="2"/>
  <c r="GE48" i="2"/>
  <c r="GE59" i="2"/>
  <c r="GE37" i="2"/>
  <c r="GE157" i="2"/>
  <c r="GE7" i="2"/>
  <c r="GE67" i="2"/>
  <c r="GE26" i="2"/>
  <c r="GE112" i="2"/>
  <c r="GE46" i="2"/>
  <c r="GE39" i="2"/>
  <c r="GE55" i="2"/>
  <c r="GE83" i="2"/>
  <c r="GE201" i="2"/>
  <c r="GE93" i="2"/>
  <c r="GE125" i="2"/>
  <c r="GE44" i="2"/>
  <c r="GE16" i="2"/>
  <c r="GE103" i="2"/>
  <c r="GE159" i="2"/>
  <c r="GE84" i="2"/>
  <c r="GE106" i="2"/>
  <c r="GE168" i="2"/>
  <c r="GE91" i="2"/>
  <c r="GE23" i="2"/>
  <c r="GE184" i="2"/>
  <c r="GE113" i="2"/>
  <c r="GE62" i="2"/>
  <c r="GE105" i="2"/>
  <c r="GE119" i="2"/>
  <c r="GE45" i="2"/>
  <c r="GE57" i="2"/>
  <c r="GE195" i="2"/>
  <c r="GE170" i="2"/>
  <c r="GE193" i="2"/>
  <c r="GE97" i="2"/>
  <c r="GE15" i="2"/>
  <c r="GE186" i="2"/>
  <c r="GE74" i="2"/>
  <c r="GE102" i="2"/>
  <c r="GE142" i="2"/>
  <c r="GE4" i="2"/>
  <c r="GE92" i="2"/>
  <c r="GE171" i="2"/>
  <c r="GE50" i="2"/>
  <c r="GE79" i="2"/>
  <c r="GE111" i="2"/>
  <c r="GE86" i="2"/>
  <c r="GE196" i="2"/>
  <c r="GE139" i="2"/>
  <c r="GE89" i="2"/>
  <c r="GE78" i="2"/>
  <c r="GE163" i="2"/>
  <c r="GE75" i="2"/>
  <c r="GE8" i="2"/>
  <c r="GE149" i="2"/>
  <c r="GE165" i="2"/>
  <c r="GE42" i="2"/>
  <c r="GE189" i="2"/>
  <c r="GE94" i="2"/>
  <c r="GE140" i="2"/>
  <c r="GE115" i="2"/>
  <c r="GE64" i="2"/>
  <c r="GE133" i="2"/>
  <c r="GE101" i="2"/>
  <c r="GE28" i="2"/>
  <c r="GE162" i="2"/>
  <c r="GE136" i="2"/>
  <c r="GE33" i="2"/>
  <c r="GE158" i="2"/>
  <c r="GE18" i="2"/>
  <c r="GE63" i="2"/>
  <c r="GE14" i="2"/>
  <c r="GE132" i="2"/>
  <c r="GE128" i="2"/>
  <c r="GE25" i="2"/>
  <c r="GE90" i="2"/>
  <c r="GE174" i="2"/>
  <c r="GE82" i="2"/>
  <c r="GE185" i="2"/>
  <c r="GE34" i="2"/>
  <c r="GE114" i="2"/>
  <c r="GE85" i="2"/>
  <c r="GE124" i="2"/>
  <c r="GE69" i="2"/>
  <c r="GE152" i="2"/>
  <c r="GE53" i="2"/>
  <c r="GE109" i="2"/>
  <c r="GE179" i="2"/>
  <c r="GE66" i="2"/>
  <c r="GE10" i="2"/>
  <c r="GE160" i="2"/>
  <c r="GE150" i="2"/>
  <c r="GE31" i="2"/>
  <c r="GE3" i="2"/>
  <c r="C14" i="4" s="1"/>
  <c r="E14" i="4" s="1"/>
  <c r="F14" i="4" s="1"/>
  <c r="G14" i="4" s="1"/>
  <c r="L14" i="4" s="1"/>
  <c r="GE19" i="2"/>
  <c r="GE88" i="2"/>
  <c r="GE30" i="2"/>
  <c r="GE202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DT35" i="2" l="1"/>
  <c r="DT13" i="2"/>
  <c r="DT144" i="2"/>
  <c r="DT124" i="2"/>
  <c r="DT79" i="2"/>
  <c r="DT195" i="2"/>
  <c r="DT86" i="2"/>
  <c r="DT78" i="2"/>
  <c r="DT6" i="2"/>
  <c r="DT46" i="2"/>
  <c r="DT41" i="2"/>
  <c r="DT115" i="2"/>
  <c r="DT100" i="2"/>
  <c r="DT44" i="2"/>
  <c r="DT69" i="2"/>
  <c r="DT114" i="2"/>
  <c r="DT181" i="2"/>
  <c r="DT136" i="2"/>
  <c r="DT98" i="2"/>
  <c r="DT9" i="2"/>
  <c r="DT199" i="2"/>
  <c r="DT137" i="2"/>
  <c r="DT36" i="2"/>
  <c r="DT24" i="2"/>
  <c r="DT74" i="2"/>
  <c r="DT171" i="2"/>
  <c r="DT143" i="2"/>
  <c r="DT140" i="2"/>
  <c r="DT11" i="2"/>
  <c r="DT148" i="2"/>
  <c r="DT93" i="2"/>
  <c r="DT81" i="2"/>
  <c r="DT122" i="2"/>
  <c r="DT40" i="2"/>
  <c r="DT52" i="2"/>
  <c r="DT19" i="2"/>
  <c r="DT89" i="2"/>
  <c r="DT176" i="2"/>
  <c r="DT32" i="2"/>
  <c r="DT60" i="2"/>
  <c r="DT30" i="2"/>
  <c r="DT156" i="2"/>
  <c r="DT87" i="2"/>
  <c r="DT26" i="2"/>
  <c r="DT168" i="2"/>
  <c r="DT55" i="2"/>
  <c r="DT25" i="2"/>
  <c r="DT61" i="2"/>
  <c r="DT170" i="2"/>
  <c r="DT18" i="2"/>
  <c r="DT155" i="2"/>
  <c r="DT82" i="2"/>
  <c r="DT72" i="2"/>
  <c r="DT127" i="2"/>
  <c r="DT154" i="2"/>
  <c r="DT23" i="2"/>
  <c r="DT178" i="2"/>
  <c r="DT14" i="2"/>
  <c r="DT189" i="2"/>
  <c r="DT12" i="2"/>
  <c r="DT174" i="2"/>
  <c r="DT182" i="2"/>
  <c r="DT172" i="2"/>
  <c r="DT64" i="2"/>
  <c r="DT92" i="2"/>
  <c r="DT163" i="2"/>
  <c r="DT116" i="2"/>
  <c r="DT196" i="2"/>
  <c r="DT117" i="2"/>
  <c r="DT103" i="2"/>
  <c r="DT17" i="2"/>
  <c r="DT145" i="2"/>
  <c r="DT47" i="2"/>
  <c r="DT123" i="2"/>
  <c r="DT192" i="2"/>
  <c r="DT50" i="2"/>
  <c r="DT21" i="2"/>
  <c r="DT97" i="2"/>
  <c r="DT147" i="2"/>
  <c r="DT102" i="2"/>
  <c r="DT33" i="2"/>
  <c r="DT91" i="2"/>
  <c r="DT202" i="2"/>
  <c r="DT113" i="2"/>
  <c r="DT16" i="2"/>
  <c r="DT167" i="2"/>
  <c r="DT161" i="2"/>
  <c r="DT95" i="2"/>
  <c r="DT200" i="2"/>
  <c r="DT84" i="2"/>
  <c r="DT133" i="2"/>
  <c r="DT197" i="2"/>
  <c r="DT165" i="2"/>
  <c r="DT173" i="2"/>
  <c r="DT112" i="2"/>
  <c r="DT166" i="2"/>
  <c r="DT96" i="2"/>
  <c r="DT146" i="2"/>
  <c r="DT183" i="2"/>
  <c r="DT159" i="2"/>
  <c r="DT49" i="2"/>
  <c r="DT62" i="2"/>
  <c r="DT119" i="2"/>
  <c r="DT38" i="2"/>
  <c r="DT27" i="2"/>
  <c r="DT164" i="2"/>
  <c r="DT94" i="2"/>
  <c r="DT76" i="2"/>
  <c r="DT180" i="2"/>
  <c r="DT43" i="2"/>
  <c r="DT130" i="2"/>
  <c r="DT104" i="2"/>
  <c r="DT160" i="2"/>
  <c r="DT48" i="2"/>
  <c r="DT90" i="2"/>
  <c r="DT179" i="2"/>
  <c r="DT88" i="2"/>
  <c r="DT201" i="2"/>
  <c r="DT68" i="2"/>
  <c r="DT56" i="2"/>
  <c r="DT15" i="2"/>
  <c r="DT150" i="2"/>
  <c r="DT111" i="2"/>
  <c r="DT158" i="2"/>
  <c r="DT134" i="2"/>
  <c r="DT141" i="2"/>
  <c r="DT191" i="2"/>
  <c r="DT169" i="2"/>
  <c r="DT4" i="2"/>
  <c r="DT120" i="2"/>
  <c r="DT54" i="2"/>
  <c r="DT80" i="2"/>
  <c r="DT77" i="2"/>
  <c r="DT70" i="2"/>
  <c r="DT198" i="2"/>
  <c r="DT203" i="2"/>
  <c r="DT131" i="2"/>
  <c r="DT109" i="2"/>
  <c r="DT118" i="2"/>
  <c r="DT5" i="2"/>
  <c r="DT58" i="2"/>
  <c r="DT8" i="2"/>
  <c r="DT107" i="2"/>
  <c r="DT3" i="2"/>
  <c r="C11" i="4" s="1"/>
  <c r="E11" i="4" s="1"/>
  <c r="F11" i="4" s="1"/>
  <c r="G11" i="4" s="1"/>
  <c r="L11" i="4" s="1"/>
  <c r="DT57" i="2"/>
  <c r="DT101" i="2"/>
  <c r="DT139" i="2"/>
  <c r="DT51" i="2"/>
  <c r="DT73" i="2"/>
  <c r="DT65" i="2"/>
  <c r="DT185" i="2"/>
  <c r="DT128" i="2"/>
  <c r="DT157" i="2"/>
  <c r="DT152" i="2"/>
  <c r="DT108" i="2"/>
  <c r="DT106" i="2"/>
  <c r="DT42" i="2"/>
  <c r="DT28" i="2"/>
  <c r="DT53" i="2"/>
  <c r="DT188" i="2"/>
  <c r="DT45" i="2"/>
  <c r="DT194" i="2"/>
  <c r="DT184" i="2"/>
  <c r="DT7" i="2"/>
  <c r="DT66" i="2"/>
  <c r="DT39" i="2"/>
  <c r="DT177" i="2"/>
  <c r="DT85" i="2"/>
  <c r="DT71" i="2"/>
  <c r="DT29" i="2"/>
  <c r="DT186" i="2"/>
  <c r="DT75" i="2"/>
  <c r="DT142" i="2"/>
  <c r="DT20" i="2"/>
  <c r="DT31" i="2"/>
  <c r="DT121" i="2"/>
  <c r="DT110" i="2"/>
  <c r="DT126" i="2"/>
  <c r="DT129" i="2"/>
  <c r="DT10" i="2"/>
  <c r="DT187" i="2"/>
  <c r="DT138" i="2"/>
  <c r="DT162" i="2"/>
  <c r="DT193" i="2"/>
  <c r="DT67" i="2"/>
  <c r="DT132" i="2"/>
  <c r="DT105" i="2"/>
  <c r="DT99" i="2"/>
  <c r="DT59" i="2"/>
  <c r="DT34" i="2"/>
  <c r="DT153" i="2"/>
  <c r="DT83" i="2"/>
  <c r="DT63" i="2"/>
  <c r="DT125" i="2"/>
  <c r="DT175" i="2"/>
  <c r="DT190" i="2"/>
  <c r="DT22" i="2"/>
  <c r="DT151" i="2"/>
  <c r="DT135" i="2"/>
  <c r="DT149" i="2"/>
  <c r="DT37" i="2"/>
  <c r="GZ8" i="2"/>
  <c r="GZ117" i="2"/>
  <c r="GZ27" i="2"/>
  <c r="GZ200" i="2"/>
  <c r="GZ180" i="2"/>
  <c r="GZ104" i="2"/>
  <c r="GZ103" i="2"/>
  <c r="GZ172" i="2"/>
  <c r="GZ70" i="2"/>
  <c r="GZ78" i="2"/>
  <c r="GZ141" i="2"/>
  <c r="GZ99" i="2"/>
  <c r="GZ174" i="2"/>
  <c r="GZ170" i="2"/>
  <c r="GZ66" i="2"/>
  <c r="GZ173" i="2"/>
  <c r="GZ54" i="2"/>
  <c r="GZ37" i="2"/>
  <c r="GZ135" i="2"/>
  <c r="GZ86" i="2"/>
  <c r="GZ56" i="2"/>
  <c r="GZ89" i="2"/>
  <c r="GZ178" i="2"/>
  <c r="GZ24" i="2"/>
  <c r="GZ105" i="2"/>
  <c r="GZ154" i="2"/>
  <c r="GZ134" i="2"/>
  <c r="GZ13" i="2"/>
  <c r="GZ193" i="2"/>
  <c r="GZ41" i="2"/>
  <c r="GZ68" i="2"/>
  <c r="GZ63" i="2"/>
  <c r="GZ4" i="2"/>
  <c r="GZ188" i="2"/>
  <c r="GZ175" i="2"/>
  <c r="GZ187" i="2"/>
  <c r="GZ33" i="2"/>
  <c r="GZ80" i="2"/>
  <c r="GZ184" i="2"/>
  <c r="GZ146" i="2"/>
  <c r="GZ31" i="2"/>
  <c r="GZ59" i="2"/>
  <c r="GZ159" i="2"/>
  <c r="GZ186" i="2"/>
  <c r="GZ171" i="2"/>
  <c r="GZ177" i="2"/>
  <c r="GZ143" i="2"/>
  <c r="GZ16" i="2"/>
  <c r="GZ21" i="2"/>
  <c r="GZ12" i="2"/>
  <c r="GZ73" i="2"/>
  <c r="GZ137" i="2"/>
  <c r="GZ81" i="2"/>
  <c r="GZ38" i="2"/>
  <c r="GZ18" i="2"/>
  <c r="GZ65" i="2"/>
  <c r="GZ124" i="2"/>
  <c r="GZ101" i="2"/>
  <c r="GZ136" i="2"/>
  <c r="GZ52" i="2"/>
  <c r="GZ72" i="2"/>
  <c r="GZ192" i="2"/>
  <c r="GZ161" i="2"/>
  <c r="GZ74" i="2"/>
  <c r="GZ176" i="2"/>
  <c r="GZ22" i="2"/>
  <c r="GZ83" i="2"/>
  <c r="GZ76" i="2"/>
  <c r="GZ62" i="2"/>
  <c r="GZ156" i="2"/>
  <c r="GZ25" i="2"/>
  <c r="GZ28" i="2"/>
  <c r="GZ34" i="2"/>
  <c r="GZ84" i="2"/>
  <c r="GZ15" i="2"/>
  <c r="GZ155" i="2"/>
  <c r="GZ23" i="2"/>
  <c r="GZ185" i="2"/>
  <c r="GZ166" i="2"/>
  <c r="GZ165" i="2"/>
  <c r="GZ148" i="2"/>
  <c r="GZ46" i="2"/>
  <c r="GZ29" i="2"/>
  <c r="GZ116" i="2"/>
  <c r="GZ153" i="2"/>
  <c r="GZ162" i="2"/>
  <c r="GZ144" i="2"/>
  <c r="GZ7" i="2"/>
  <c r="GZ88" i="2"/>
  <c r="GZ20" i="2"/>
  <c r="GZ57" i="2"/>
  <c r="GZ150" i="2"/>
  <c r="GZ122" i="2"/>
  <c r="GZ196" i="2"/>
  <c r="GZ39" i="2"/>
  <c r="GZ69" i="2"/>
  <c r="GZ9" i="2"/>
  <c r="GZ195" i="2"/>
  <c r="GZ32" i="2"/>
  <c r="GZ113" i="2"/>
  <c r="GZ190" i="2"/>
  <c r="GZ203" i="2"/>
  <c r="GZ10" i="2"/>
  <c r="GZ92" i="2"/>
  <c r="GZ126" i="2"/>
  <c r="GZ107" i="2"/>
  <c r="GZ145" i="2"/>
  <c r="GZ44" i="2"/>
  <c r="GZ169" i="2"/>
  <c r="GZ197" i="2"/>
  <c r="GZ198" i="2"/>
  <c r="GZ164" i="2"/>
  <c r="GZ129" i="2"/>
  <c r="GZ43" i="2"/>
  <c r="GZ51" i="2"/>
  <c r="GZ98" i="2"/>
  <c r="GZ128" i="2"/>
  <c r="GZ100" i="2"/>
  <c r="GZ167" i="2"/>
  <c r="GZ189" i="2"/>
  <c r="GZ14" i="2"/>
  <c r="GZ35" i="2"/>
  <c r="GZ91" i="2"/>
  <c r="GZ53" i="2"/>
  <c r="GZ106" i="2"/>
  <c r="GZ160" i="2"/>
  <c r="GZ132" i="2"/>
  <c r="GZ77" i="2"/>
  <c r="GZ93" i="2"/>
  <c r="GZ102" i="2"/>
  <c r="GZ97" i="2"/>
  <c r="GZ50" i="2"/>
  <c r="GZ95" i="2"/>
  <c r="GZ139" i="2"/>
  <c r="GZ87" i="2"/>
  <c r="GZ183" i="2"/>
  <c r="GZ58" i="2"/>
  <c r="GZ40" i="2"/>
  <c r="GZ5" i="2"/>
  <c r="GZ26" i="2"/>
  <c r="GZ142" i="2"/>
  <c r="GZ151" i="2"/>
  <c r="GZ130" i="2"/>
  <c r="GZ48" i="2"/>
  <c r="GZ47" i="2"/>
  <c r="GZ123" i="2"/>
  <c r="GZ118" i="2"/>
  <c r="GZ61" i="2"/>
  <c r="GZ64" i="2"/>
  <c r="GZ115" i="2"/>
  <c r="GZ109" i="2"/>
  <c r="GZ94" i="2"/>
  <c r="GZ179" i="2"/>
  <c r="GZ36" i="2"/>
  <c r="GZ17" i="2"/>
  <c r="GZ85" i="2"/>
  <c r="GZ121" i="2"/>
  <c r="GZ181" i="2"/>
  <c r="GZ110" i="2"/>
  <c r="GZ168" i="2"/>
  <c r="GZ60" i="2"/>
  <c r="GZ112" i="2"/>
  <c r="GZ158" i="2"/>
  <c r="GZ131" i="2"/>
  <c r="GZ127" i="2"/>
  <c r="GZ19" i="2"/>
  <c r="GZ96" i="2"/>
  <c r="GZ75" i="2"/>
  <c r="GZ125" i="2"/>
  <c r="GZ202" i="2"/>
  <c r="GZ191" i="2"/>
  <c r="GZ79" i="2"/>
  <c r="GZ55" i="2"/>
  <c r="GZ147" i="2"/>
  <c r="GZ152" i="2"/>
  <c r="GZ133" i="2"/>
  <c r="GZ71" i="2"/>
  <c r="GZ108" i="2"/>
  <c r="GZ42" i="2"/>
  <c r="GZ199" i="2"/>
  <c r="GZ45" i="2"/>
  <c r="GZ82" i="2"/>
  <c r="GZ201" i="2"/>
  <c r="GZ49" i="2"/>
  <c r="GZ138" i="2"/>
  <c r="GZ6" i="2"/>
  <c r="GZ119" i="2"/>
  <c r="GZ90" i="2"/>
  <c r="GZ111" i="2"/>
  <c r="GZ30" i="2"/>
  <c r="GZ67" i="2"/>
  <c r="GZ140" i="2"/>
  <c r="GZ163" i="2"/>
  <c r="GZ182" i="2"/>
  <c r="GZ157" i="2"/>
  <c r="GZ120" i="2"/>
  <c r="GZ11" i="2"/>
  <c r="GZ149" i="2"/>
  <c r="GZ114" i="2"/>
  <c r="GZ194" i="2"/>
  <c r="GZ3" i="2"/>
  <c r="C15" i="4" s="1"/>
  <c r="E15" i="4" s="1"/>
  <c r="F15" i="4" s="1"/>
  <c r="G15" i="4" s="1"/>
  <c r="L15" i="4" s="1"/>
  <c r="FJ156" i="2"/>
  <c r="FJ142" i="2"/>
  <c r="FJ196" i="2"/>
  <c r="FJ112" i="2"/>
  <c r="FJ166" i="2"/>
  <c r="FJ19" i="2"/>
  <c r="FJ130" i="2"/>
  <c r="FJ40" i="2"/>
  <c r="FJ150" i="2"/>
  <c r="FJ141" i="2"/>
  <c r="FJ186" i="2"/>
  <c r="FJ17" i="2"/>
  <c r="FJ99" i="2"/>
  <c r="FJ121" i="2"/>
  <c r="FJ24" i="2"/>
  <c r="FJ129" i="2"/>
  <c r="FJ199" i="2"/>
  <c r="FJ37" i="2"/>
  <c r="FJ151" i="2"/>
  <c r="FJ134" i="2"/>
  <c r="FJ8" i="2"/>
  <c r="FJ188" i="2"/>
  <c r="FJ153" i="2"/>
  <c r="FJ148" i="2"/>
  <c r="FJ198" i="2"/>
  <c r="FJ94" i="2"/>
  <c r="FJ201" i="2"/>
  <c r="FJ5" i="2"/>
  <c r="FJ106" i="2"/>
  <c r="FJ89" i="2"/>
  <c r="FJ190" i="2"/>
  <c r="FJ58" i="2"/>
  <c r="FJ184" i="2"/>
  <c r="FJ4" i="2"/>
  <c r="FJ87" i="2"/>
  <c r="FJ179" i="2"/>
  <c r="FJ70" i="2"/>
  <c r="FJ3" i="2"/>
  <c r="C13" i="4" s="1"/>
  <c r="E13" i="4" s="1"/>
  <c r="F13" i="4" s="1"/>
  <c r="G13" i="4" s="1"/>
  <c r="L13" i="4" s="1"/>
  <c r="FJ76" i="2"/>
  <c r="FJ169" i="2"/>
  <c r="FJ171" i="2"/>
  <c r="FJ114" i="2"/>
  <c r="FJ155" i="2"/>
  <c r="FJ102" i="2"/>
  <c r="FJ123" i="2"/>
  <c r="FJ109" i="2"/>
  <c r="FJ138" i="2"/>
  <c r="FJ25" i="2"/>
  <c r="FJ146" i="2"/>
  <c r="FJ131" i="2"/>
  <c r="FJ111" i="2"/>
  <c r="FJ43" i="2"/>
  <c r="FJ88" i="2"/>
  <c r="FJ195" i="2"/>
  <c r="FJ128" i="2"/>
  <c r="FJ108" i="2"/>
  <c r="FJ135" i="2"/>
  <c r="FJ23" i="2"/>
  <c r="FJ172" i="2"/>
  <c r="FJ42" i="2"/>
  <c r="FJ173" i="2"/>
  <c r="FJ167" i="2"/>
  <c r="FJ98" i="2"/>
  <c r="FJ81" i="2"/>
  <c r="FJ38" i="2"/>
  <c r="FJ197" i="2"/>
  <c r="FJ122" i="2"/>
  <c r="FJ126" i="2"/>
  <c r="FJ152" i="2"/>
  <c r="FJ104" i="2"/>
  <c r="FJ100" i="2"/>
  <c r="FJ20" i="2"/>
  <c r="FJ32" i="2"/>
  <c r="FJ187" i="2"/>
  <c r="FJ55" i="2"/>
  <c r="FJ101" i="2"/>
  <c r="FJ75" i="2"/>
  <c r="FJ178" i="2"/>
  <c r="FJ144" i="2"/>
  <c r="FJ149" i="2"/>
  <c r="FJ9" i="2"/>
  <c r="FJ6" i="2"/>
  <c r="FJ193" i="2"/>
  <c r="FJ177" i="2"/>
  <c r="FJ105" i="2"/>
  <c r="FJ170" i="2"/>
  <c r="FJ113" i="2"/>
  <c r="FJ127" i="2"/>
  <c r="FJ79" i="2"/>
  <c r="FJ136" i="2"/>
  <c r="FJ21" i="2"/>
  <c r="FJ16" i="2"/>
  <c r="FJ35" i="2"/>
  <c r="FJ45" i="2"/>
  <c r="FJ7" i="2"/>
  <c r="FJ168" i="2"/>
  <c r="FJ90" i="2"/>
  <c r="FJ95" i="2"/>
  <c r="FJ33" i="2"/>
  <c r="FJ192" i="2"/>
  <c r="FJ66" i="2"/>
  <c r="FJ96" i="2"/>
  <c r="FJ181" i="2"/>
  <c r="FJ51" i="2"/>
  <c r="FJ158" i="2"/>
  <c r="FJ137" i="2"/>
  <c r="FJ46" i="2"/>
  <c r="FJ189" i="2"/>
  <c r="FJ165" i="2"/>
  <c r="FJ93" i="2"/>
  <c r="FJ78" i="2"/>
  <c r="FJ27" i="2"/>
  <c r="FJ183" i="2"/>
  <c r="FJ120" i="2"/>
  <c r="FJ57" i="2"/>
  <c r="FJ86" i="2"/>
  <c r="FJ147" i="2"/>
  <c r="FJ119" i="2"/>
  <c r="FJ64" i="2"/>
  <c r="FJ132" i="2"/>
  <c r="FJ176" i="2"/>
  <c r="FJ107" i="2"/>
  <c r="FJ139" i="2"/>
  <c r="FJ97" i="2"/>
  <c r="FJ140" i="2"/>
  <c r="FJ185" i="2"/>
  <c r="FJ52" i="2"/>
  <c r="FJ30" i="2"/>
  <c r="FJ110" i="2"/>
  <c r="FJ26" i="2"/>
  <c r="FJ182" i="2"/>
  <c r="FJ175" i="2"/>
  <c r="FJ67" i="2"/>
  <c r="FJ203" i="2"/>
  <c r="FJ18" i="2"/>
  <c r="FJ34" i="2"/>
  <c r="FJ14" i="2"/>
  <c r="FJ174" i="2"/>
  <c r="FJ56" i="2"/>
  <c r="FJ12" i="2"/>
  <c r="FJ145" i="2"/>
  <c r="FJ13" i="2"/>
  <c r="FJ54" i="2"/>
  <c r="FJ162" i="2"/>
  <c r="FJ124" i="2"/>
  <c r="FJ50" i="2"/>
  <c r="FJ28" i="2"/>
  <c r="FJ73" i="2"/>
  <c r="FJ85" i="2"/>
  <c r="FJ41" i="2"/>
  <c r="FJ154" i="2"/>
  <c r="FJ84" i="2"/>
  <c r="FJ48" i="2"/>
  <c r="FJ11" i="2"/>
  <c r="FJ180" i="2"/>
  <c r="FJ80" i="2"/>
  <c r="FJ22" i="2"/>
  <c r="FJ47" i="2"/>
  <c r="FJ72" i="2"/>
  <c r="FJ44" i="2"/>
  <c r="FJ194" i="2"/>
  <c r="FJ83" i="2"/>
  <c r="FJ29" i="2"/>
  <c r="FJ39" i="2"/>
  <c r="FJ65" i="2"/>
  <c r="FJ82" i="2"/>
  <c r="FJ63" i="2"/>
  <c r="FJ69" i="2"/>
  <c r="FJ49" i="2"/>
  <c r="FJ191" i="2"/>
  <c r="FJ116" i="2"/>
  <c r="FJ160" i="2"/>
  <c r="FJ61" i="2"/>
  <c r="FJ115" i="2"/>
  <c r="FJ53" i="2"/>
  <c r="FJ91" i="2"/>
  <c r="FJ159" i="2"/>
  <c r="FJ77" i="2"/>
  <c r="FJ71" i="2"/>
  <c r="FJ15" i="2"/>
  <c r="FJ68" i="2"/>
  <c r="FJ163" i="2"/>
  <c r="FJ164" i="2"/>
  <c r="FJ62" i="2"/>
  <c r="FJ103" i="2"/>
  <c r="FJ200" i="2"/>
  <c r="FJ117" i="2"/>
  <c r="FJ59" i="2"/>
  <c r="FJ133" i="2"/>
  <c r="FJ161" i="2"/>
  <c r="FJ157" i="2"/>
  <c r="FJ10" i="2"/>
  <c r="FJ60" i="2"/>
  <c r="FJ202" i="2"/>
  <c r="FJ74" i="2"/>
  <c r="FJ31" i="2"/>
  <c r="FJ118" i="2"/>
  <c r="FJ143" i="2"/>
  <c r="FJ125" i="2"/>
  <c r="FJ92" i="2"/>
  <c r="FJ36" i="2"/>
  <c r="CY140" i="2"/>
  <c r="CY144" i="2"/>
  <c r="CY113" i="2"/>
  <c r="CY104" i="2"/>
  <c r="CY14" i="2"/>
  <c r="CY91" i="2"/>
  <c r="CY164" i="2"/>
  <c r="CY151" i="2"/>
  <c r="CY68" i="2"/>
  <c r="CY198" i="2"/>
  <c r="CY90" i="2"/>
  <c r="CY43" i="2"/>
  <c r="CY158" i="2"/>
  <c r="CY9" i="2"/>
  <c r="CY124" i="2"/>
  <c r="CY36" i="2"/>
  <c r="CY64" i="2"/>
  <c r="CY52" i="2"/>
  <c r="CY50" i="2"/>
  <c r="CY48" i="2"/>
  <c r="CY92" i="2"/>
  <c r="CY170" i="2"/>
  <c r="CY19" i="2"/>
  <c r="CY193" i="2"/>
  <c r="CY172" i="2"/>
  <c r="CY159" i="2"/>
  <c r="CY75" i="2"/>
  <c r="CY148" i="2"/>
  <c r="CY129" i="2"/>
  <c r="CY74" i="2"/>
  <c r="CY109" i="2"/>
  <c r="CY79" i="2"/>
  <c r="CY25" i="2"/>
  <c r="CY10" i="2"/>
  <c r="CY12" i="2"/>
  <c r="CY157" i="2"/>
  <c r="CY37" i="2"/>
  <c r="CY65" i="2"/>
  <c r="CY139" i="2"/>
  <c r="CY110" i="2"/>
  <c r="CY69" i="2"/>
  <c r="CY135" i="2"/>
  <c r="CY174" i="2"/>
  <c r="CY167" i="2"/>
  <c r="CY94" i="2"/>
  <c r="CY45" i="2"/>
  <c r="CY152" i="2"/>
  <c r="CY63" i="2"/>
  <c r="CY169" i="2"/>
  <c r="CY162" i="2"/>
  <c r="CY187" i="2"/>
  <c r="CY146" i="2"/>
  <c r="CY155" i="2"/>
  <c r="CY178" i="2"/>
  <c r="CY145" i="2"/>
  <c r="CY26" i="2"/>
  <c r="CY197" i="2"/>
  <c r="CY83" i="2"/>
  <c r="CY201" i="2"/>
  <c r="CY51" i="2"/>
  <c r="CY141" i="2"/>
  <c r="CY35" i="2"/>
  <c r="CY8" i="2"/>
  <c r="CY40" i="2"/>
  <c r="CY131" i="2"/>
  <c r="CY81" i="2"/>
  <c r="CY106" i="2"/>
  <c r="CY176" i="2"/>
  <c r="CY49" i="2"/>
  <c r="CY108" i="2"/>
  <c r="CY136" i="2"/>
  <c r="CY4" i="2"/>
  <c r="CY22" i="2"/>
  <c r="CY42" i="2"/>
  <c r="CY29" i="2"/>
  <c r="CY122" i="2"/>
  <c r="CY153" i="2"/>
  <c r="CY199" i="2"/>
  <c r="CY123" i="2"/>
  <c r="CY116" i="2"/>
  <c r="CY180" i="2"/>
  <c r="CY161" i="2"/>
  <c r="CY41" i="2"/>
  <c r="CY56" i="2"/>
  <c r="CY171" i="2"/>
  <c r="CY111" i="2"/>
  <c r="CY3" i="2"/>
  <c r="C10" i="4" s="1"/>
  <c r="E10" i="4" s="1"/>
  <c r="F10" i="4" s="1"/>
  <c r="G10" i="4" s="1"/>
  <c r="L10" i="4" s="1"/>
  <c r="CY182" i="2"/>
  <c r="CY24" i="2"/>
  <c r="CY130" i="2"/>
  <c r="CY154" i="2"/>
  <c r="CY134" i="2"/>
  <c r="CY16" i="2"/>
  <c r="CY103" i="2"/>
  <c r="CY6" i="2"/>
  <c r="CY101" i="2"/>
  <c r="CY173" i="2"/>
  <c r="CY33" i="2"/>
  <c r="CY73" i="2"/>
  <c r="CY117" i="2"/>
  <c r="CY112" i="2"/>
  <c r="CY186" i="2"/>
  <c r="CY181" i="2"/>
  <c r="CY55" i="2"/>
  <c r="CY31" i="2"/>
  <c r="CY76" i="2"/>
  <c r="CY17" i="2"/>
  <c r="CY189" i="2"/>
  <c r="CY21" i="2"/>
  <c r="CY163" i="2"/>
  <c r="CY156" i="2"/>
  <c r="CY98" i="2"/>
  <c r="CY93" i="2"/>
  <c r="CY142" i="2"/>
  <c r="CY13" i="2"/>
  <c r="CY127" i="2"/>
  <c r="CY95" i="2"/>
  <c r="CY121" i="2"/>
  <c r="CY99" i="2"/>
  <c r="CY34" i="2"/>
  <c r="CY183" i="2"/>
  <c r="CY60" i="2"/>
  <c r="CY128" i="2"/>
  <c r="CY190" i="2"/>
  <c r="CY28" i="2"/>
  <c r="CY32" i="2"/>
  <c r="CY166" i="2"/>
  <c r="CY80" i="2"/>
  <c r="CY118" i="2"/>
  <c r="CY84" i="2"/>
  <c r="CY200" i="2"/>
  <c r="CY97" i="2"/>
  <c r="CY82" i="2"/>
  <c r="CY105" i="2"/>
  <c r="CY59" i="2"/>
  <c r="CY44" i="2"/>
  <c r="CY132" i="2"/>
  <c r="CY77" i="2"/>
  <c r="CY165" i="2"/>
  <c r="CY179" i="2"/>
  <c r="CY188" i="2"/>
  <c r="CY62" i="2"/>
  <c r="CY195" i="2"/>
  <c r="CY67" i="2"/>
  <c r="CY175" i="2"/>
  <c r="CY96" i="2"/>
  <c r="CY18" i="2"/>
  <c r="CY194" i="2"/>
  <c r="CY150" i="2"/>
  <c r="CY61" i="2"/>
  <c r="CY125" i="2"/>
  <c r="CY203" i="2"/>
  <c r="CY20" i="2"/>
  <c r="CY191" i="2"/>
  <c r="CY78" i="2"/>
  <c r="CY86" i="2"/>
  <c r="CY46" i="2"/>
  <c r="CY114" i="2"/>
  <c r="CY160" i="2"/>
  <c r="CY11" i="2"/>
  <c r="CY126" i="2"/>
  <c r="CY100" i="2"/>
  <c r="CY57" i="2"/>
  <c r="CY133" i="2"/>
  <c r="CY177" i="2"/>
  <c r="CY107" i="2"/>
  <c r="CY23" i="2"/>
  <c r="CY88" i="2"/>
  <c r="CY38" i="2"/>
  <c r="CY71" i="2"/>
  <c r="CY147" i="2"/>
  <c r="CY185" i="2"/>
  <c r="CY5" i="2"/>
  <c r="CY115" i="2"/>
  <c r="CY202" i="2"/>
  <c r="CY184" i="2"/>
  <c r="CY27" i="2"/>
  <c r="CY87" i="2"/>
  <c r="CY119" i="2"/>
  <c r="CY58" i="2"/>
  <c r="CY168" i="2"/>
  <c r="CY70" i="2"/>
  <c r="CY47" i="2"/>
  <c r="CY143" i="2"/>
  <c r="CY149" i="2"/>
  <c r="CY120" i="2"/>
  <c r="CY137" i="2"/>
  <c r="CY89" i="2"/>
  <c r="CY39" i="2"/>
  <c r="CY30" i="2"/>
  <c r="CY53" i="2"/>
  <c r="CY72" i="2"/>
  <c r="CY66" i="2"/>
  <c r="CY196" i="2"/>
  <c r="CY54" i="2"/>
  <c r="CY85" i="2"/>
  <c r="CY15" i="2"/>
  <c r="CY102" i="2"/>
  <c r="CY7" i="2"/>
  <c r="CY138" i="2"/>
  <c r="CY192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<sst xmlns="http://schemas.openxmlformats.org/spreadsheetml/2006/main" count="1204" uniqueCount="337">
  <si>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</si>
  <si>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</si>
  <si>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</si>
  <si>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</si>
  <si>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</si>
  <si>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</si>
  <si>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</si>
  <si>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</si>
  <si>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</si>
  <si>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</si>
  <si>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</si>
  <si>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</si>
  <si>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</si>
  <si>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</si>
  <si>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</si>
  <si>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</si>
  <si>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</si>
  <si>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</si>
  <si>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</si>
  <si>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</si>
  <si>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</si>
  <si>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</si>
  <si>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</si>
  <si>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</si>
  <si>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</si>
  <si>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</si>
  <si>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</si>
  <si>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</si>
  <si>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</si>
  <si>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</si>
  <si>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</si>
  <si>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</si>
  <si>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</si>
  <si>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</si>
  <si>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</si>
  <si>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</si>
  <si>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</si>
  <si>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</si>
  <si>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</si>
  <si>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</si>
  <si>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</si>
  <si>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</si>
  <si>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</si>
  <si>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</si>
  <si>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</si>
  <si>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</si>
  <si>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</si>
  <si>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</si>
  <si>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</si>
  <si>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</si>
  <si>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</si>
  <si>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</si>
  <si>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</si>
  <si>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</si>
  <si>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</si>
  <si>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</si>
  <si>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</si>
  <si>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</si>
  <si>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</si>
  <si>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</si>
  <si>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</si>
  <si>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</si>
  <si>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</si>
  <si>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</si>
  <si>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</si>
  <si>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</si>
  <si>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</si>
  <si>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</si>
  <si>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</si>
  <si>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</si>
  <si>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</si>
  <si>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</si>
  <si>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</si>
  <si>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</si>
  <si>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</si>
  <si>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</si>
  <si>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</si>
  <si>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</si>
  <si>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</si>
  <si>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</si>
  <si>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</si>
  <si>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</si>
  <si>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</si>
  <si>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</si>
  <si>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</si>
  <si>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</si>
  <si>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</si>
  <si>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</si>
  <si>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</si>
  <si>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</si>
  <si>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</si>
  <si>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</si>
  <si>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</si>
  <si>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</si>
  <si>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</si>
  <si>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</si>
  <si>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</si>
  <si>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</si>
  <si>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</si>
  <si>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</si>
  <si>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</si>
  <si>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</si>
  <si>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</si>
  <si>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</si>
  <si>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</si>
  <si>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</si>
  <si>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</si>
  <si>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</si>
  <si>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</si>
  <si>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</si>
  <si>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</si>
  <si>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</si>
  <si>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</si>
  <si>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</si>
  <si>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</si>
  <si>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</si>
  <si>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</si>
  <si>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</si>
  <si>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</si>
  <si>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</si>
  <si>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</si>
  <si>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</si>
  <si>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</si>
  <si>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</si>
  <si>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</si>
  <si>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</si>
  <si>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</si>
  <si>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</si>
  <si>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</si>
  <si>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</si>
  <si>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</si>
  <si>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</si>
  <si>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</si>
  <si>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</si>
  <si>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</si>
  <si>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</si>
  <si>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</si>
  <si>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</si>
  <si>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</si>
  <si>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</si>
  <si>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</si>
  <si>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</si>
  <si>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</si>
  <si>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</si>
  <si>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</si>
  <si>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</si>
  <si>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</si>
  <si>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</si>
  <si>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</si>
  <si>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</si>
  <si>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</si>
  <si>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</si>
  <si>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</si>
  <si>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</si>
  <si>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</si>
  <si>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</si>
  <si>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</si>
  <si>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</si>
  <si>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</si>
  <si>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</si>
  <si>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</si>
  <si>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</si>
  <si>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</si>
  <si>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</si>
  <si>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</si>
  <si>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</si>
  <si>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</si>
  <si>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</si>
  <si>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</si>
  <si>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</si>
  <si>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</si>
  <si>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</si>
  <si>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</si>
  <si>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</si>
  <si>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</si>
  <si>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</si>
  <si>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</si>
  <si>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</si>
  <si>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</si>
  <si>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</si>
  <si>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</si>
  <si>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</si>
  <si>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</si>
  <si>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</si>
  <si>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</si>
  <si>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</si>
  <si>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</si>
  <si>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</si>
  <si>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</si>
  <si>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</si>
  <si>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</si>
  <si>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</si>
  <si>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</si>
  <si>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</si>
  <si>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</si>
  <si>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</si>
  <si>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</si>
  <si>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</si>
  <si>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</si>
  <si>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</si>
  <si>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</si>
  <si>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</si>
  <si>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</si>
  <si>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</si>
  <si>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</si>
  <si>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</si>
  <si>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</si>
  <si>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</si>
  <si>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</si>
  <si>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</si>
  <si>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</si>
  <si>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</si>
  <si>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</si>
  <si>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</si>
  <si>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</si>
  <si>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</si>
  <si>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</si>
  <si>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</si>
  <si>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</si>
  <si>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</si>
  <si>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</si>
  <si>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</si>
  <si>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</si>
  <si>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</si>
  <si>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</si>
  <si>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</si>
  <si>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</si>
  <si>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</si>
  <si>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</si>
  <si>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</si>
  <si>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</si>
  <si>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</si>
  <si>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</si>
  <si>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</si>
  <si>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</si>
  <si>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</si>
  <si>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</si>
  <si>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</si>
  <si>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</si>
  <si>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</si>
  <si>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</si>
  <si>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</si>
  <si>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</si>
  <si>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</si>
  <si>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</si>
  <si>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</si>
  <si>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</si>
  <si>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</si>
  <si>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</si>
  <si>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</si>
  <si>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</si>
  <si>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</si>
  <si>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</si>
  <si>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</si>
  <si>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</si>
  <si>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</si>
  <si>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</si>
  <si>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</si>
  <si>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</si>
  <si>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</si>
  <si>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</si>
  <si>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</si>
  <si>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</si>
  <si>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</si>
  <si>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</si>
  <si>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</si>
  <si>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</si>
  <si>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</si>
  <si>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</si>
  <si>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</si>
  <si>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</si>
  <si>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</si>
  <si>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</si>
  <si>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</si>
  <si>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</si>
  <si>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</si>
  <si>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</si>
  <si>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</si>
  <si>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</si>
  <si>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</si>
  <si>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</si>
  <si>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</si>
  <si>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</si>
  <si>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</si>
  <si>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</si>
  <si>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</si>
  <si>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</si>
  <si>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</si>
  <si>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</si>
  <si>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</si>
  <si>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</si>
  <si>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</si>
  <si>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</si>
  <si>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</si>
  <si>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</si>
  <si>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</si>
  <si>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</si>
  <si>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</si>
  <si>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</si>
  <si>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</si>
  <si>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</si>
  <si>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</si>
  <si>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</si>
  <si>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</si>
  <si>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</si>
  <si>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</si>
  <si>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</si>
  <si>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</si>
  <si>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</si>
  <si>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</si>
  <si>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</si>
  <si>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</si>
  <si>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</si>
  <si>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</si>
  <si>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</si>
  <si>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</si>
  <si>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</si>
  <si>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</si>
  <si>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</si>
  <si>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</si>
  <si>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</si>
  <si>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</si>
  <si>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</si>
  <si>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</si>
  <si>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</si>
  <si>
    <t>CR</t>
  </si>
  <si>
    <t>20</t>
  </si>
  <si>
    <t>18</t>
  </si>
  <si>
    <t>17</t>
  </si>
  <si>
    <t>16</t>
  </si>
  <si>
    <t>14</t>
  </si>
  <si>
    <t>12</t>
  </si>
  <si>
    <t>11</t>
  </si>
  <si>
    <t>29</t>
  </si>
  <si>
    <t>19</t>
  </si>
  <si>
    <t>15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</si>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</sst>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505.49487464351915</c:v>
                </c:pt>
                <c:pt idx="82">
                  <c:v>505.49487464351915</c:v>
                </c:pt>
                <c:pt idx="83">
                  <c:v>505.49487464351915</c:v>
                </c:pt>
                <c:pt idx="84">
                  <c:v>505.49487464351915</c:v>
                </c:pt>
                <c:pt idx="85">
                  <c:v>505.49487464351915</c:v>
                </c:pt>
                <c:pt idx="86">
                  <c:v>505.49487464351915</c:v>
                </c:pt>
                <c:pt idx="87">
                  <c:v>505.49487464351915</c:v>
                </c:pt>
                <c:pt idx="88">
                  <c:v>505.49487464351915</c:v>
                </c:pt>
                <c:pt idx="89">
                  <c:v>505.49487464351915</c:v>
                </c:pt>
                <c:pt idx="90">
                  <c:v>505.49487464351915</c:v>
                </c:pt>
                <c:pt idx="91">
                  <c:v>505.49487464351915</c:v>
                </c:pt>
                <c:pt idx="92">
                  <c:v>505.49487464351915</c:v>
                </c:pt>
                <c:pt idx="93">
                  <c:v>505.49487464351915</c:v>
                </c:pt>
                <c:pt idx="94">
                  <c:v>505.49487464351915</c:v>
                </c:pt>
                <c:pt idx="95">
                  <c:v>505.49487464351915</c:v>
                </c:pt>
                <c:pt idx="96">
                  <c:v>505.49487464351915</c:v>
                </c:pt>
                <c:pt idx="97">
                  <c:v>505.49487464351915</c:v>
                </c:pt>
                <c:pt idx="98">
                  <c:v>505.49487464351915</c:v>
                </c:pt>
                <c:pt idx="99">
                  <c:v>505.49487464351915</c:v>
                </c:pt>
                <c:pt idx="100">
                  <c:v>505.49487464351915</c:v>
                </c:pt>
                <c:pt idx="101">
                  <c:v>505.49487464351915</c:v>
                </c:pt>
                <c:pt idx="102">
                  <c:v>505.49487464351915</c:v>
                </c:pt>
                <c:pt idx="103">
                  <c:v>505.49487464351915</c:v>
                </c:pt>
                <c:pt idx="104">
                  <c:v>505.49487464351915</c:v>
                </c:pt>
                <c:pt idx="105">
                  <c:v>505.49487464351915</c:v>
                </c:pt>
                <c:pt idx="106">
                  <c:v>505.49487464351915</c:v>
                </c:pt>
                <c:pt idx="107">
                  <c:v>505.49487464351915</c:v>
                </c:pt>
                <c:pt idx="108">
                  <c:v>505.49487464351915</c:v>
                </c:pt>
                <c:pt idx="109">
                  <c:v>505.49487464351915</c:v>
                </c:pt>
                <c:pt idx="110">
                  <c:v>505.49487464351915</c:v>
                </c:pt>
                <c:pt idx="111">
                  <c:v>505.49487464351915</c:v>
                </c:pt>
                <c:pt idx="112">
                  <c:v>505.49487464351915</c:v>
                </c:pt>
                <c:pt idx="113">
                  <c:v>505.49487464351915</c:v>
                </c:pt>
                <c:pt idx="114">
                  <c:v>505.49487464351915</c:v>
                </c:pt>
                <c:pt idx="115">
                  <c:v>505.49487464351915</c:v>
                </c:pt>
                <c:pt idx="116">
                  <c:v>505.49487464351915</c:v>
                </c:pt>
                <c:pt idx="117">
                  <c:v>505.49487464351915</c:v>
                </c:pt>
                <c:pt idx="118">
                  <c:v>505.49487464351915</c:v>
                </c:pt>
                <c:pt idx="119">
                  <c:v>505.49487464351915</c:v>
                </c:pt>
                <c:pt idx="120">
                  <c:v>505.49487464351915</c:v>
                </c:pt>
                <c:pt idx="121">
                  <c:v>505.49487464351915</c:v>
                </c:pt>
                <c:pt idx="122">
                  <c:v>505.49487464351915</c:v>
                </c:pt>
                <c:pt idx="123">
                  <c:v>505.49487464351915</c:v>
                </c:pt>
                <c:pt idx="124">
                  <c:v>505.49487464351915</c:v>
                </c:pt>
                <c:pt idx="125">
                  <c:v>505.49487464351915</c:v>
                </c:pt>
                <c:pt idx="126">
                  <c:v>505.49487464351915</c:v>
                </c:pt>
                <c:pt idx="127">
                  <c:v>505.49487464351915</c:v>
                </c:pt>
                <c:pt idx="128">
                  <c:v>505.49487464351915</c:v>
                </c:pt>
                <c:pt idx="129">
                  <c:v>505.49487464351915</c:v>
                </c:pt>
                <c:pt idx="130">
                  <c:v>505.49487464351915</c:v>
                </c:pt>
                <c:pt idx="131">
                  <c:v>505.49487464351915</c:v>
                </c:pt>
                <c:pt idx="132">
                  <c:v>505.49487464351915</c:v>
                </c:pt>
                <c:pt idx="133">
                  <c:v>505.49487464351915</c:v>
                </c:pt>
                <c:pt idx="134">
                  <c:v>505.49487464351915</c:v>
                </c:pt>
                <c:pt idx="135">
                  <c:v>505.49487464351915</c:v>
                </c:pt>
                <c:pt idx="136">
                  <c:v>505.49487464351915</c:v>
                </c:pt>
                <c:pt idx="137">
                  <c:v>505.49487464351915</c:v>
                </c:pt>
                <c:pt idx="138">
                  <c:v>505.49487464351915</c:v>
                </c:pt>
                <c:pt idx="139">
                  <c:v>505.49487464351915</c:v>
                </c:pt>
                <c:pt idx="140">
                  <c:v>505.49487464351915</c:v>
                </c:pt>
                <c:pt idx="141">
                  <c:v>505.49487464351915</c:v>
                </c:pt>
                <c:pt idx="142">
                  <c:v>505.49487464351915</c:v>
                </c:pt>
                <c:pt idx="143">
                  <c:v>505.49487464351915</c:v>
                </c:pt>
                <c:pt idx="144">
                  <c:v>505.49487464351915</c:v>
                </c:pt>
                <c:pt idx="145">
                  <c:v>505.49487464351915</c:v>
                </c:pt>
                <c:pt idx="146">
                  <c:v>505.49487464351915</c:v>
                </c:pt>
                <c:pt idx="147">
                  <c:v>505.49487464351915</c:v>
                </c:pt>
                <c:pt idx="148">
                  <c:v>505.49487464351915</c:v>
                </c:pt>
                <c:pt idx="149">
                  <c:v>505.49487464351915</c:v>
                </c:pt>
                <c:pt idx="150">
                  <c:v>505.49487464351915</c:v>
                </c:pt>
                <c:pt idx="151">
                  <c:v>505.49487464351915</c:v>
                </c:pt>
                <c:pt idx="152">
                  <c:v>505.49487464351915</c:v>
                </c:pt>
                <c:pt idx="153">
                  <c:v>505.49487464351915</c:v>
                </c:pt>
                <c:pt idx="154">
                  <c:v>505.49487464351915</c:v>
                </c:pt>
                <c:pt idx="155">
                  <c:v>505.49487464351915</c:v>
                </c:pt>
                <c:pt idx="156">
                  <c:v>505.49487464351915</c:v>
                </c:pt>
                <c:pt idx="157">
                  <c:v>505.49487464351915</c:v>
                </c:pt>
                <c:pt idx="158">
                  <c:v>505.49487464351915</c:v>
                </c:pt>
                <c:pt idx="159">
                  <c:v>505.49487464351915</c:v>
                </c:pt>
                <c:pt idx="160">
                  <c:v>505.49487464351915</c:v>
                </c:pt>
                <c:pt idx="161">
                  <c:v>505.49487464351915</c:v>
                </c:pt>
                <c:pt idx="162">
                  <c:v>505.49487464351915</c:v>
                </c:pt>
                <c:pt idx="163">
                  <c:v>505.49487464351915</c:v>
                </c:pt>
                <c:pt idx="164">
                  <c:v>505.49487464351915</c:v>
                </c:pt>
                <c:pt idx="165">
                  <c:v>505.49487464351915</c:v>
                </c:pt>
                <c:pt idx="166">
                  <c:v>505.49487464351915</c:v>
                </c:pt>
                <c:pt idx="167">
                  <c:v>505.49487464351915</c:v>
                </c:pt>
                <c:pt idx="168">
                  <c:v>505.49487464351915</c:v>
                </c:pt>
                <c:pt idx="169">
                  <c:v>505.49487464351915</c:v>
                </c:pt>
                <c:pt idx="170">
                  <c:v>505.49487464351915</c:v>
                </c:pt>
                <c:pt idx="171">
                  <c:v>505.49487464351915</c:v>
                </c:pt>
                <c:pt idx="172">
                  <c:v>505.49487464351915</c:v>
                </c:pt>
                <c:pt idx="173">
                  <c:v>505.49487464351915</c:v>
                </c:pt>
                <c:pt idx="174">
                  <c:v>505.49487464351915</c:v>
                </c:pt>
                <c:pt idx="175">
                  <c:v>505.49487464351915</c:v>
                </c:pt>
                <c:pt idx="176">
                  <c:v>505.49487464351915</c:v>
                </c:pt>
                <c:pt idx="177">
                  <c:v>505.49487464351915</c:v>
                </c:pt>
                <c:pt idx="178">
                  <c:v>505.49487464351915</c:v>
                </c:pt>
                <c:pt idx="179">
                  <c:v>505.49487464351915</c:v>
                </c:pt>
                <c:pt idx="180">
                  <c:v>505.49487464351915</c:v>
                </c:pt>
                <c:pt idx="181">
                  <c:v>505.49487464351915</c:v>
                </c:pt>
                <c:pt idx="182">
                  <c:v>505.49487464351915</c:v>
                </c:pt>
                <c:pt idx="183">
                  <c:v>505.49487464351915</c:v>
                </c:pt>
                <c:pt idx="184">
                  <c:v>505.49487464351915</c:v>
                </c:pt>
                <c:pt idx="185">
                  <c:v>505.49487464351915</c:v>
                </c:pt>
                <c:pt idx="186">
                  <c:v>505.49487464351915</c:v>
                </c:pt>
                <c:pt idx="187">
                  <c:v>505.49487464351915</c:v>
                </c:pt>
                <c:pt idx="188">
                  <c:v>505.49487464351915</c:v>
                </c:pt>
                <c:pt idx="189">
                  <c:v>505.49487464351915</c:v>
                </c:pt>
                <c:pt idx="190">
                  <c:v>505.49487464351915</c:v>
                </c:pt>
                <c:pt idx="191">
                  <c:v>505.49487464351915</c:v>
                </c:pt>
                <c:pt idx="192">
                  <c:v>505.49487464351915</c:v>
                </c:pt>
                <c:pt idx="193">
                  <c:v>505.49487464351915</c:v>
                </c:pt>
                <c:pt idx="194">
                  <c:v>505.49487464351915</c:v>
                </c:pt>
                <c:pt idx="195">
                  <c:v>505.49487464351915</c:v>
                </c:pt>
                <c:pt idx="196">
                  <c:v>505.49487464351915</c:v>
                </c:pt>
                <c:pt idx="197">
                  <c:v>505.49487464351915</c:v>
                </c:pt>
                <c:pt idx="198">
                  <c:v>505.49487464351915</c:v>
                </c:pt>
                <c:pt idx="199">
                  <c:v>505.49487464351915</c:v>
                </c:pt>
                <c:pt idx="200">
                  <c:v>505.49487464351915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1.9996683594163389</c:v>
                </c:pt>
                <c:pt idx="2">
                  <c:v>2.3084145929189774</c:v>
                </c:pt>
                <c:pt idx="3">
                  <c:v>2.6650050098551641</c:v>
                </c:pt>
                <c:pt idx="4">
                  <c:v>3.0768792310691269</c:v>
                </c:pt>
                <c:pt idx="5">
                  <c:v>3.5526374503398883</c:v>
                </c:pt>
                <c:pt idx="6">
                  <c:v>4.1022220266562783</c:v>
                </c:pt>
                <c:pt idx="7">
                  <c:v>4.7371275688458114</c:v>
                </c:pt>
                <c:pt idx="8">
                  <c:v>5.4706439945292979</c:v>
                </c:pt>
                <c:pt idx="9">
                  <c:v>6.3181377520583473</c:v>
                </c:pt>
                <c:pt idx="10">
                  <c:v>7.2973772124410523</c:v>
                </c:pt>
                <c:pt idx="11">
                  <c:v>8.4289091859502054</c:v>
                </c:pt>
                <c:pt idx="12">
                  <c:v>9.7364946156197405</c:v>
                </c:pt>
                <c:pt idx="13">
                  <c:v>11.247612770899435</c:v>
                </c:pt>
                <c:pt idx="14">
                  <c:v>12.994044736850469</c:v>
                </c:pt>
                <c:pt idx="15">
                  <c:v>15.012548699284503</c:v>
                </c:pt>
                <c:pt idx="16">
                  <c:v>17.345641501091887</c:v>
                </c:pt>
                <c:pt idx="17">
                  <c:v>20.042503232447366</c:v>
                </c:pt>
                <c:pt idx="18">
                  <c:v>23.160024267192764</c:v>
                </c:pt>
                <c:pt idx="19">
                  <c:v>26.764017226917478</c:v>
                </c:pt>
                <c:pt idx="20">
                  <c:v>30.93061990965607</c:v>
                </c:pt>
                <c:pt idx="21">
                  <c:v>35.747919338839658</c:v>
                </c:pt>
                <c:pt idx="22">
                  <c:v>41.31783185957736</c:v>
                </c:pt>
                <c:pt idx="23">
                  <c:v>47.758279737116503</c:v>
                </c:pt>
                <c:pt idx="24">
                  <c:v>55.205711116520348</c:v>
                </c:pt>
                <c:pt idx="25">
                  <c:v>63.818017622385263</c:v>
                </c:pt>
                <c:pt idx="26">
                  <c:v>73.777912474107211</c:v>
                </c:pt>
                <c:pt idx="27">
                  <c:v>85.296841952769128</c:v>
                </c:pt>
                <c:pt idx="28">
                  <c:v>98.619514596866154</c:v>
                </c:pt>
                <c:pt idx="29">
                  <c:v>114.0291458770147</c:v>
                </c:pt>
                <c:pt idx="30">
                  <c:v>131.85353159566762</c:v>
                </c:pt>
                <c:pt idx="31">
                  <c:v>139.66340518367775</c:v>
                </c:pt>
                <c:pt idx="32">
                  <c:v>147.46279433844518</c:v>
                </c:pt>
                <c:pt idx="33">
                  <c:v>155.25233267542339</c:v>
                </c:pt>
                <c:pt idx="34">
                  <c:v>163.03258491804266</c:v>
                </c:pt>
                <c:pt idx="35">
                  <c:v>170.80405739247931</c:v>
                </c:pt>
                <c:pt idx="36">
                  <c:v>178.56720650841189</c:v>
                </c:pt>
                <c:pt idx="37">
                  <c:v>186.32244568490339</c:v>
                </c:pt>
                <c:pt idx="38">
                  <c:v>194.07015106072274</c:v>
                </c:pt>
                <c:pt idx="39">
                  <c:v>201.81066624350049</c:v>
                </c:pt>
                <c:pt idx="40">
                  <c:v>209.54430629095086</c:v>
                </c:pt>
                <c:pt idx="41">
                  <c:v>217.27136107270044</c:v>
                </c:pt>
                <c:pt idx="42">
                  <c:v>224.99209812815982</c:v>
                </c:pt>
                <c:pt idx="43">
                  <c:v>232.70676511105475</c:v>
                </c:pt>
                <c:pt idx="44">
                  <c:v>240.41559189241241</c:v>
                </c:pt>
                <c:pt idx="45">
                  <c:v>156.88042128795567</c:v>
                </c:pt>
                <c:pt idx="46">
                  <c:v>166.82737910427906</c:v>
                </c:pt>
                <c:pt idx="47">
                  <c:v>176.76034456560114</c:v>
                </c:pt>
                <c:pt idx="48">
                  <c:v>186.68021562786984</c:v>
                </c:pt>
                <c:pt idx="49">
                  <c:v>196.58778689358235</c:v>
                </c:pt>
                <c:pt idx="50">
                  <c:v>206.48376623185163</c:v>
                </c:pt>
                <c:pt idx="51">
                  <c:v>216.36878804018457</c:v>
                </c:pt>
                <c:pt idx="52">
                  <c:v>170.95932053646357</c:v>
                </c:pt>
                <c:pt idx="53">
                  <c:v>180.25916952528962</c:v>
                </c:pt>
                <c:pt idx="54">
                  <c:v>189.54778450575</c:v>
                </c:pt>
                <c:pt idx="55">
                  <c:v>198.82579421624186</c:v>
                </c:pt>
                <c:pt idx="56">
                  <c:v>208.09376384822551</c:v>
                </c:pt>
                <c:pt idx="57">
                  <c:v>217.35220407556736</c:v>
                </c:pt>
                <c:pt idx="58">
                  <c:v>226.60157846263874</c:v>
                </c:pt>
                <c:pt idx="59">
                  <c:v>235.84230959795909</c:v>
                </c:pt>
                <c:pt idx="60">
                  <c:v>188.05512046051135</c:v>
                </c:pt>
                <c:pt idx="61">
                  <c:v>196.68044013649728</c:v>
                </c:pt>
                <c:pt idx="62">
                  <c:v>205.29697849334516</c:v>
                </c:pt>
                <c:pt idx="63">
                  <c:v>213.90515649955975</c:v>
                </c:pt>
                <c:pt idx="64">
                  <c:v>222.50535843148396</c:v>
                </c:pt>
                <c:pt idx="65">
                  <c:v>231.09793639739382</c:v>
                </c:pt>
                <c:pt idx="66">
                  <c:v>239.68321415266612</c:v>
                </c:pt>
                <c:pt idx="67">
                  <c:v>248.26149033905827</c:v>
                </c:pt>
                <c:pt idx="68">
                  <c:v>210.23981444218327</c:v>
                </c:pt>
                <c:pt idx="69">
                  <c:v>218.47697668536469</c:v>
                </c:pt>
                <c:pt idx="70">
                  <c:v>226.70700317389233</c:v>
                </c:pt>
                <c:pt idx="71">
                  <c:v>234.93018979171021</c:v>
                </c:pt>
                <c:pt idx="72">
                  <c:v>243.1468099927165</c:v>
                </c:pt>
                <c:pt idx="73">
                  <c:v>251.35711721840639</c:v>
                </c:pt>
                <c:pt idx="74">
                  <c:v>259.56134698275702</c:v>
                </c:pt>
                <c:pt idx="75">
                  <c:v>267.75971867944855</c:v>
                </c:pt>
                <c:pt idx="76">
                  <c:v>231.09716439825471</c:v>
                </c:pt>
                <c:pt idx="77">
                  <c:v>239.04875410577074</c:v>
                </c:pt>
                <c:pt idx="78">
                  <c:v>246.99432002663806</c:v>
                </c:pt>
                <c:pt idx="79">
                  <c:v>254.93408349570223</c:v>
                </c:pt>
                <c:pt idx="80">
                  <c:v>262.86825091939647</c:v>
                </c:pt>
                <c:pt idx="81">
                  <c:v>270.79701521279611</c:v>
                </c:pt>
                <c:pt idx="82">
                  <c:v>278.72055705940011</c:v>
                </c:pt>
                <c:pt idx="83">
                  <c:v>286.63904602002947</c:v>
                </c:pt>
                <c:pt idx="84">
                  <c:v>294.55264151267437</c:v>
                </c:pt>
                <c:pt idx="85">
                  <c:v>251.6152395737939</c:v>
                </c:pt>
                <c:pt idx="86">
                  <c:v>259.20061344951142</c:v>
                </c:pt>
                <c:pt idx="87">
                  <c:v>266.78097190602517</c:v>
                </c:pt>
                <c:pt idx="88">
                  <c:v>274.35647771826729</c:v>
                </c:pt>
                <c:pt idx="89">
                  <c:v>281.92728392798961</c:v>
                </c:pt>
                <c:pt idx="90">
                  <c:v>289.49353467730731</c:v>
                </c:pt>
                <c:pt idx="91">
                  <c:v>297.0553659504655</c:v>
                </c:pt>
                <c:pt idx="92">
                  <c:v>304.61290623606027</c:v>
                </c:pt>
                <c:pt idx="93">
                  <c:v>312.16627712004998</c:v>
                </c:pt>
                <c:pt idx="94">
                  <c:v>276.48458252566462</c:v>
                </c:pt>
                <c:pt idx="95">
                  <c:v>284.0507133367858</c:v>
                </c:pt>
                <c:pt idx="96">
                  <c:v>291.61233167164534</c:v>
                </c:pt>
                <c:pt idx="97">
                  <c:v>299.16957116998987</c:v>
                </c:pt>
                <c:pt idx="98">
                  <c:v>306.72255816170576</c:v>
                </c:pt>
                <c:pt idx="99">
                  <c:v>314.27141224080179</c:v>
                </c:pt>
                <c:pt idx="100">
                  <c:v>321.81624678131897</c:v>
                </c:pt>
                <c:pt idx="101">
                  <c:v>329.35716940229236</c:v>
                </c:pt>
                <c:pt idx="102">
                  <c:v>336.89428238787536</c:v>
                </c:pt>
                <c:pt idx="103">
                  <c:v>344.4276830678761</c:v>
                </c:pt>
                <c:pt idx="104">
                  <c:v>295.05015322940653</c:v>
                </c:pt>
                <c:pt idx="105">
                  <c:v>302.37248355932945</c:v>
                </c:pt>
                <c:pt idx="106">
                  <c:v>309.69086805367334</c:v>
                </c:pt>
                <c:pt idx="107">
                  <c:v>317.00541320782315</c:v>
                </c:pt>
                <c:pt idx="108">
                  <c:v>324.31622019652048</c:v>
                </c:pt>
                <c:pt idx="109">
                  <c:v>331.62338525629588</c:v>
                </c:pt>
                <c:pt idx="110">
                  <c:v>338.92700003241094</c:v>
                </c:pt>
                <c:pt idx="111">
                  <c:v>346.22715189430886</c:v>
                </c:pt>
                <c:pt idx="112">
                  <c:v>353.52392422305394</c:v>
                </c:pt>
                <c:pt idx="113">
                  <c:v>360.81739667378429</c:v>
                </c:pt>
                <c:pt idx="114">
                  <c:v>323.14704474023227</c:v>
                </c:pt>
                <c:pt idx="115">
                  <c:v>330.75651700005511</c:v>
                </c:pt>
                <c:pt idx="116">
                  <c:v>338.36212809339048</c:v>
                </c:pt>
                <c:pt idx="117">
                  <c:v>345.96397712970685</c:v>
                </c:pt>
                <c:pt idx="118">
                  <c:v>353.56215850379652</c:v>
                </c:pt>
                <c:pt idx="119">
                  <c:v>361.15676221879022</c:v>
                </c:pt>
                <c:pt idx="120">
                  <c:v>368.74787418056911</c:v>
                </c:pt>
                <c:pt idx="121">
                  <c:v>376.33557646665037</c:v>
                </c:pt>
                <c:pt idx="122">
                  <c:v>383.91994757224711</c:v>
                </c:pt>
                <c:pt idx="123">
                  <c:v>391.50106263585639</c:v>
                </c:pt>
                <c:pt idx="124">
                  <c:v>399.0789936464559</c:v>
                </c:pt>
                <c:pt idx="125">
                  <c:v>406.65380963413276</c:v>
                </c:pt>
                <c:pt idx="126">
                  <c:v>345.30143048187603</c:v>
                </c:pt>
                <c:pt idx="127">
                  <c:v>352.81122062740457</c:v>
                </c:pt>
                <c:pt idx="128">
                  <c:v>360.31750767922881</c:v>
                </c:pt>
                <c:pt idx="129">
                  <c:v>367.8203749696126</c:v>
                </c:pt>
                <c:pt idx="130">
                  <c:v>375.31990215100905</c:v>
                </c:pt>
                <c:pt idx="131">
                  <c:v>382.81616543045817</c:v>
                </c:pt>
                <c:pt idx="132">
                  <c:v>390.30923778465666</c:v>
                </c:pt>
                <c:pt idx="133">
                  <c:v>397.79918915764193</c:v>
                </c:pt>
                <c:pt idx="134">
                  <c:v>405.28608664280409</c:v>
                </c:pt>
                <c:pt idx="135">
                  <c:v>412.76999465073908</c:v>
                </c:pt>
                <c:pt idx="136">
                  <c:v>420.25097506429</c:v>
                </c:pt>
                <c:pt idx="137">
                  <c:v>427.7290873819677</c:v>
                </c:pt>
                <c:pt idx="138">
                  <c:v>361.96005242774027</c:v>
                </c:pt>
                <c:pt idx="139">
                  <c:v>369.26431788900157</c:v>
                </c:pt>
                <c:pt idx="140">
                  <c:v>376.56543130942327</c:v>
                </c:pt>
                <c:pt idx="141">
                  <c:v>383.86346247270313</c:v>
                </c:pt>
                <c:pt idx="142">
                  <c:v>391.15847829049102</c:v>
                </c:pt>
                <c:pt idx="143">
                  <c:v>398.45054297313254</c:v>
                </c:pt>
                <c:pt idx="144">
                  <c:v>405.73971818725636</c:v>
                </c:pt>
                <c:pt idx="145">
                  <c:v>413.02606320143849</c:v>
                </c:pt>
                <c:pt idx="146">
                  <c:v>420.30963502104873</c:v>
                </c:pt>
                <c:pt idx="147">
                  <c:v>427.59048851325792</c:v>
                </c:pt>
                <c:pt idx="148">
                  <c:v>434.86867652308291</c:v>
                </c:pt>
                <c:pt idx="149">
                  <c:v>442.14424998125452</c:v>
                </c:pt>
                <c:pt idx="150">
                  <c:v>274.08040289236868</c:v>
                </c:pt>
                <c:pt idx="151">
                  <c:v>278.53452314428972</c:v>
                </c:pt>
                <c:pt idx="152">
                  <c:v>282.98704524815724</c:v>
                </c:pt>
                <c:pt idx="153">
                  <c:v>287.4379979413514</c:v>
                </c:pt>
                <c:pt idx="154">
                  <c:v>188.86372945586277</c:v>
                </c:pt>
                <c:pt idx="155">
                  <c:v>191.58099698219812</c:v>
                </c:pt>
                <c:pt idx="156">
                  <c:v>194.2973671672365</c:v>
                </c:pt>
                <c:pt idx="157">
                  <c:v>197.01285436259687</c:v>
                </c:pt>
                <c:pt idx="158">
                  <c:v>132.10932131465358</c:v>
                </c:pt>
                <c:pt idx="159">
                  <c:v>133.81037180943903</c:v>
                </c:pt>
                <c:pt idx="160">
                  <c:v>135.5109007507169</c:v>
                </c:pt>
                <c:pt idx="161">
                  <c:v>137.21091563306595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2.8300887377079711</c:v>
                </c:pt>
                <c:pt idx="2">
                  <c:v>3.3023042337395179</c:v>
                </c:pt>
                <c:pt idx="3">
                  <c:v>3.8535970165131981</c:v>
                </c:pt>
                <c:pt idx="4">
                  <c:v>4.4972545440769327</c:v>
                </c:pt>
                <c:pt idx="5">
                  <c:v>5.2488040989672156</c:v>
                </c:pt>
                <c:pt idx="6">
                  <c:v>6.1263914656658001</c:v>
                </c:pt>
                <c:pt idx="7">
                  <c:v>7.1512238043191303</c:v>
                </c:pt>
                <c:pt idx="8">
                  <c:v>8.3480876310517598</c:v>
                </c:pt>
                <c:pt idx="9">
                  <c:v>9.7459546736940528</c:v>
                </c:pt>
                <c:pt idx="10">
                  <c:v>11.378690547472175</c:v>
                </c:pt>
                <c:pt idx="11">
                  <c:v>13.285883742428437</c:v>
                </c:pt>
                <c:pt idx="12">
                  <c:v>15.513815396600551</c:v>
                </c:pt>
                <c:pt idx="13">
                  <c:v>18.116593820726411</c:v>
                </c:pt>
                <c:pt idx="14">
                  <c:v>21.15748182865056</c:v>
                </c:pt>
                <c:pt idx="15">
                  <c:v>24.710449714832063</c:v>
                </c:pt>
                <c:pt idx="16">
                  <c:v>28.861992326044312</c:v>
                </c:pt>
                <c:pt idx="17">
                  <c:v>33.713255238692668</c:v>
                </c:pt>
                <c:pt idx="18">
                  <c:v>39.382522740372629</c:v>
                </c:pt>
                <c:pt idx="19">
                  <c:v>46.008129316747045</c:v>
                </c:pt>
                <c:pt idx="20">
                  <c:v>53.751866887941766</c:v>
                </c:pt>
                <c:pt idx="21">
                  <c:v>62.802972386545882</c:v>
                </c:pt>
                <c:pt idx="22">
                  <c:v>73.382794731387975</c:v>
                </c:pt>
                <c:pt idx="23">
                  <c:v>85.75025719011127</c:v>
                </c:pt>
                <c:pt idx="24">
                  <c:v>100.20825096401774</c:v>
                </c:pt>
                <c:pt idx="25">
                  <c:v>117.11111906849764</c:v>
                </c:pt>
                <c:pt idx="26">
                  <c:v>136.87341680492963</c:v>
                </c:pt>
                <c:pt idx="27">
                  <c:v>159.98016700878466</c:v>
                </c:pt>
                <c:pt idx="28">
                  <c:v>186.99886561482674</c:v>
                </c:pt>
                <c:pt idx="29">
                  <c:v>218.59353684249234</c:v>
                </c:pt>
                <c:pt idx="30">
                  <c:v>255.54118857285985</c:v>
                </c:pt>
                <c:pt idx="31">
                  <c:v>272.00849893770356</c:v>
                </c:pt>
                <c:pt idx="32">
                  <c:v>288.45339557729767</c:v>
                </c:pt>
                <c:pt idx="33">
                  <c:v>304.87733608853677</c:v>
                </c:pt>
                <c:pt idx="34">
                  <c:v>321.28160818268685</c:v>
                </c:pt>
                <c:pt idx="35">
                  <c:v>337.66735733157566</c:v>
                </c:pt>
                <c:pt idx="36">
                  <c:v>233.00479235221312</c:v>
                </c:pt>
                <c:pt idx="37">
                  <c:v>252.07911005273732</c:v>
                </c:pt>
                <c:pt idx="38">
                  <c:v>271.12073056771482</c:v>
                </c:pt>
                <c:pt idx="39">
                  <c:v>290.13227292366406</c:v>
                </c:pt>
                <c:pt idx="40">
                  <c:v>309.115984816913</c:v>
                </c:pt>
                <c:pt idx="41">
                  <c:v>328.07381531509895</c:v>
                </c:pt>
                <c:pt idx="42">
                  <c:v>268.61756659218918</c:v>
                </c:pt>
                <c:pt idx="43">
                  <c:v>287.69644712108328</c:v>
                </c:pt>
                <c:pt idx="44">
                  <c:v>306.74703867547379</c:v>
                </c:pt>
                <c:pt idx="45">
                  <c:v>325.77134476699888</c:v>
                </c:pt>
                <c:pt idx="46">
                  <c:v>344.77111581751478</c:v>
                </c:pt>
                <c:pt idx="47">
                  <c:v>363.74789360697088</c:v>
                </c:pt>
                <c:pt idx="48">
                  <c:v>382.70304595619928</c:v>
                </c:pt>
                <c:pt idx="49">
                  <c:v>303.13874281695564</c:v>
                </c:pt>
                <c:pt idx="50">
                  <c:v>321.20818384530156</c:v>
                </c:pt>
                <c:pt idx="51">
                  <c:v>339.25514505794769</c:v>
                </c:pt>
                <c:pt idx="52">
                  <c:v>357.28099019111329</c:v>
                </c:pt>
                <c:pt idx="53">
                  <c:v>375.28693416610736</c:v>
                </c:pt>
                <c:pt idx="54">
                  <c:v>393.27406583754754</c:v>
                </c:pt>
                <c:pt idx="55">
                  <c:v>411.24336636167533</c:v>
                </c:pt>
                <c:pt idx="56">
                  <c:v>336.65582481935542</c:v>
                </c:pt>
                <c:pt idx="57">
                  <c:v>353.67047661829503</c:v>
                </c:pt>
                <c:pt idx="58">
                  <c:v>370.66719819613382</c:v>
                </c:pt>
                <c:pt idx="59">
                  <c:v>387.64692722663199</c:v>
                </c:pt>
                <c:pt idx="60">
                  <c:v>404.61051255538331</c:v>
                </c:pt>
                <c:pt idx="61">
                  <c:v>421.55872606332355</c:v>
                </c:pt>
                <c:pt idx="62">
                  <c:v>438.49227252285419</c:v>
                </c:pt>
                <c:pt idx="63">
                  <c:v>455.41179785218742</c:v>
                </c:pt>
                <c:pt idx="64">
                  <c:v>387.38872307420428</c:v>
                </c:pt>
                <c:pt idx="65">
                  <c:v>403.79766892561094</c:v>
                </c:pt>
                <c:pt idx="66">
                  <c:v>420.19219977213396</c:v>
                </c:pt>
                <c:pt idx="67">
                  <c:v>436.57295704245297</c:v>
                </c:pt>
                <c:pt idx="68">
                  <c:v>452.94053011940122</c:v>
                </c:pt>
                <c:pt idx="69">
                  <c:v>469.29546233005067</c:v>
                </c:pt>
                <c:pt idx="70">
                  <c:v>485.63825605742119</c:v>
                </c:pt>
                <c:pt idx="71">
                  <c:v>501.96937712842765</c:v>
                </c:pt>
                <c:pt idx="72">
                  <c:v>437.19421236262428</c:v>
                </c:pt>
                <c:pt idx="73">
                  <c:v>453.0410551730152</c:v>
                </c:pt>
                <c:pt idx="74">
                  <c:v>468.87605144643567</c:v>
                </c:pt>
                <c:pt idx="75">
                  <c:v>484.69965746072268</c:v>
                </c:pt>
                <c:pt idx="76">
                  <c:v>500.51229728372147</c:v>
                </c:pt>
                <c:pt idx="77">
                  <c:v>516.31436601390897</c:v>
                </c:pt>
                <c:pt idx="78">
                  <c:v>532.1062326037669</c:v>
                </c:pt>
                <c:pt idx="79">
                  <c:v>547.8882423306602</c:v>
                </c:pt>
                <c:pt idx="80">
                  <c:v>563.66071896831943</c:v>
                </c:pt>
                <c:pt idx="81">
                  <c:v>486.91617505470657</c:v>
                </c:pt>
                <c:pt idx="82">
                  <c:v>502.02679715904873</c:v>
                </c:pt>
                <c:pt idx="83">
                  <c:v>517.12779786762223</c:v>
                </c:pt>
                <c:pt idx="84">
                  <c:v>532.21949760445716</c:v>
                </c:pt>
                <c:pt idx="85">
                  <c:v>547.30219714726127</c:v>
                </c:pt>
                <c:pt idx="86">
                  <c:v>562.37617935144647</c:v>
                </c:pt>
                <c:pt idx="87">
                  <c:v>577.44171067977061</c:v>
                </c:pt>
                <c:pt idx="88">
                  <c:v>592.49904256411321</c:v>
                </c:pt>
                <c:pt idx="89">
                  <c:v>607.54841262168736</c:v>
                </c:pt>
                <c:pt idx="90">
                  <c:v>522.68079568006328</c:v>
                </c:pt>
                <c:pt idx="91">
                  <c:v>537.13155805678423</c:v>
                </c:pt>
                <c:pt idx="92">
                  <c:v>551.57415134559483</c:v>
                </c:pt>
                <c:pt idx="93">
                  <c:v>566.00881949527275</c:v>
                </c:pt>
                <c:pt idx="94">
                  <c:v>580.43579300269312</c:v>
                </c:pt>
                <c:pt idx="95">
                  <c:v>594.85528997745757</c:v>
                </c:pt>
                <c:pt idx="96">
                  <c:v>609.26751709797009</c:v>
                </c:pt>
                <c:pt idx="97">
                  <c:v>623.67267047239375</c:v>
                </c:pt>
                <c:pt idx="98">
                  <c:v>638.07093641596532</c:v>
                </c:pt>
                <c:pt idx="99">
                  <c:v>652.46249215454304</c:v>
                </c:pt>
                <c:pt idx="100">
                  <c:v>570.11686164257083</c:v>
                </c:pt>
                <c:pt idx="101">
                  <c:v>584.17078847527091</c:v>
                </c:pt>
                <c:pt idx="102">
                  <c:v>598.21767026439147</c:v>
                </c:pt>
                <c:pt idx="103">
                  <c:v>612.25769566680685</c:v>
                </c:pt>
                <c:pt idx="104">
                  <c:v>626.29104398570837</c:v>
                </c:pt>
                <c:pt idx="105">
                  <c:v>640.31788583791365</c:v>
                </c:pt>
                <c:pt idx="106">
                  <c:v>654.33838375969526</c:v>
                </c:pt>
                <c:pt idx="107">
                  <c:v>668.3526927580142</c:v>
                </c:pt>
                <c:pt idx="108">
                  <c:v>682.36096081314474</c:v>
                </c:pt>
                <c:pt idx="109">
                  <c:v>696.36332933790538</c:v>
                </c:pt>
                <c:pt idx="110">
                  <c:v>607.27818492619883</c:v>
                </c:pt>
                <c:pt idx="111">
                  <c:v>621.01805551064149</c:v>
                </c:pt>
                <c:pt idx="112">
                  <c:v>634.75163059249928</c:v>
                </c:pt>
                <c:pt idx="113">
                  <c:v>648.47906550545724</c:v>
                </c:pt>
                <c:pt idx="114">
                  <c:v>662.2005084740648</c:v>
                </c:pt>
                <c:pt idx="115">
                  <c:v>675.91610108272448</c:v>
                </c:pt>
                <c:pt idx="116">
                  <c:v>689.62597870465913</c:v>
                </c:pt>
                <c:pt idx="117">
                  <c:v>703.3302708950132</c:v>
                </c:pt>
                <c:pt idx="118">
                  <c:v>717.029101751746</c:v>
                </c:pt>
                <c:pt idx="119">
                  <c:v>730.722590247531</c:v>
                </c:pt>
                <c:pt idx="120">
                  <c:v>436.93577821132686</c:v>
                </c:pt>
                <c:pt idx="121">
                  <c:v>444.6765915779776</c:v>
                </c:pt>
                <c:pt idx="122">
                  <c:v>452.41451914994468</c:v>
                </c:pt>
                <c:pt idx="123">
                  <c:v>460.14961727083966</c:v>
                </c:pt>
                <c:pt idx="124">
                  <c:v>308.4272601205509</c:v>
                </c:pt>
                <c:pt idx="125">
                  <c:v>313.18235897057895</c:v>
                </c:pt>
                <c:pt idx="126">
                  <c:v>317.93585661948782</c:v>
                </c:pt>
                <c:pt idx="127">
                  <c:v>322.68778042083636</c:v>
                </c:pt>
                <c:pt idx="128">
                  <c:v>223.80295212162545</c:v>
                </c:pt>
                <c:pt idx="129">
                  <c:v>226.89309000196636</c:v>
                </c:pt>
                <c:pt idx="130">
                  <c:v>229.98226419151877</c:v>
                </c:pt>
                <c:pt idx="131">
                  <c:v>233.07048949321802</c:v>
                </c:pt>
                <c:pt idx="132">
                  <c:v>1.2570369120605403E-11</c:v>
                </c:pt>
                <c:pt idx="133">
                  <c:v>1.2570369120605403E-11</c:v>
                </c:pt>
                <c:pt idx="134">
                  <c:v>1.2570369120605403E-11</c:v>
                </c:pt>
                <c:pt idx="135">
                  <c:v>1.2570369120605403E-11</c:v>
                </c:pt>
                <c:pt idx="136">
                  <c:v>1.2570369120605403E-11</c:v>
                </c:pt>
                <c:pt idx="137">
                  <c:v>1.2570369120605403E-11</c:v>
                </c:pt>
                <c:pt idx="138">
                  <c:v>1.2570369120605403E-11</c:v>
                </c:pt>
                <c:pt idx="139">
                  <c:v>1.2570369120605403E-11</c:v>
                </c:pt>
                <c:pt idx="140">
                  <c:v>1.2570369120605403E-11</c:v>
                </c:pt>
                <c:pt idx="141">
                  <c:v>1.2570369120605403E-11</c:v>
                </c:pt>
                <c:pt idx="142">
                  <c:v>1.2570369120605403E-11</c:v>
                </c:pt>
                <c:pt idx="143">
                  <c:v>1.2570369120605403E-11</c:v>
                </c:pt>
                <c:pt idx="144">
                  <c:v>1.2570369120605403E-11</c:v>
                </c:pt>
                <c:pt idx="145">
                  <c:v>1.2570369120605403E-11</c:v>
                </c:pt>
                <c:pt idx="146">
                  <c:v>1.2570369120605403E-11</c:v>
                </c:pt>
                <c:pt idx="147">
                  <c:v>1.2570369120605403E-11</c:v>
                </c:pt>
                <c:pt idx="148">
                  <c:v>1.2570369120605403E-11</c:v>
                </c:pt>
                <c:pt idx="149">
                  <c:v>1.2570369120605403E-11</c:v>
                </c:pt>
                <c:pt idx="150">
                  <c:v>1.2570369120605403E-11</c:v>
                </c:pt>
                <c:pt idx="151">
                  <c:v>1.2570369120605403E-11</c:v>
                </c:pt>
                <c:pt idx="152">
                  <c:v>1.2570369120605403E-11</c:v>
                </c:pt>
                <c:pt idx="153">
                  <c:v>1.2570369120605403E-11</c:v>
                </c:pt>
                <c:pt idx="154">
                  <c:v>1.2570369120605403E-11</c:v>
                </c:pt>
                <c:pt idx="155">
                  <c:v>1.2570369120605403E-11</c:v>
                </c:pt>
                <c:pt idx="156">
                  <c:v>1.2570369120605403E-11</c:v>
                </c:pt>
                <c:pt idx="157">
                  <c:v>1.2570369120605403E-11</c:v>
                </c:pt>
                <c:pt idx="158">
                  <c:v>1.2570369120605403E-11</c:v>
                </c:pt>
                <c:pt idx="159">
                  <c:v>1.2570369120605403E-11</c:v>
                </c:pt>
                <c:pt idx="160">
                  <c:v>1.2570369120605403E-11</c:v>
                </c:pt>
                <c:pt idx="161">
                  <c:v>1.2570369120605403E-11</c:v>
                </c:pt>
                <c:pt idx="162">
                  <c:v>1.2570369120605403E-11</c:v>
                </c:pt>
                <c:pt idx="163">
                  <c:v>1.2570369120605403E-11</c:v>
                </c:pt>
                <c:pt idx="164">
                  <c:v>1.2570369120605403E-11</c:v>
                </c:pt>
                <c:pt idx="165">
                  <c:v>1.2570369120605403E-11</c:v>
                </c:pt>
                <c:pt idx="166">
                  <c:v>1.2570369120605403E-11</c:v>
                </c:pt>
                <c:pt idx="167">
                  <c:v>1.2570369120605403E-11</c:v>
                </c:pt>
                <c:pt idx="168">
                  <c:v>1.2570369120605403E-11</c:v>
                </c:pt>
                <c:pt idx="169">
                  <c:v>1.2570369120605403E-11</c:v>
                </c:pt>
                <c:pt idx="170">
                  <c:v>1.2570369120605403E-11</c:v>
                </c:pt>
                <c:pt idx="171">
                  <c:v>1.2570369120605403E-11</c:v>
                </c:pt>
                <c:pt idx="172">
                  <c:v>1.2570369120605403E-11</c:v>
                </c:pt>
                <c:pt idx="173">
                  <c:v>1.2570369120605403E-11</c:v>
                </c:pt>
                <c:pt idx="174">
                  <c:v>1.2570369120605403E-11</c:v>
                </c:pt>
                <c:pt idx="175">
                  <c:v>1.2570369120605403E-11</c:v>
                </c:pt>
                <c:pt idx="176">
                  <c:v>1.2570369120605403E-11</c:v>
                </c:pt>
                <c:pt idx="177">
                  <c:v>1.2570369120605403E-11</c:v>
                </c:pt>
                <c:pt idx="178">
                  <c:v>1.2570369120605403E-11</c:v>
                </c:pt>
                <c:pt idx="179">
                  <c:v>1.2570369120605403E-11</c:v>
                </c:pt>
                <c:pt idx="180">
                  <c:v>1.2570369120605403E-11</c:v>
                </c:pt>
                <c:pt idx="181">
                  <c:v>1.2570369120605403E-11</c:v>
                </c:pt>
                <c:pt idx="182">
                  <c:v>1.2570369120605403E-11</c:v>
                </c:pt>
                <c:pt idx="183">
                  <c:v>1.2570369120605403E-11</c:v>
                </c:pt>
                <c:pt idx="184">
                  <c:v>1.2570369120605403E-11</c:v>
                </c:pt>
                <c:pt idx="185">
                  <c:v>1.2570369120605403E-11</c:v>
                </c:pt>
                <c:pt idx="186">
                  <c:v>1.2570369120605403E-11</c:v>
                </c:pt>
                <c:pt idx="187">
                  <c:v>1.2570369120605403E-11</c:v>
                </c:pt>
                <c:pt idx="188">
                  <c:v>1.2570369120605403E-11</c:v>
                </c:pt>
                <c:pt idx="189">
                  <c:v>1.2570369120605403E-11</c:v>
                </c:pt>
                <c:pt idx="190">
                  <c:v>1.2570369120605403E-11</c:v>
                </c:pt>
                <c:pt idx="191">
                  <c:v>1.2570369120605403E-11</c:v>
                </c:pt>
                <c:pt idx="192">
                  <c:v>1.2570369120605403E-11</c:v>
                </c:pt>
                <c:pt idx="193">
                  <c:v>1.2570369120605403E-11</c:v>
                </c:pt>
                <c:pt idx="194">
                  <c:v>1.2570369120605403E-11</c:v>
                </c:pt>
                <c:pt idx="195">
                  <c:v>1.2570369120605403E-11</c:v>
                </c:pt>
                <c:pt idx="196">
                  <c:v>1.2570369120605403E-11</c:v>
                </c:pt>
                <c:pt idx="197">
                  <c:v>1.2570369120605403E-11</c:v>
                </c:pt>
                <c:pt idx="198">
                  <c:v>1.2570369120605403E-11</c:v>
                </c:pt>
                <c:pt idx="199">
                  <c:v>1.2570369120605403E-11</c:v>
                </c:pt>
                <c:pt idx="200">
                  <c:v>1.2570369120605403E-11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226.38614537674326</c:v>
                </c:pt>
                <c:pt idx="33">
                  <c:v>245.42235893237435</c:v>
                </c:pt>
                <c:pt idx="34">
                  <c:v>264.42503341914323</c:v>
                </c:pt>
                <c:pt idx="35">
                  <c:v>283.39691776161254</c:v>
                </c:pt>
                <c:pt idx="36">
                  <c:v>302.34036268238674</c:v>
                </c:pt>
                <c:pt idx="37">
                  <c:v>321.25740024962448</c:v>
                </c:pt>
                <c:pt idx="38">
                  <c:v>279.73236813579513</c:v>
                </c:pt>
                <c:pt idx="39">
                  <c:v>298.36290228402578</c:v>
                </c:pt>
                <c:pt idx="40">
                  <c:v>316.96751977104668</c:v>
                </c:pt>
                <c:pt idx="41">
                  <c:v>335.54795535646372</c:v>
                </c:pt>
                <c:pt idx="42">
                  <c:v>354.10573601815054</c:v>
                </c:pt>
                <c:pt idx="43">
                  <c:v>372.64221565134477</c:v>
                </c:pt>
                <c:pt idx="44">
                  <c:v>391.15860250001077</c:v>
                </c:pt>
                <c:pt idx="45">
                  <c:v>336.88699770815009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423.10262682279296</c:v>
                </c:pt>
                <c:pt idx="51">
                  <c:v>440.29740898417271</c:v>
                </c:pt>
                <c:pt idx="52">
                  <c:v>457.47779928386609</c:v>
                </c:pt>
                <c:pt idx="53">
                  <c:v>391.9890127427073</c:v>
                </c:pt>
                <c:pt idx="54">
                  <c:v>407.75965962237683</c:v>
                </c:pt>
                <c:pt idx="55">
                  <c:v>423.51713321926735</c:v>
                </c:pt>
                <c:pt idx="56">
                  <c:v>439.26199254204636</c:v>
                </c:pt>
                <c:pt idx="57">
                  <c:v>454.99475326719272</c:v>
                </c:pt>
                <c:pt idx="58">
                  <c:v>470.71589251122253</c:v>
                </c:pt>
                <c:pt idx="59">
                  <c:v>486.42585293226904</c:v>
                </c:pt>
                <c:pt idx="60">
                  <c:v>502.12504627431412</c:v>
                </c:pt>
                <c:pt idx="61">
                  <c:v>438.70974904240552</c:v>
                </c:pt>
                <c:pt idx="62">
                  <c:v>453.06329508642142</c:v>
                </c:pt>
                <c:pt idx="63">
                  <c:v>467.40712233198593</c:v>
                </c:pt>
                <c:pt idx="64">
                  <c:v>481.74157097323308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553.28361587129086</c:v>
                </c:pt>
                <c:pt idx="70">
                  <c:v>3.5982663925596575E-12</c:v>
                </c:pt>
                <c:pt idx="71">
                  <c:v>3.5982663925596575E-12</c:v>
                </c:pt>
                <c:pt idx="72">
                  <c:v>3.5982663925596575E-12</c:v>
                </c:pt>
                <c:pt idx="73">
                  <c:v>3.5982663925596575E-12</c:v>
                </c:pt>
                <c:pt idx="74">
                  <c:v>3.5982663925596575E-12</c:v>
                </c:pt>
                <c:pt idx="75">
                  <c:v>3.5982663925596575E-12</c:v>
                </c:pt>
                <c:pt idx="76">
                  <c:v>3.5982663925596575E-12</c:v>
                </c:pt>
                <c:pt idx="77">
                  <c:v>3.5982663925596575E-12</c:v>
                </c:pt>
                <c:pt idx="78">
                  <c:v>3.5982663925596575E-12</c:v>
                </c:pt>
                <c:pt idx="79">
                  <c:v>3.5982663925596575E-12</c:v>
                </c:pt>
                <c:pt idx="80">
                  <c:v>3.5982663925596575E-12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3.5079290983114433</c:v>
                </c:pt>
                <c:pt idx="2">
                  <c:v>4.6359878825480276</c:v>
                </c:pt>
                <c:pt idx="3">
                  <c:v>6.1282576251184997</c:v>
                </c:pt>
                <c:pt idx="4">
                  <c:v>8.1027710833797961</c:v>
                </c:pt>
                <c:pt idx="5">
                  <c:v>10.715946242702252</c:v>
                </c:pt>
                <c:pt idx="6">
                  <c:v>14.175109652753262</c:v>
                </c:pt>
                <c:pt idx="7">
                  <c:v>18.755117590148</c:v>
                </c:pt>
                <c:pt idx="8">
                  <c:v>24.820419516506192</c:v>
                </c:pt>
                <c:pt idx="9">
                  <c:v>32.854350484346199</c:v>
                </c:pt>
                <c:pt idx="10">
                  <c:v>43.498027075339301</c:v>
                </c:pt>
                <c:pt idx="11">
                  <c:v>57.060169133698679</c:v>
                </c:pt>
                <c:pt idx="12">
                  <c:v>70.537409450574799</c:v>
                </c:pt>
                <c:pt idx="13">
                  <c:v>83.948379030908328</c:v>
                </c:pt>
                <c:pt idx="14">
                  <c:v>97.305204010497206</c:v>
                </c:pt>
                <c:pt idx="15">
                  <c:v>110.61638527930711</c:v>
                </c:pt>
                <c:pt idx="16">
                  <c:v>128.9130744021389</c:v>
                </c:pt>
                <c:pt idx="17">
                  <c:v>147.14684893940074</c:v>
                </c:pt>
                <c:pt idx="18">
                  <c:v>165.3266136473124</c:v>
                </c:pt>
                <c:pt idx="19">
                  <c:v>183.4591485952582</c:v>
                </c:pt>
                <c:pt idx="20">
                  <c:v>201.54978110052437</c:v>
                </c:pt>
                <c:pt idx="21">
                  <c:v>153.97018794674287</c:v>
                </c:pt>
                <c:pt idx="22">
                  <c:v>172.13153631847419</c:v>
                </c:pt>
                <c:pt idx="23">
                  <c:v>190.24779644553783</c:v>
                </c:pt>
                <c:pt idx="24">
                  <c:v>208.3238677726421</c:v>
                </c:pt>
                <c:pt idx="25">
                  <c:v>226.3637288579913</c:v>
                </c:pt>
                <c:pt idx="26">
                  <c:v>201.54978110052437</c:v>
                </c:pt>
                <c:pt idx="27">
                  <c:v>219.6028024980769</c:v>
                </c:pt>
                <c:pt idx="28">
                  <c:v>237.62174013263061</c:v>
                </c:pt>
                <c:pt idx="29">
                  <c:v>255.60954227321292</c:v>
                </c:pt>
                <c:pt idx="30">
                  <c:v>273.56870812584947</c:v>
                </c:pt>
                <c:pt idx="31">
                  <c:v>244.82044838046261</c:v>
                </c:pt>
                <c:pt idx="32">
                  <c:v>261.00019511445589</c:v>
                </c:pt>
                <c:pt idx="33">
                  <c:v>277.15729902737081</c:v>
                </c:pt>
                <c:pt idx="34">
                  <c:v>293.29326588987982</c:v>
                </c:pt>
                <c:pt idx="35">
                  <c:v>309.40942222562171</c:v>
                </c:pt>
                <c:pt idx="36">
                  <c:v>280.2964598668309</c:v>
                </c:pt>
                <c:pt idx="37">
                  <c:v>295.98063417932605</c:v>
                </c:pt>
                <c:pt idx="38">
                  <c:v>311.64627846088428</c:v>
                </c:pt>
                <c:pt idx="39">
                  <c:v>327.29445525818045</c:v>
                </c:pt>
                <c:pt idx="40">
                  <c:v>342.92611721533927</c:v>
                </c:pt>
                <c:pt idx="41">
                  <c:v>312.54092102829401</c:v>
                </c:pt>
                <c:pt idx="42">
                  <c:v>326.84759797683068</c:v>
                </c:pt>
                <c:pt idx="43">
                  <c:v>341.1404493366004</c:v>
                </c:pt>
                <c:pt idx="44">
                  <c:v>355.42013595735625</c:v>
                </c:pt>
                <c:pt idx="45">
                  <c:v>369.68726124979753</c:v>
                </c:pt>
                <c:pt idx="46">
                  <c:v>340.6940002860228</c:v>
                </c:pt>
                <c:pt idx="47">
                  <c:v>354.08195790136142</c:v>
                </c:pt>
                <c:pt idx="48">
                  <c:v>367.45882798761664</c:v>
                </c:pt>
                <c:pt idx="49">
                  <c:v>380.82507105894388</c:v>
                </c:pt>
                <c:pt idx="50">
                  <c:v>394.18111266295523</c:v>
                </c:pt>
                <c:pt idx="51">
                  <c:v>365.67586899258453</c:v>
                </c:pt>
                <c:pt idx="52">
                  <c:v>377.26175403181099</c:v>
                </c:pt>
                <c:pt idx="53">
                  <c:v>388.83989430006523</c:v>
                </c:pt>
                <c:pt idx="54">
                  <c:v>400.41055295678444</c:v>
                </c:pt>
                <c:pt idx="55">
                  <c:v>411.97397670838626</c:v>
                </c:pt>
                <c:pt idx="56">
                  <c:v>385.27819834042498</c:v>
                </c:pt>
                <c:pt idx="57">
                  <c:v>396.40615590256039</c:v>
                </c:pt>
                <c:pt idx="58">
                  <c:v>407.52734715549917</c:v>
                </c:pt>
                <c:pt idx="59">
                  <c:v>418.64198281510266</c:v>
                </c:pt>
                <c:pt idx="60">
                  <c:v>429.75026149342511</c:v>
                </c:pt>
                <c:pt idx="61">
                  <c:v>403.96928903724796</c:v>
                </c:pt>
                <c:pt idx="62">
                  <c:v>413.75233778325588</c:v>
                </c:pt>
                <c:pt idx="63">
                  <c:v>423.53039727970054</c:v>
                </c:pt>
                <c:pt idx="64">
                  <c:v>433.30359899233423</c:v>
                </c:pt>
                <c:pt idx="65">
                  <c:v>443.07206797078311</c:v>
                </c:pt>
                <c:pt idx="66">
                  <c:v>419.08643473326879</c:v>
                </c:pt>
                <c:pt idx="67">
                  <c:v>428.41759739850778</c:v>
                </c:pt>
                <c:pt idx="68">
                  <c:v>437.74439157568872</c:v>
                </c:pt>
                <c:pt idx="69">
                  <c:v>447.06692349854637</c:v>
                </c:pt>
                <c:pt idx="70">
                  <c:v>456.38529460741051</c:v>
                </c:pt>
                <c:pt idx="71">
                  <c:v>432.85946614650521</c:v>
                </c:pt>
                <c:pt idx="72">
                  <c:v>440.40840252576191</c:v>
                </c:pt>
                <c:pt idx="73">
                  <c:v>447.95456512007007</c:v>
                </c:pt>
                <c:pt idx="74">
                  <c:v>455.49800727179553</c:v>
                </c:pt>
                <c:pt idx="75">
                  <c:v>463.03878041146299</c:v>
                </c:pt>
                <c:pt idx="76">
                  <c:v>443.51597878791563</c:v>
                </c:pt>
                <c:pt idx="77">
                  <c:v>450.61726441852403</c:v>
                </c:pt>
                <c:pt idx="78">
                  <c:v>457.71615652908667</c:v>
                </c:pt>
                <c:pt idx="79">
                  <c:v>464.81269749872399</c:v>
                </c:pt>
                <c:pt idx="80">
                  <c:v>471.90692830623613</c:v>
                </c:pt>
                <c:pt idx="81">
                  <c:v>453.72332170031183</c:v>
                </c:pt>
                <c:pt idx="82">
                  <c:v>459.93407619305043</c:v>
                </c:pt>
                <c:pt idx="83">
                  <c:v>466.14304053131747</c:v>
                </c:pt>
                <c:pt idx="84">
                  <c:v>472.35024193902171</c:v>
                </c:pt>
                <c:pt idx="85">
                  <c:v>478.5557068657443</c:v>
                </c:pt>
                <c:pt idx="86">
                  <c:v>462.59527850651193</c:v>
                </c:pt>
                <c:pt idx="87">
                  <c:v>468.80348401547377</c:v>
                </c:pt>
                <c:pt idx="88">
                  <c:v>475.00993802231642</c:v>
                </c:pt>
                <c:pt idx="89">
                  <c:v>481.21466665466613</c:v>
                </c:pt>
                <c:pt idx="90">
                  <c:v>487.41769531100323</c:v>
                </c:pt>
                <c:pt idx="91">
                  <c:v>471.46360580465716</c:v>
                </c:pt>
                <c:pt idx="92">
                  <c:v>477.66931720920002</c:v>
                </c:pt>
                <c:pt idx="93">
                  <c:v>483.87331421183421</c:v>
                </c:pt>
                <c:pt idx="94">
                  <c:v>490.07562190769653</c:v>
                </c:pt>
                <c:pt idx="95">
                  <c:v>496.2762647045401</c:v>
                </c:pt>
                <c:pt idx="96">
                  <c:v>478.55570686574464</c:v>
                </c:pt>
                <c:pt idx="97">
                  <c:v>485.20252151676618</c:v>
                </c:pt>
                <c:pt idx="98">
                  <c:v>491.84740297234777</c:v>
                </c:pt>
                <c:pt idx="99">
                  <c:v>498.49038104754055</c:v>
                </c:pt>
                <c:pt idx="100">
                  <c:v>505.13148469753696</c:v>
                </c:pt>
                <c:pt idx="101">
                  <c:v>480.77152842586838</c:v>
                </c:pt>
                <c:pt idx="102">
                  <c:v>480.77152842586838</c:v>
                </c:pt>
                <c:pt idx="103">
                  <c:v>480.77152842586838</c:v>
                </c:pt>
                <c:pt idx="104">
                  <c:v>480.77152842586838</c:v>
                </c:pt>
                <c:pt idx="105">
                  <c:v>480.77152842586838</c:v>
                </c:pt>
                <c:pt idx="106">
                  <c:v>480.77152842586838</c:v>
                </c:pt>
                <c:pt idx="107">
                  <c:v>480.77152842586838</c:v>
                </c:pt>
                <c:pt idx="108">
                  <c:v>480.77152842586838</c:v>
                </c:pt>
                <c:pt idx="109">
                  <c:v>480.77152842586838</c:v>
                </c:pt>
                <c:pt idx="110">
                  <c:v>480.77152842586838</c:v>
                </c:pt>
                <c:pt idx="111">
                  <c:v>480.77152842586838</c:v>
                </c:pt>
                <c:pt idx="112">
                  <c:v>480.77152842586838</c:v>
                </c:pt>
                <c:pt idx="113">
                  <c:v>480.77152842586838</c:v>
                </c:pt>
                <c:pt idx="114">
                  <c:v>480.77152842586838</c:v>
                </c:pt>
                <c:pt idx="115">
                  <c:v>480.77152842586838</c:v>
                </c:pt>
                <c:pt idx="116">
                  <c:v>480.77152842586838</c:v>
                </c:pt>
                <c:pt idx="117">
                  <c:v>480.77152842586838</c:v>
                </c:pt>
                <c:pt idx="118">
                  <c:v>480.77152842586838</c:v>
                </c:pt>
                <c:pt idx="119">
                  <c:v>480.77152842586838</c:v>
                </c:pt>
                <c:pt idx="120">
                  <c:v>480.77152842586838</c:v>
                </c:pt>
                <c:pt idx="121">
                  <c:v>480.77152842586838</c:v>
                </c:pt>
                <c:pt idx="122">
                  <c:v>480.77152842586838</c:v>
                </c:pt>
                <c:pt idx="123">
                  <c:v>480.77152842586838</c:v>
                </c:pt>
                <c:pt idx="124">
                  <c:v>480.77152842586838</c:v>
                </c:pt>
                <c:pt idx="125">
                  <c:v>480.77152842586838</c:v>
                </c:pt>
                <c:pt idx="126">
                  <c:v>480.77152842586838</c:v>
                </c:pt>
                <c:pt idx="127">
                  <c:v>480.77152842586838</c:v>
                </c:pt>
                <c:pt idx="128">
                  <c:v>480.77152842586838</c:v>
                </c:pt>
                <c:pt idx="129">
                  <c:v>480.77152842586838</c:v>
                </c:pt>
                <c:pt idx="130">
                  <c:v>480.77152842586838</c:v>
                </c:pt>
                <c:pt idx="131">
                  <c:v>480.77152842586838</c:v>
                </c:pt>
                <c:pt idx="132">
                  <c:v>480.77152842586838</c:v>
                </c:pt>
                <c:pt idx="133">
                  <c:v>480.77152842586838</c:v>
                </c:pt>
                <c:pt idx="134">
                  <c:v>480.77152842586838</c:v>
                </c:pt>
                <c:pt idx="135">
                  <c:v>480.77152842586838</c:v>
                </c:pt>
                <c:pt idx="136">
                  <c:v>480.77152842586838</c:v>
                </c:pt>
                <c:pt idx="137">
                  <c:v>480.77152842586838</c:v>
                </c:pt>
                <c:pt idx="138">
                  <c:v>480.77152842586838</c:v>
                </c:pt>
                <c:pt idx="139">
                  <c:v>480.77152842586838</c:v>
                </c:pt>
                <c:pt idx="140">
                  <c:v>480.77152842586838</c:v>
                </c:pt>
                <c:pt idx="141">
                  <c:v>480.77152842586838</c:v>
                </c:pt>
                <c:pt idx="142">
                  <c:v>480.77152842586838</c:v>
                </c:pt>
                <c:pt idx="143">
                  <c:v>480.77152842586838</c:v>
                </c:pt>
                <c:pt idx="144">
                  <c:v>480.77152842586838</c:v>
                </c:pt>
                <c:pt idx="145">
                  <c:v>480.77152842586838</c:v>
                </c:pt>
                <c:pt idx="146">
                  <c:v>480.77152842586838</c:v>
                </c:pt>
                <c:pt idx="147">
                  <c:v>480.77152842586838</c:v>
                </c:pt>
                <c:pt idx="148">
                  <c:v>480.77152842586838</c:v>
                </c:pt>
                <c:pt idx="149">
                  <c:v>480.77152842586838</c:v>
                </c:pt>
                <c:pt idx="150">
                  <c:v>480.77152842586838</c:v>
                </c:pt>
                <c:pt idx="151">
                  <c:v>480.77152842586838</c:v>
                </c:pt>
                <c:pt idx="152">
                  <c:v>480.77152842586838</c:v>
                </c:pt>
                <c:pt idx="153">
                  <c:v>480.77152842586838</c:v>
                </c:pt>
                <c:pt idx="154">
                  <c:v>480.77152842586838</c:v>
                </c:pt>
                <c:pt idx="155">
                  <c:v>480.77152842586838</c:v>
                </c:pt>
                <c:pt idx="156">
                  <c:v>480.77152842586838</c:v>
                </c:pt>
                <c:pt idx="157">
                  <c:v>480.77152842586838</c:v>
                </c:pt>
                <c:pt idx="158">
                  <c:v>480.77152842586838</c:v>
                </c:pt>
                <c:pt idx="159">
                  <c:v>480.77152842586838</c:v>
                </c:pt>
                <c:pt idx="160">
                  <c:v>480.77152842586838</c:v>
                </c:pt>
                <c:pt idx="161">
                  <c:v>480.77152842586838</c:v>
                </c:pt>
                <c:pt idx="162">
                  <c:v>480.77152842586838</c:v>
                </c:pt>
                <c:pt idx="163">
                  <c:v>480.77152842586838</c:v>
                </c:pt>
                <c:pt idx="164">
                  <c:v>480.77152842586838</c:v>
                </c:pt>
                <c:pt idx="165">
                  <c:v>480.77152842586838</c:v>
                </c:pt>
                <c:pt idx="166">
                  <c:v>480.77152842586838</c:v>
                </c:pt>
                <c:pt idx="167">
                  <c:v>480.77152842586838</c:v>
                </c:pt>
                <c:pt idx="168">
                  <c:v>480.77152842586838</c:v>
                </c:pt>
                <c:pt idx="169">
                  <c:v>480.77152842586838</c:v>
                </c:pt>
                <c:pt idx="170">
                  <c:v>480.77152842586838</c:v>
                </c:pt>
                <c:pt idx="171">
                  <c:v>480.77152842586838</c:v>
                </c:pt>
                <c:pt idx="172">
                  <c:v>480.77152842586838</c:v>
                </c:pt>
                <c:pt idx="173">
                  <c:v>480.77152842586838</c:v>
                </c:pt>
                <c:pt idx="174">
                  <c:v>480.77152842586838</c:v>
                </c:pt>
                <c:pt idx="175">
                  <c:v>480.77152842586838</c:v>
                </c:pt>
                <c:pt idx="176">
                  <c:v>480.77152842586838</c:v>
                </c:pt>
                <c:pt idx="177">
                  <c:v>480.77152842586838</c:v>
                </c:pt>
                <c:pt idx="178">
                  <c:v>480.77152842586838</c:v>
                </c:pt>
                <c:pt idx="179">
                  <c:v>480.77152842586838</c:v>
                </c:pt>
                <c:pt idx="180">
                  <c:v>480.77152842586838</c:v>
                </c:pt>
                <c:pt idx="181">
                  <c:v>480.77152842586838</c:v>
                </c:pt>
                <c:pt idx="182">
                  <c:v>480.77152842586838</c:v>
                </c:pt>
                <c:pt idx="183">
                  <c:v>480.77152842586838</c:v>
                </c:pt>
                <c:pt idx="184">
                  <c:v>480.77152842586838</c:v>
                </c:pt>
                <c:pt idx="185">
                  <c:v>480.77152842586838</c:v>
                </c:pt>
                <c:pt idx="186">
                  <c:v>480.77152842586838</c:v>
                </c:pt>
                <c:pt idx="187">
                  <c:v>480.77152842586838</c:v>
                </c:pt>
                <c:pt idx="188">
                  <c:v>480.77152842586838</c:v>
                </c:pt>
                <c:pt idx="189">
                  <c:v>480.77152842586838</c:v>
                </c:pt>
                <c:pt idx="190">
                  <c:v>480.77152842586838</c:v>
                </c:pt>
                <c:pt idx="191">
                  <c:v>480.77152842586838</c:v>
                </c:pt>
                <c:pt idx="192">
                  <c:v>480.77152842586838</c:v>
                </c:pt>
                <c:pt idx="193">
                  <c:v>480.77152842586838</c:v>
                </c:pt>
                <c:pt idx="194">
                  <c:v>480.77152842586838</c:v>
                </c:pt>
                <c:pt idx="195">
                  <c:v>480.77152842586838</c:v>
                </c:pt>
                <c:pt idx="196">
                  <c:v>480.77152842586838</c:v>
                </c:pt>
                <c:pt idx="197">
                  <c:v>480.77152842586838</c:v>
                </c:pt>
                <c:pt idx="198">
                  <c:v>480.77152842586838</c:v>
                </c:pt>
                <c:pt idx="199">
                  <c:v>480.77152842586838</c:v>
                </c:pt>
                <c:pt idx="200">
                  <c:v>480.77152842586838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252.86690014923991</c:v>
                </c:pt>
                <c:pt idx="155">
                  <c:v>256.50755974111013</c:v>
                </c:pt>
                <c:pt idx="156">
                  <c:v>260.14705039921722</c:v>
                </c:pt>
                <c:pt idx="157">
                  <c:v>263.78539081889153</c:v>
                </c:pt>
                <c:pt idx="158">
                  <c:v>176.83468552294804</c:v>
                </c:pt>
                <c:pt idx="159">
                  <c:v>179.11325863950762</c:v>
                </c:pt>
                <c:pt idx="160">
                  <c:v>181.39115234734456</c:v>
                </c:pt>
                <c:pt idx="161">
                  <c:v>183.66837640937331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2.9770808019599735</c:v>
                </c:pt>
                <c:pt idx="2">
                  <c:v>3.4373570828714688</c:v>
                </c:pt>
                <c:pt idx="3">
                  <c:v>3.969049858352836</c:v>
                </c:pt>
                <c:pt idx="4">
                  <c:v>4.5832774414983648</c:v>
                </c:pt>
                <c:pt idx="5">
                  <c:v>5.2928945237969822</c:v>
                </c:pt>
                <c:pt idx="6">
                  <c:v>6.1127641431566362</c:v>
                </c:pt>
                <c:pt idx="7">
                  <c:v>7.0600723651439914</c:v>
                </c:pt>
                <c:pt idx="8">
                  <c:v>8.1546924022830094</c:v>
                </c:pt>
                <c:pt idx="9">
                  <c:v>9.4196059574262012</c:v>
                </c:pt>
                <c:pt idx="10">
                  <c:v>10.881390806178834</c:v>
                </c:pt>
                <c:pt idx="11">
                  <c:v>12.570785056701292</c:v>
                </c:pt>
                <c:pt idx="12">
                  <c:v>14.523340173738314</c:v>
                </c:pt>
                <c:pt idx="13">
                  <c:v>16.780176763115087</c:v>
                </c:pt>
                <c:pt idx="14">
                  <c:v>19.388859324553817</c:v>
                </c:pt>
                <c:pt idx="15">
                  <c:v>22.40440874242114</c:v>
                </c:pt>
                <c:pt idx="16">
                  <c:v>25.890474251448747</c:v>
                </c:pt>
                <c:pt idx="17">
                  <c:v>29.92069005192911</c:v>
                </c:pt>
                <c:pt idx="18">
                  <c:v>34.580245730952278</c:v>
                </c:pt>
                <c:pt idx="19">
                  <c:v>39.967704259345972</c:v>
                </c:pt>
                <c:pt idx="20">
                  <c:v>46.197106678273713</c:v>
                </c:pt>
                <c:pt idx="21">
                  <c:v>53.400408781022065</c:v>
                </c:pt>
                <c:pt idx="22">
                  <c:v>61.730302268911977</c:v>
                </c:pt>
                <c:pt idx="23">
                  <c:v>71.363481171441208</c:v>
                </c:pt>
                <c:pt idx="24">
                  <c:v>82.504423950448952</c:v>
                </c:pt>
                <c:pt idx="25">
                  <c:v>95.389772865783996</c:v>
                </c:pt>
                <c:pt idx="26">
                  <c:v>110.29340510848425</c:v>
                </c:pt>
                <c:pt idx="27">
                  <c:v>127.53230518830827</c:v>
                </c:pt>
                <c:pt idx="28">
                  <c:v>147.47336542186929</c:v>
                </c:pt>
                <c:pt idx="29">
                  <c:v>170.54126148381732</c:v>
                </c:pt>
                <c:pt idx="30">
                  <c:v>197.22757329492163</c:v>
                </c:pt>
                <c:pt idx="31">
                  <c:v>208.92142876180176</c:v>
                </c:pt>
                <c:pt idx="32">
                  <c:v>220.60017986363141</c:v>
                </c:pt>
                <c:pt idx="33">
                  <c:v>232.264739416477</c:v>
                </c:pt>
                <c:pt idx="34">
                  <c:v>243.91592098733301</c:v>
                </c:pt>
                <c:pt idx="35">
                  <c:v>255.55445401337798</c:v>
                </c:pt>
                <c:pt idx="36">
                  <c:v>267.18099601974819</c:v>
                </c:pt>
                <c:pt idx="37">
                  <c:v>278.79614259728777</c:v>
                </c:pt>
                <c:pt idx="38">
                  <c:v>290.4004356291054</c:v>
                </c:pt>
                <c:pt idx="39">
                  <c:v>301.99437013242931</c:v>
                </c:pt>
                <c:pt idx="40">
                  <c:v>313.57839999414279</c:v>
                </c:pt>
                <c:pt idx="41">
                  <c:v>325.15294281399184</c:v>
                </c:pt>
                <c:pt idx="42">
                  <c:v>336.71838402176826</c:v>
                </c:pt>
                <c:pt idx="43">
                  <c:v>348.27508039901596</c:v>
                </c:pt>
                <c:pt idx="44">
                  <c:v>359.82336310869147</c:v>
                </c:pt>
                <c:pt idx="45">
                  <c:v>234.70281254814427</c:v>
                </c:pt>
                <c:pt idx="46">
                  <c:v>249.59893217379951</c:v>
                </c:pt>
                <c:pt idx="47">
                  <c:v>264.47489375819822</c:v>
                </c:pt>
                <c:pt idx="48">
                  <c:v>279.33199093869058</c:v>
                </c:pt>
                <c:pt idx="49">
                  <c:v>294.17136845681017</c:v>
                </c:pt>
                <c:pt idx="50">
                  <c:v>308.99404610191897</c:v>
                </c:pt>
                <c:pt idx="51">
                  <c:v>323.80093781674623</c:v>
                </c:pt>
                <c:pt idx="52">
                  <c:v>255.78698052992738</c:v>
                </c:pt>
                <c:pt idx="53">
                  <c:v>269.71503855690486</c:v>
                </c:pt>
                <c:pt idx="54">
                  <c:v>283.62691234584025</c:v>
                </c:pt>
                <c:pt idx="55">
                  <c:v>297.52350768668458</c:v>
                </c:pt>
                <c:pt idx="56">
                  <c:v>311.40563882069802</c:v>
                </c:pt>
                <c:pt idx="57">
                  <c:v>325.27404144854546</c:v>
                </c:pt>
                <c:pt idx="58">
                  <c:v>339.12938340274769</c:v>
                </c:pt>
                <c:pt idx="59">
                  <c:v>352.97227348409729</c:v>
                </c:pt>
                <c:pt idx="60">
                  <c:v>281.39125702931875</c:v>
                </c:pt>
                <c:pt idx="61">
                  <c:v>294.31014596253618</c:v>
                </c:pt>
                <c:pt idx="62">
                  <c:v>307.2163841165638</c:v>
                </c:pt>
                <c:pt idx="63">
                  <c:v>320.11057795832443</c:v>
                </c:pt>
                <c:pt idx="64">
                  <c:v>332.99328109429655</c:v>
                </c:pt>
                <c:pt idx="65">
                  <c:v>345.86500078813629</c:v>
                </c:pt>
                <c:pt idx="66">
                  <c:v>358.72620345698607</c:v>
                </c:pt>
                <c:pt idx="67">
                  <c:v>371.57731933813437</c:v>
                </c:pt>
                <c:pt idx="68">
                  <c:v>314.62020332185165</c:v>
                </c:pt>
                <c:pt idx="69">
                  <c:v>326.95889671398453</c:v>
                </c:pt>
                <c:pt idx="70">
                  <c:v>339.28731000411216</c:v>
                </c:pt>
                <c:pt idx="71">
                  <c:v>351.60586945648743</c:v>
                </c:pt>
                <c:pt idx="72">
                  <c:v>363.9149690215898</c:v>
                </c:pt>
                <c:pt idx="73">
                  <c:v>376.21497381909467</c:v>
                </c:pt>
                <c:pt idx="74">
                  <c:v>388.50622314145625</c:v>
                </c:pt>
                <c:pt idx="75">
                  <c:v>400.78903305747446</c:v>
                </c:pt>
                <c:pt idx="76">
                  <c:v>345.86384431093734</c:v>
                </c:pt>
                <c:pt idx="77">
                  <c:v>357.77573460306729</c:v>
                </c:pt>
                <c:pt idx="78">
                  <c:v>369.67894674632447</c:v>
                </c:pt>
                <c:pt idx="79">
                  <c:v>381.57379960604271</c:v>
                </c:pt>
                <c:pt idx="80">
                  <c:v>393.46059054098606</c:v>
                </c:pt>
                <c:pt idx="81">
                  <c:v>405.33959747363838</c:v>
                </c:pt>
                <c:pt idx="82">
                  <c:v>417.21108070510104</c:v>
                </c:pt>
                <c:pt idx="83">
                  <c:v>429.07528451262601</c:v>
                </c:pt>
                <c:pt idx="84">
                  <c:v>440.93243856122854</c:v>
                </c:pt>
                <c:pt idx="85">
                  <c:v>376.60167716610619</c:v>
                </c:pt>
                <c:pt idx="86">
                  <c:v>387.96577939828467</c:v>
                </c:pt>
                <c:pt idx="87">
                  <c:v>399.32265618290847</c:v>
                </c:pt>
                <c:pt idx="88">
                  <c:v>410.67254202116061</c:v>
                </c:pt>
                <c:pt idx="89">
                  <c:v>422.01565739214857</c:v>
                </c:pt>
                <c:pt idx="90">
                  <c:v>433.35220995374738</c:v>
                </c:pt>
                <c:pt idx="91">
                  <c:v>444.6823956112226</c:v>
                </c:pt>
                <c:pt idx="92">
                  <c:v>456.00639947125768</c:v>
                </c:pt>
                <c:pt idx="93">
                  <c:v>467.32439669627183</c:v>
                </c:pt>
                <c:pt idx="94">
                  <c:v>413.86099161777793</c:v>
                </c:pt>
                <c:pt idx="95">
                  <c:v>425.19717647466877</c:v>
                </c:pt>
                <c:pt idx="96">
                  <c:v>436.52686044713772</c:v>
                </c:pt>
                <c:pt idx="97">
                  <c:v>447.85023606285631</c:v>
                </c:pt>
                <c:pt idx="98">
                  <c:v>459.16748531856956</c:v>
                </c:pt>
                <c:pt idx="99">
                  <c:v>470.47878050700183</c:v>
                </c:pt>
                <c:pt idx="100">
                  <c:v>481.78428496010048</c:v>
                </c:pt>
                <c:pt idx="101">
                  <c:v>493.08415371888253</c:v>
                </c:pt>
                <c:pt idx="102">
                  <c:v>504.37853413868493</c:v>
                </c:pt>
                <c:pt idx="103">
                  <c:v>515.6675664373829</c:v>
                </c:pt>
                <c:pt idx="104">
                  <c:v>441.67788304694392</c:v>
                </c:pt>
                <c:pt idx="105">
                  <c:v>452.64938831122686</c:v>
                </c:pt>
                <c:pt idx="106">
                  <c:v>463.61520902016565</c:v>
                </c:pt>
                <c:pt idx="107">
                  <c:v>474.57549859599521</c:v>
                </c:pt>
                <c:pt idx="108">
                  <c:v>485.53040279578119</c:v>
                </c:pt>
                <c:pt idx="109">
                  <c:v>496.48006026237272</c:v>
                </c:pt>
                <c:pt idx="110">
                  <c:v>507.42460302422029</c:v>
                </c:pt>
                <c:pt idx="111">
                  <c:v>518.36415694983214</c:v>
                </c:pt>
                <c:pt idx="112">
                  <c:v>529.29884216187008</c:v>
                </c:pt>
                <c:pt idx="113">
                  <c:v>540.22877341525339</c:v>
                </c:pt>
                <c:pt idx="114">
                  <c:v>483.77843347470525</c:v>
                </c:pt>
                <c:pt idx="115">
                  <c:v>495.18106269086019</c:v>
                </c:pt>
                <c:pt idx="116">
                  <c:v>506.57812932992596</c:v>
                </c:pt>
                <c:pt idx="117">
                  <c:v>517.96977617364007</c:v>
                </c:pt>
                <c:pt idx="118">
                  <c:v>529.35613921155607</c:v>
                </c:pt>
                <c:pt idx="119">
                  <c:v>540.73734810639564</c:v>
                </c:pt>
                <c:pt idx="120">
                  <c:v>552.11352661818967</c:v>
                </c:pt>
                <c:pt idx="121">
                  <c:v>563.48479299165012</c:v>
                </c:pt>
                <c:pt idx="122">
                  <c:v>574.85126031065295</c:v>
                </c:pt>
                <c:pt idx="123">
                  <c:v>586.21303682323253</c:v>
                </c:pt>
                <c:pt idx="124">
                  <c:v>597.57022624007823</c:v>
                </c:pt>
                <c:pt idx="125">
                  <c:v>608.92292800916312</c:v>
                </c:pt>
                <c:pt idx="126">
                  <c:v>516.97691743661551</c:v>
                </c:pt>
                <c:pt idx="127">
                  <c:v>528.23080123722991</c:v>
                </c:pt>
                <c:pt idx="128">
                  <c:v>539.47963831715936</c:v>
                </c:pt>
                <c:pt idx="129">
                  <c:v>550.7235487287619</c:v>
                </c:pt>
                <c:pt idx="130">
                  <c:v>561.96264722308808</c:v>
                </c:pt>
                <c:pt idx="131">
                  <c:v>573.19704358756508</c:v>
                </c:pt>
                <c:pt idx="132">
                  <c:v>584.42684295583661</c:v>
                </c:pt>
                <c:pt idx="133">
                  <c:v>595.65214609255543</c:v>
                </c:pt>
                <c:pt idx="134">
                  <c:v>606.87304965559781</c:v>
                </c:pt>
                <c:pt idx="135">
                  <c:v>618.08964643788192</c:v>
                </c:pt>
                <c:pt idx="136">
                  <c:v>629.30202559072757</c:v>
                </c:pt>
                <c:pt idx="137">
                  <c:v>640.51027283047199</c:v>
                </c:pt>
                <c:pt idx="138">
                  <c:v>541.94116393966794</c:v>
                </c:pt>
                <c:pt idx="139">
                  <c:v>552.88748579227229</c:v>
                </c:pt>
                <c:pt idx="140">
                  <c:v>563.82926666737285</c:v>
                </c:pt>
                <c:pt idx="141">
                  <c:v>574.76660709862961</c:v>
                </c:pt>
                <c:pt idx="142">
                  <c:v>585.69960348209554</c:v>
                </c:pt>
                <c:pt idx="143">
                  <c:v>596.6283483221988</c:v>
                </c:pt>
                <c:pt idx="144">
                  <c:v>607.55293045876988</c:v>
                </c:pt>
                <c:pt idx="145">
                  <c:v>618.47343527689191</c:v>
                </c:pt>
                <c:pt idx="146">
                  <c:v>629.38994490116841</c:v>
                </c:pt>
                <c:pt idx="147">
                  <c:v>640.30253837581188</c:v>
                </c:pt>
                <c:pt idx="148">
                  <c:v>651.21129183182666</c:v>
                </c:pt>
                <c:pt idx="149">
                  <c:v>662.11627864240563</c:v>
                </c:pt>
                <c:pt idx="150">
                  <c:v>410.25891232631693</c:v>
                </c:pt>
                <c:pt idx="151">
                  <c:v>416.93235115607769</c:v>
                </c:pt>
                <c:pt idx="152">
                  <c:v>423.60348761898211</c:v>
                </c:pt>
                <c:pt idx="153">
                  <c:v>430.27236311544448</c:v>
                </c:pt>
                <c:pt idx="154">
                  <c:v>282.60235881259825</c:v>
                </c:pt>
                <c:pt idx="155">
                  <c:v>286.67220565892609</c:v>
                </c:pt>
                <c:pt idx="156">
                  <c:v>290.74075975339895</c:v>
                </c:pt>
                <c:pt idx="157">
                  <c:v>294.80804177163026</c:v>
                </c:pt>
                <c:pt idx="158">
                  <c:v>197.61056174383398</c:v>
                </c:pt>
                <c:pt idx="159">
                  <c:v>200.15752525879137</c:v>
                </c:pt>
                <c:pt idx="160">
                  <c:v>202.70373739936451</c:v>
                </c:pt>
                <c:pt idx="161">
                  <c:v>205.24920896259434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2.5147186587462147</c:v>
                </c:pt>
                <c:pt idx="2">
                  <c:v>2.9320458204300039</c:v>
                </c:pt>
                <c:pt idx="3">
                  <c:v>3.4188824234421809</c:v>
                </c:pt>
                <c:pt idx="4">
                  <c:v>3.9868455957673476</c:v>
                </c:pt>
                <c:pt idx="5">
                  <c:v>4.6495002696677679</c:v>
                </c:pt>
                <c:pt idx="6">
                  <c:v>5.422686737318287</c:v>
                </c:pt>
                <c:pt idx="7">
                  <c:v>6.324903442097848</c:v>
                </c:pt>
                <c:pt idx="8">
                  <c:v>7.3777543434881103</c:v>
                </c:pt>
                <c:pt idx="9">
                  <c:v>8.6064717758229676</c:v>
                </c:pt>
                <c:pt idx="10">
                  <c:v>10.040527572105615</c:v>
                </c:pt>
                <c:pt idx="11">
                  <c:v>11.714347389472957</c:v>
                </c:pt>
                <c:pt idx="12">
                  <c:v>13.668145706139628</c:v>
                </c:pt>
                <c:pt idx="13">
                  <c:v>15.94890192341582</c:v>
                </c:pt>
                <c:pt idx="14">
                  <c:v>18.611501473959652</c:v>
                </c:pt>
                <c:pt idx="15">
                  <c:v>21.720069894591763</c:v>
                </c:pt>
                <c:pt idx="16">
                  <c:v>25.349532569195986</c:v>
                </c:pt>
                <c:pt idx="17">
                  <c:v>29.587438402019249</c:v>
                </c:pt>
                <c:pt idx="18">
                  <c:v>34.53609218169084</c:v>
                </c:pt>
                <c:pt idx="19">
                  <c:v>40.315048002619221</c:v>
                </c:pt>
                <c:pt idx="20">
                  <c:v>47.064025011713824</c:v>
                </c:pt>
                <c:pt idx="21">
                  <c:v>54.946317165442274</c:v>
                </c:pt>
                <c:pt idx="22">
                  <c:v>64.152780873607881</c:v>
                </c:pt>
                <c:pt idx="23">
                  <c:v>74.906498674616856</c:v>
                </c:pt>
                <c:pt idx="24">
                  <c:v>87.46823378681114</c:v>
                </c:pt>
                <c:pt idx="25">
                  <c:v>102.1428099266476</c:v>
                </c:pt>
                <c:pt idx="26">
                  <c:v>119.28657366300263</c:v>
                </c:pt>
                <c:pt idx="27">
                  <c:v>139.31612335663408</c:v>
                </c:pt>
                <c:pt idx="28">
                  <c:v>162.71852008106734</c:v>
                </c:pt>
                <c:pt idx="29">
                  <c:v>190.06323261605641</c:v>
                </c:pt>
                <c:pt idx="30">
                  <c:v>222.01611156088691</c:v>
                </c:pt>
                <c:pt idx="31">
                  <c:v>237.35174451356906</c:v>
                </c:pt>
                <c:pt idx="32">
                  <c:v>148.16964731375654</c:v>
                </c:pt>
                <c:pt idx="33">
                  <c:v>165.08690309025687</c:v>
                </c:pt>
                <c:pt idx="34">
                  <c:v>181.96320164164413</c:v>
                </c:pt>
                <c:pt idx="35">
                  <c:v>198.80287811797496</c:v>
                </c:pt>
                <c:pt idx="36">
                  <c:v>215.60947219093939</c:v>
                </c:pt>
                <c:pt idx="37">
                  <c:v>232.38592603822676</c:v>
                </c:pt>
                <c:pt idx="38">
                  <c:v>188.70525704737906</c:v>
                </c:pt>
                <c:pt idx="39">
                  <c:v>206.5294655770098</c:v>
                </c:pt>
                <c:pt idx="40">
                  <c:v>224.31812992810478</c:v>
                </c:pt>
                <c:pt idx="41">
                  <c:v>242.07446568844929</c:v>
                </c:pt>
                <c:pt idx="42">
                  <c:v>259.80117785425745</c:v>
                </c:pt>
                <c:pt idx="43">
                  <c:v>277.50057196615711</c:v>
                </c:pt>
                <c:pt idx="44">
                  <c:v>295.17463535907149</c:v>
                </c:pt>
                <c:pt idx="45">
                  <c:v>237.89154421508678</c:v>
                </c:pt>
                <c:pt idx="46">
                  <c:v>255.72782451850529</c:v>
                </c:pt>
                <c:pt idx="47">
                  <c:v>273.53596334358002</c:v>
                </c:pt>
                <c:pt idx="48">
                  <c:v>291.31805036301029</c:v>
                </c:pt>
                <c:pt idx="49">
                  <c:v>309.0758992639764</c:v>
                </c:pt>
                <c:pt idx="50">
                  <c:v>326.81109829511519</c:v>
                </c:pt>
                <c:pt idx="51">
                  <c:v>344.52504925832574</c:v>
                </c:pt>
                <c:pt idx="52">
                  <c:v>290.36075353168332</c:v>
                </c:pt>
                <c:pt idx="53">
                  <c:v>307.86061918118065</c:v>
                </c:pt>
                <c:pt idx="54">
                  <c:v>325.33839282694413</c:v>
                </c:pt>
                <c:pt idx="55">
                  <c:v>342.79542803512413</c:v>
                </c:pt>
                <c:pt idx="56">
                  <c:v>360.23292927012386</c:v>
                </c:pt>
                <c:pt idx="57">
                  <c:v>377.65197489167127</c:v>
                </c:pt>
                <c:pt idx="58">
                  <c:v>395.05353568609485</c:v>
                </c:pt>
                <c:pt idx="59">
                  <c:v>343.51036134380956</c:v>
                </c:pt>
                <c:pt idx="60">
                  <c:v>360.48634322990119</c:v>
                </c:pt>
                <c:pt idx="61">
                  <c:v>377.44484695777965</c:v>
                </c:pt>
                <c:pt idx="62">
                  <c:v>394.38676812405242</c:v>
                </c:pt>
                <c:pt idx="63">
                  <c:v>411.31291912041485</c:v>
                </c:pt>
                <c:pt idx="64">
                  <c:v>428.22404004060792</c:v>
                </c:pt>
                <c:pt idx="65">
                  <c:v>445.12080777461819</c:v>
                </c:pt>
                <c:pt idx="66">
                  <c:v>390.42835740303912</c:v>
                </c:pt>
                <c:pt idx="67">
                  <c:v>406.71149560361397</c:v>
                </c:pt>
                <c:pt idx="68">
                  <c:v>422.98055074538883</c:v>
                </c:pt>
                <c:pt idx="69">
                  <c:v>439.23614059633366</c:v>
                </c:pt>
                <c:pt idx="70">
                  <c:v>455.47883348294516</c:v>
                </c:pt>
                <c:pt idx="71">
                  <c:v>471.70915390567961</c:v>
                </c:pt>
                <c:pt idx="72">
                  <c:v>487.92758734141063</c:v>
                </c:pt>
                <c:pt idx="73">
                  <c:v>421.24297962829968</c:v>
                </c:pt>
                <c:pt idx="74">
                  <c:v>436.62893133918618</c:v>
                </c:pt>
                <c:pt idx="75">
                  <c:v>452.00325304019606</c:v>
                </c:pt>
                <c:pt idx="76">
                  <c:v>467.36639590417968</c:v>
                </c:pt>
                <c:pt idx="77">
                  <c:v>482.71877903202045</c:v>
                </c:pt>
                <c:pt idx="78">
                  <c:v>498.06079270117363</c:v>
                </c:pt>
                <c:pt idx="79">
                  <c:v>513.39280119319722</c:v>
                </c:pt>
                <c:pt idx="80">
                  <c:v>528.71514526603005</c:v>
                </c:pt>
                <c:pt idx="81">
                  <c:v>544.02814432485866</c:v>
                </c:pt>
                <c:pt idx="82">
                  <c:v>450.85060392796987</c:v>
                </c:pt>
                <c:pt idx="83">
                  <c:v>465.19505850819877</c:v>
                </c:pt>
                <c:pt idx="84">
                  <c:v>479.53008460385246</c:v>
                </c:pt>
                <c:pt idx="85">
                  <c:v>493.85600370031733</c:v>
                </c:pt>
                <c:pt idx="86">
                  <c:v>508.17311711545364</c:v>
                </c:pt>
                <c:pt idx="87">
                  <c:v>522.48170780914381</c:v>
                </c:pt>
                <c:pt idx="88">
                  <c:v>536.78204198435321</c:v>
                </c:pt>
                <c:pt idx="89">
                  <c:v>551.07437050875285</c:v>
                </c:pt>
                <c:pt idx="90">
                  <c:v>565.35893018123568</c:v>
                </c:pt>
                <c:pt idx="91">
                  <c:v>470.30995860201728</c:v>
                </c:pt>
                <c:pt idx="92">
                  <c:v>483.77564265100108</c:v>
                </c:pt>
                <c:pt idx="93">
                  <c:v>497.23336817259911</c:v>
                </c:pt>
                <c:pt idx="94">
                  <c:v>510.68338086812832</c:v>
                </c:pt>
                <c:pt idx="95">
                  <c:v>524.1259124442339</c:v>
                </c:pt>
                <c:pt idx="96">
                  <c:v>537.56118175599579</c:v>
                </c:pt>
                <c:pt idx="97">
                  <c:v>550.98939582984201</c:v>
                </c:pt>
                <c:pt idx="98">
                  <c:v>564.41075078158337</c:v>
                </c:pt>
                <c:pt idx="99">
                  <c:v>577.82543264261778</c:v>
                </c:pt>
                <c:pt idx="100">
                  <c:v>309.73880959031101</c:v>
                </c:pt>
                <c:pt idx="101">
                  <c:v>318.24820126657823</c:v>
                </c:pt>
                <c:pt idx="102">
                  <c:v>222.27811009420211</c:v>
                </c:pt>
                <c:pt idx="103">
                  <c:v>228.15085600396517</c:v>
                </c:pt>
                <c:pt idx="104">
                  <c:v>159.50737286323417</c:v>
                </c:pt>
                <c:pt idx="105">
                  <c:v>163.64064810883366</c:v>
                </c:pt>
                <c:pt idx="106">
                  <c:v>167.77145505127669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3.1534690589118353</c:v>
                </c:pt>
                <c:pt idx="2">
                  <c:v>3.6411098993736544</c:v>
                </c:pt>
                <c:pt idx="3">
                  <c:v>4.2044268606027302</c:v>
                </c:pt>
                <c:pt idx="4">
                  <c:v>4.8552034117197067</c:v>
                </c:pt>
                <c:pt idx="5">
                  <c:v>5.6070635714035504</c:v>
                </c:pt>
                <c:pt idx="6">
                  <c:v>6.4757602345243841</c:v>
                </c:pt>
                <c:pt idx="7">
                  <c:v>7.4795087872720272</c:v>
                </c:pt>
                <c:pt idx="8">
                  <c:v>8.639373141963544</c:v>
                </c:pt>
                <c:pt idx="9">
                  <c:v>9.9797124481302628</c:v>
                </c:pt>
                <c:pt idx="10">
                  <c:v>11.528698039875204</c:v>
                </c:pt>
                <c:pt idx="11">
                  <c:v>13.318911689052916</c:v>
                </c:pt>
                <c:pt idx="12">
                  <c:v>15.38803798222699</c:v>
                </c:pt>
                <c:pt idx="13">
                  <c:v>17.77966566446408</c:v>
                </c:pt>
                <c:pt idx="14">
                  <c:v>20.54421513869535</c:v>
                </c:pt>
                <c:pt idx="15">
                  <c:v>23.740012026451669</c:v>
                </c:pt>
                <c:pt idx="16">
                  <c:v>27.434529843166086</c:v>
                </c:pt>
                <c:pt idx="17">
                  <c:v>31.705828487202169</c:v>
                </c:pt>
                <c:pt idx="18">
                  <c:v>36.644219465424563</c:v>
                </c:pt>
                <c:pt idx="19">
                  <c:v>42.354193671162776</c:v>
                </c:pt>
                <c:pt idx="20">
                  <c:v>48.956653199092813</c:v>
                </c:pt>
                <c:pt idx="21">
                  <c:v>56.591495249023616</c:v>
                </c:pt>
                <c:pt idx="22">
                  <c:v>65.420603779564317</c:v>
                </c:pt>
                <c:pt idx="23">
                  <c:v>75.631313388595743</c:v>
                </c:pt>
                <c:pt idx="24">
                  <c:v>87.440420112127867</c:v>
                </c:pt>
                <c:pt idx="25">
                  <c:v>101.09882566874715</c:v>
                </c:pt>
                <c:pt idx="26">
                  <c:v>116.89691539106512</c:v>
                </c:pt>
                <c:pt idx="27">
                  <c:v>135.17078597699336</c:v>
                </c:pt>
                <c:pt idx="28">
                  <c:v>156.30945760843863</c:v>
                </c:pt>
                <c:pt idx="29">
                  <c:v>180.76322632439783</c:v>
                </c:pt>
                <c:pt idx="30">
                  <c:v>209.05333726458238</c:v>
                </c:pt>
                <c:pt idx="31">
                  <c:v>221.45013352636488</c:v>
                </c:pt>
                <c:pt idx="32">
                  <c:v>233.83100699372565</c:v>
                </c:pt>
                <c:pt idx="33">
                  <c:v>246.19691994363038</c:v>
                </c:pt>
                <c:pt idx="34">
                  <c:v>258.54873002616625</c:v>
                </c:pt>
                <c:pt idx="35">
                  <c:v>270.88720620303383</c:v>
                </c:pt>
                <c:pt idx="36">
                  <c:v>283.21304162734083</c:v>
                </c:pt>
                <c:pt idx="37">
                  <c:v>295.52686416199555</c:v>
                </c:pt>
                <c:pt idx="38">
                  <c:v>307.82924505201976</c:v>
                </c:pt>
                <c:pt idx="39">
                  <c:v>320.12070613712899</c:v>
                </c:pt>
                <c:pt idx="40">
                  <c:v>332.40172589804757</c:v>
                </c:pt>
                <c:pt idx="41">
                  <c:v>344.67274456214574</c:v>
                </c:pt>
                <c:pt idx="42">
                  <c:v>356.93416844371239</c:v>
                </c:pt>
                <c:pt idx="43">
                  <c:v>369.1863736564838</c:v>
                </c:pt>
                <c:pt idx="44">
                  <c:v>381.42970930746696</c:v>
                </c:pt>
                <c:pt idx="45">
                  <c:v>248.78159697273676</c:v>
                </c:pt>
                <c:pt idx="46">
                  <c:v>264.5735092135825</c:v>
                </c:pt>
                <c:pt idx="47">
                  <c:v>280.34417115057249</c:v>
                </c:pt>
                <c:pt idx="48">
                  <c:v>296.09494651674089</c:v>
                </c:pt>
                <c:pt idx="49">
                  <c:v>311.82704208139222</c:v>
                </c:pt>
                <c:pt idx="50">
                  <c:v>327.54153289113111</c:v>
                </c:pt>
                <c:pt idx="51">
                  <c:v>343.23938241063451</c:v>
                </c:pt>
                <c:pt idx="52">
                  <c:v>271.13371764011657</c:v>
                </c:pt>
                <c:pt idx="53">
                  <c:v>285.89950657226996</c:v>
                </c:pt>
                <c:pt idx="54">
                  <c:v>300.6482343241384</c:v>
                </c:pt>
                <c:pt idx="55">
                  <c:v>315.38085576586224</c:v>
                </c:pt>
                <c:pt idx="56">
                  <c:v>330.09822925832987</c:v>
                </c:pt>
                <c:pt idx="57">
                  <c:v>344.80113036611419</c:v>
                </c:pt>
                <c:pt idx="58">
                  <c:v>359.49026310821347</c:v>
                </c:pt>
                <c:pt idx="59">
                  <c:v>374.1662692732645</c:v>
                </c:pt>
                <c:pt idx="60">
                  <c:v>298.27808925459738</c:v>
                </c:pt>
                <c:pt idx="61">
                  <c:v>311.97416874515676</c:v>
                </c:pt>
                <c:pt idx="62">
                  <c:v>325.6569119745995</c:v>
                </c:pt>
                <c:pt idx="63">
                  <c:v>339.3269582712324</c:v>
                </c:pt>
                <c:pt idx="64">
                  <c:v>352.98489123867739</c:v>
                </c:pt>
                <c:pt idx="65">
                  <c:v>366.6312456266499</c:v>
                </c:pt>
                <c:pt idx="66">
                  <c:v>380.26651312508551</c:v>
                </c:pt>
                <c:pt idx="67">
                  <c:v>393.89114728366098</c:v>
                </c:pt>
                <c:pt idx="68">
                  <c:v>333.50621544638557</c:v>
                </c:pt>
                <c:pt idx="69">
                  <c:v>346.58737323733811</c:v>
                </c:pt>
                <c:pt idx="70">
                  <c:v>359.65769389940004</c:v>
                </c:pt>
                <c:pt idx="71">
                  <c:v>372.71762679393436</c:v>
                </c:pt>
                <c:pt idx="72">
                  <c:v>385.76758721761024</c:v>
                </c:pt>
                <c:pt idx="73">
                  <c:v>398.80796007409725</c:v>
                </c:pt>
                <c:pt idx="74">
                  <c:v>411.83910304039659</c:v>
                </c:pt>
                <c:pt idx="75">
                  <c:v>424.86134931148223</c:v>
                </c:pt>
                <c:pt idx="76">
                  <c:v>366.63001954846703</c:v>
                </c:pt>
                <c:pt idx="77">
                  <c:v>379.25883721427107</c:v>
                </c:pt>
                <c:pt idx="78">
                  <c:v>391.87850650607828</c:v>
                </c:pt>
                <c:pt idx="79">
                  <c:v>404.48936356692701</c:v>
                </c:pt>
                <c:pt idx="80">
                  <c:v>417.09172186795348</c:v>
                </c:pt>
                <c:pt idx="81">
                  <c:v>429.68587439085917</c:v>
                </c:pt>
                <c:pt idx="82">
                  <c:v>442.27209554114955</c:v>
                </c:pt>
                <c:pt idx="83">
                  <c:v>454.85064283222886</c:v>
                </c:pt>
                <c:pt idx="84">
                  <c:v>467.42175837350146</c:v>
                </c:pt>
                <c:pt idx="85">
                  <c:v>399.21794092640448</c:v>
                </c:pt>
                <c:pt idx="86">
                  <c:v>411.2661252434059</c:v>
                </c:pt>
                <c:pt idx="87">
                  <c:v>423.30669260228728</c:v>
                </c:pt>
                <c:pt idx="88">
                  <c:v>435.33989021066822</c:v>
                </c:pt>
                <c:pt idx="89">
                  <c:v>447.36595049430707</c:v>
                </c:pt>
                <c:pt idx="90">
                  <c:v>459.38509236301206</c:v>
                </c:pt>
                <c:pt idx="91">
                  <c:v>471.39752233716735</c:v>
                </c:pt>
                <c:pt idx="92">
                  <c:v>483.40343555345339</c:v>
                </c:pt>
                <c:pt idx="93">
                  <c:v>495.40301666545815</c:v>
                </c:pt>
                <c:pt idx="94">
                  <c:v>438.72030552903954</c:v>
                </c:pt>
                <c:pt idx="95">
                  <c:v>450.73902924477983</c:v>
                </c:pt>
                <c:pt idx="96">
                  <c:v>462.75089982595506</c:v>
                </c:pt>
                <c:pt idx="97">
                  <c:v>474.75612023234066</c:v>
                </c:pt>
                <c:pt idx="98">
                  <c:v>486.75488232216713</c:v>
                </c:pt>
                <c:pt idx="99">
                  <c:v>498.74736772383267</c:v>
                </c:pt>
                <c:pt idx="100">
                  <c:v>510.73374861941949</c:v>
                </c:pt>
                <c:pt idx="101">
                  <c:v>522.71418845083542</c:v>
                </c:pt>
                <c:pt idx="102">
                  <c:v>534.68884255785974</c:v>
                </c:pt>
                <c:pt idx="103">
                  <c:v>546.65785875606741</c:v>
                </c:pt>
                <c:pt idx="104">
                  <c:v>468.21209011778797</c:v>
                </c:pt>
                <c:pt idx="105">
                  <c:v>479.84426792355094</c:v>
                </c:pt>
                <c:pt idx="106">
                  <c:v>491.47045315658323</c:v>
                </c:pt>
                <c:pt idx="107">
                  <c:v>503.0908075522961</c:v>
                </c:pt>
                <c:pt idx="108">
                  <c:v>514.70548476559588</c:v>
                </c:pt>
                <c:pt idx="109">
                  <c:v>526.31463095168817</c:v>
                </c:pt>
                <c:pt idx="110">
                  <c:v>537.91838529298013</c:v>
                </c:pt>
                <c:pt idx="111">
                  <c:v>549.51688047815901</c:v>
                </c:pt>
                <c:pt idx="112">
                  <c:v>561.11024313872872</c:v>
                </c:pt>
                <c:pt idx="113">
                  <c:v>572.6985942475975</c:v>
                </c:pt>
                <c:pt idx="114">
                  <c:v>512.84799871703717</c:v>
                </c:pt>
                <c:pt idx="115">
                  <c:v>524.93739421021189</c:v>
                </c:pt>
                <c:pt idx="116">
                  <c:v>537.02092571829689</c:v>
                </c:pt>
                <c:pt idx="117">
                  <c:v>549.09874375965182</c:v>
                </c:pt>
                <c:pt idx="118">
                  <c:v>561.17099169241851</c:v>
                </c:pt>
                <c:pt idx="119">
                  <c:v>573.23780620508774</c:v>
                </c:pt>
                <c:pt idx="120">
                  <c:v>585.29931776362218</c:v>
                </c:pt>
                <c:pt idx="121">
                  <c:v>597.35565101981854</c:v>
                </c:pt>
                <c:pt idx="122">
                  <c:v>609.40692518499748</c:v>
                </c:pt>
                <c:pt idx="123">
                  <c:v>621.45325437260897</c:v>
                </c:pt>
                <c:pt idx="124">
                  <c:v>633.49474791290106</c:v>
                </c:pt>
                <c:pt idx="125">
                  <c:v>645.53151064243139</c:v>
                </c:pt>
                <c:pt idx="126">
                  <c:v>548.04607929846588</c:v>
                </c:pt>
                <c:pt idx="127">
                  <c:v>559.97786488342695</c:v>
                </c:pt>
                <c:pt idx="128">
                  <c:v>571.90433029135977</c:v>
                </c:pt>
                <c:pt idx="129">
                  <c:v>583.82560207965423</c:v>
                </c:pt>
                <c:pt idx="130">
                  <c:v>595.74180121714119</c:v>
                </c:pt>
                <c:pt idx="131">
                  <c:v>607.65304344007518</c:v>
                </c:pt>
                <c:pt idx="132">
                  <c:v>619.55943957876173</c:v>
                </c:pt>
                <c:pt idx="133">
                  <c:v>631.4610958577822</c:v>
                </c:pt>
                <c:pt idx="134">
                  <c:v>643.35811417241564</c:v>
                </c:pt>
                <c:pt idx="135">
                  <c:v>655.25059234356047</c:v>
                </c:pt>
                <c:pt idx="136">
                  <c:v>667.13862435319663</c:v>
                </c:pt>
                <c:pt idx="137">
                  <c:v>679.02230056219787</c:v>
                </c:pt>
                <c:pt idx="138">
                  <c:v>574.51414186728437</c:v>
                </c:pt>
                <c:pt idx="139">
                  <c:v>586.11990350830399</c:v>
                </c:pt>
                <c:pt idx="140">
                  <c:v>597.72087811914889</c:v>
                </c:pt>
                <c:pt idx="141">
                  <c:v>609.31717168089131</c:v>
                </c:pt>
                <c:pt idx="142">
                  <c:v>620.90888581279978</c:v>
                </c:pt>
                <c:pt idx="143">
                  <c:v>632.49611803165146</c:v>
                </c:pt>
                <c:pt idx="144">
                  <c:v>644.07896199105858</c:v>
                </c:pt>
                <c:pt idx="145">
                  <c:v>655.65750770269199</c:v>
                </c:pt>
                <c:pt idx="146">
                  <c:v>667.23184174107257</c:v>
                </c:pt>
                <c:pt idx="147">
                  <c:v>678.80204743342108</c:v>
                </c:pt>
                <c:pt idx="148">
                  <c:v>690.36820503589581</c:v>
                </c:pt>
                <c:pt idx="149">
                  <c:v>701.93039189741421</c:v>
                </c:pt>
                <c:pt idx="150">
                  <c:v>434.90135751193066</c:v>
                </c:pt>
                <c:pt idx="151">
                  <c:v>441.97658421287679</c:v>
                </c:pt>
                <c:pt idx="152">
                  <c:v>449.04938379331742</c:v>
                </c:pt>
                <c:pt idx="153">
                  <c:v>456.11979989694652</c:v>
                </c:pt>
                <c:pt idx="154">
                  <c:v>299.56204668849836</c:v>
                </c:pt>
                <c:pt idx="155">
                  <c:v>303.87672636861254</c:v>
                </c:pt>
                <c:pt idx="156">
                  <c:v>308.19004324916779</c:v>
                </c:pt>
                <c:pt idx="157">
                  <c:v>312.5020191260852</c:v>
                </c:pt>
                <c:pt idx="158">
                  <c:v>209.45934642866396</c:v>
                </c:pt>
                <c:pt idx="159">
                  <c:v>212.15940571579981</c:v>
                </c:pt>
                <c:pt idx="160">
                  <c:v>214.8586729153626</c:v>
                </c:pt>
                <c:pt idx="161">
                  <c:v>217.5571594094306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2.8445538772295063</c:v>
                </c:pt>
                <c:pt idx="2">
                  <c:v>3.284273535613877</c:v>
                </c:pt>
                <c:pt idx="3">
                  <c:v>3.7922102922952434</c:v>
                </c:pt>
                <c:pt idx="4">
                  <c:v>4.3789829346453333</c:v>
                </c:pt>
                <c:pt idx="5">
                  <c:v>5.0568684072794188</c:v>
                </c:pt>
                <c:pt idx="6">
                  <c:v>5.8400614980565448</c:v>
                </c:pt>
                <c:pt idx="7">
                  <c:v>6.7449753039941669</c:v>
                </c:pt>
                <c:pt idx="8">
                  <c:v>7.7905888969266996</c:v>
                </c:pt>
                <c:pt idx="9">
                  <c:v>8.9988496216860376</c:v>
                </c:pt>
                <c:pt idx="10">
                  <c:v>10.395138632688928</c:v>
                </c:pt>
                <c:pt idx="11">
                  <c:v>12.008809633451259</c:v>
                </c:pt>
                <c:pt idx="12">
                  <c:v>13.873812357108987</c:v>
                </c:pt>
                <c:pt idx="13">
                  <c:v>16.029414148570542</c:v>
                </c:pt>
                <c:pt idx="14">
                  <c:v>18.521035119924662</c:v>
                </c:pt>
                <c:pt idx="15">
                  <c:v>21.401214795914981</c:v>
                </c:pt>
                <c:pt idx="16">
                  <c:v>24.730730998666559</c:v>
                </c:pt>
                <c:pt idx="17">
                  <c:v>28.57989500182471</c:v>
                </c:pt>
                <c:pt idx="18">
                  <c:v>33.030050785016336</c:v>
                </c:pt>
                <c:pt idx="19">
                  <c:v>38.175310622549354</c:v>
                </c:pt>
                <c:pt idx="20">
                  <c:v>44.124564341117825</c:v>
                </c:pt>
                <c:pt idx="21">
                  <c:v>51.003805490763547</c:v>
                </c:pt>
                <c:pt idx="22">
                  <c:v>58.958824519858602</c:v>
                </c:pt>
                <c:pt idx="23">
                  <c:v>68.158326977231852</c:v>
                </c:pt>
                <c:pt idx="24">
                  <c:v>78.797543955252777</c:v>
                </c:pt>
                <c:pt idx="25">
                  <c:v>91.102412636626653</c:v>
                </c:pt>
                <c:pt idx="26">
                  <c:v>105.3344171465771</c:v>
                </c:pt>
                <c:pt idx="27">
                  <c:v>121.79619420959904</c:v>
                </c:pt>
                <c:pt idx="28">
                  <c:v>140.8380246774075</c:v>
                </c:pt>
                <c:pt idx="29">
                  <c:v>162.86535119300285</c:v>
                </c:pt>
                <c:pt idx="30">
                  <c:v>188.34748450328843</c:v>
                </c:pt>
                <c:pt idx="31">
                  <c:v>199.51355751778638</c:v>
                </c:pt>
                <c:pt idx="32">
                  <c:v>210.66514383022638</c:v>
                </c:pt>
                <c:pt idx="33">
                  <c:v>221.80311892887573</c:v>
                </c:pt>
                <c:pt idx="34">
                  <c:v>232.92826311152359</c:v>
                </c:pt>
                <c:pt idx="35">
                  <c:v>244.04127598646448</c:v>
                </c:pt>
                <c:pt idx="36">
                  <c:v>255.14278819065109</c:v>
                </c:pt>
                <c:pt idx="37">
                  <c:v>266.23337095942338</c:v>
                </c:pt>
                <c:pt idx="38">
                  <c:v>277.31354401665726</c:v>
                </c:pt>
                <c:pt idx="39">
                  <c:v>288.38378213683524</c:v>
                </c:pt>
                <c:pt idx="40">
                  <c:v>299.44452064603837</c:v>
                </c:pt>
                <c:pt idx="41">
                  <c:v>310.49616006710073</c:v>
                </c:pt>
                <c:pt idx="42">
                  <c:v>321.53907006842928</c:v>
                </c:pt>
                <c:pt idx="43">
                  <c:v>332.57359284169502</c:v>
                </c:pt>
                <c:pt idx="44">
                  <c:v>343.60004600760408</c:v>
                </c:pt>
                <c:pt idx="45">
                  <c:v>224.13112047558164</c:v>
                </c:pt>
                <c:pt idx="46">
                  <c:v>238.35467317528014</c:v>
                </c:pt>
                <c:pt idx="47">
                  <c:v>252.55889215676018</c:v>
                </c:pt>
                <c:pt idx="48">
                  <c:v>266.7450181566432</c:v>
                </c:pt>
                <c:pt idx="49">
                  <c:v>280.91414910453278</c:v>
                </c:pt>
                <c:pt idx="50">
                  <c:v>295.06726308753133</c:v>
                </c:pt>
                <c:pt idx="51">
                  <c:v>309.20523667449658</c:v>
                </c:pt>
                <c:pt idx="52">
                  <c:v>244.26330259426319</c:v>
                </c:pt>
                <c:pt idx="53">
                  <c:v>257.56239224116058</c:v>
                </c:pt>
                <c:pt idx="54">
                  <c:v>270.8459594722687</c:v>
                </c:pt>
                <c:pt idx="55">
                  <c:v>284.11487303705792</c:v>
                </c:pt>
                <c:pt idx="56">
                  <c:v>297.36991388001081</c:v>
                </c:pt>
                <c:pt idx="57">
                  <c:v>310.61178761677502</c:v>
                </c:pt>
                <c:pt idx="58">
                  <c:v>323.84113477018821</c:v>
                </c:pt>
                <c:pt idx="59">
                  <c:v>337.05853924534387</c:v>
                </c:pt>
                <c:pt idx="60">
                  <c:v>268.7112782938953</c:v>
                </c:pt>
                <c:pt idx="61">
                  <c:v>281.04665813680271</c:v>
                </c:pt>
                <c:pt idx="62">
                  <c:v>293.36990452899482</c:v>
                </c:pt>
                <c:pt idx="63">
                  <c:v>305.68159913713504</c:v>
                </c:pt>
                <c:pt idx="64">
                  <c:v>317.982272929065</c:v>
                </c:pt>
                <c:pt idx="65">
                  <c:v>330.27241242490169</c:v>
                </c:pt>
                <c:pt idx="66">
                  <c:v>342.55246496858553</c:v>
                </c:pt>
                <c:pt idx="67">
                  <c:v>354.82284320370565</c:v>
                </c:pt>
                <c:pt idx="68">
                  <c:v>300.43926003821406</c:v>
                </c:pt>
                <c:pt idx="69">
                  <c:v>312.22052278591252</c:v>
                </c:pt>
                <c:pt idx="70">
                  <c:v>323.99192581594804</c:v>
                </c:pt>
                <c:pt idx="71">
                  <c:v>335.75387796134402</c:v>
                </c:pt>
                <c:pt idx="72">
                  <c:v>347.5067570627578</c:v>
                </c:pt>
                <c:pt idx="73">
                  <c:v>359.25091330902154</c:v>
                </c:pt>
                <c:pt idx="74">
                  <c:v>370.98667211789854</c:v>
                </c:pt>
                <c:pt idx="75">
                  <c:v>382.71433663318339</c:v>
                </c:pt>
                <c:pt idx="76">
                  <c:v>330.27130820262437</c:v>
                </c:pt>
                <c:pt idx="77">
                  <c:v>341.64494578691387</c:v>
                </c:pt>
                <c:pt idx="78">
                  <c:v>353.01026009798289</c:v>
                </c:pt>
                <c:pt idx="79">
                  <c:v>364.3675569618012</c:v>
                </c:pt>
                <c:pt idx="80">
                  <c:v>375.71712157723732</c:v>
                </c:pt>
                <c:pt idx="81">
                  <c:v>387.05922050168732</c:v>
                </c:pt>
                <c:pt idx="82">
                  <c:v>398.39410339175623</c:v>
                </c:pt>
                <c:pt idx="83">
                  <c:v>409.72200453546321</c:v>
                </c:pt>
                <c:pt idx="84">
                  <c:v>421.0431442061294</c:v>
                </c:pt>
                <c:pt idx="85">
                  <c:v>359.6201405577101</c:v>
                </c:pt>
                <c:pt idx="86">
                  <c:v>370.47065395285722</c:v>
                </c:pt>
                <c:pt idx="87">
                  <c:v>381.31423737076875</c:v>
                </c:pt>
                <c:pt idx="88">
                  <c:v>392.15111572316761</c:v>
                </c:pt>
                <c:pt idx="89">
                  <c:v>402.98150047310645</c:v>
                </c:pt>
                <c:pt idx="90">
                  <c:v>413.80559078670422</c:v>
                </c:pt>
                <c:pt idx="91">
                  <c:v>424.62357455806983</c:v>
                </c:pt>
                <c:pt idx="92">
                  <c:v>435.43562932431655</c:v>
                </c:pt>
                <c:pt idx="93">
                  <c:v>446.24192308494509</c:v>
                </c:pt>
                <c:pt idx="94">
                  <c:v>395.19544417615924</c:v>
                </c:pt>
                <c:pt idx="95">
                  <c:v>406.01920365917562</c:v>
                </c:pt>
                <c:pt idx="96">
                  <c:v>416.83672809851947</c:v>
                </c:pt>
                <c:pt idx="97">
                  <c:v>427.64820214882644</c:v>
                </c:pt>
                <c:pt idx="98">
                  <c:v>438.45380036444539</c:v>
                </c:pt>
                <c:pt idx="99">
                  <c:v>449.25368799253255</c:v>
                </c:pt>
                <c:pt idx="100">
                  <c:v>460.04802168589998</c:v>
                </c:pt>
                <c:pt idx="101">
                  <c:v>470.83695014547044</c:v>
                </c:pt>
                <c:pt idx="102">
                  <c:v>481.62061470077691</c:v>
                </c:pt>
                <c:pt idx="103">
                  <c:v>492.39914983576364</c:v>
                </c:pt>
                <c:pt idx="104">
                  <c:v>421.75488914200605</c:v>
                </c:pt>
                <c:pt idx="105">
                  <c:v>432.23038867220362</c:v>
                </c:pt>
                <c:pt idx="106">
                  <c:v>442.70043610565153</c:v>
                </c:pt>
                <c:pt idx="107">
                  <c:v>453.16517859068671</c:v>
                </c:pt>
                <c:pt idx="108">
                  <c:v>463.6247559239294</c:v>
                </c:pt>
                <c:pt idx="109">
                  <c:v>474.07930107870487</c:v>
                </c:pt>
                <c:pt idx="110">
                  <c:v>484.52894068442293</c:v>
                </c:pt>
                <c:pt idx="111">
                  <c:v>494.97379546244878</c:v>
                </c:pt>
                <c:pt idx="112">
                  <c:v>505.41398062326749</c:v>
                </c:pt>
                <c:pt idx="113">
                  <c:v>515.84960622912308</c:v>
                </c:pt>
                <c:pt idx="114">
                  <c:v>461.95200357411198</c:v>
                </c:pt>
                <c:pt idx="115">
                  <c:v>472.83904164349178</c:v>
                </c:pt>
                <c:pt idx="116">
                  <c:v>483.72074460631808</c:v>
                </c:pt>
                <c:pt idx="117">
                  <c:v>494.59724940555299</c:v>
                </c:pt>
                <c:pt idx="118">
                  <c:v>505.4686864697278</c:v>
                </c:pt>
                <c:pt idx="119">
                  <c:v>516.33518015926472</c:v>
                </c:pt>
                <c:pt idx="120">
                  <c:v>527.19684917327379</c:v>
                </c:pt>
                <c:pt idx="121">
                  <c:v>538.0538069210852</c:v>
                </c:pt>
                <c:pt idx="122">
                  <c:v>548.90616186223372</c:v>
                </c:pt>
                <c:pt idx="123">
                  <c:v>559.75401781816606</c:v>
                </c:pt>
                <c:pt idx="124">
                  <c:v>570.59747425852868</c:v>
                </c:pt>
                <c:pt idx="125">
                  <c:v>581.43662656456797</c:v>
                </c:pt>
                <c:pt idx="126">
                  <c:v>493.6492896849968</c:v>
                </c:pt>
                <c:pt idx="127">
                  <c:v>504.39424070485211</c:v>
                </c:pt>
                <c:pt idx="128">
                  <c:v>515.13435137963563</c:v>
                </c:pt>
                <c:pt idx="129">
                  <c:v>525.86973685240321</c:v>
                </c:pt>
                <c:pt idx="130">
                  <c:v>536.60050718168884</c:v>
                </c:pt>
                <c:pt idx="131">
                  <c:v>547.32676766538123</c:v>
                </c:pt>
                <c:pt idx="132">
                  <c:v>558.0486191378925</c:v>
                </c:pt>
                <c:pt idx="133">
                  <c:v>568.76615824330497</c:v>
                </c:pt>
                <c:pt idx="134">
                  <c:v>579.47947768686356</c:v>
                </c:pt>
                <c:pt idx="135">
                  <c:v>590.18866646690458</c:v>
                </c:pt>
                <c:pt idx="136">
                  <c:v>600.89381008908106</c:v>
                </c:pt>
                <c:pt idx="137">
                  <c:v>611.59499076453187</c:v>
                </c:pt>
                <c:pt idx="138">
                  <c:v>517.4845521341457</c:v>
                </c:pt>
                <c:pt idx="139">
                  <c:v>527.93580377962724</c:v>
                </c:pt>
                <c:pt idx="140">
                  <c:v>538.38270014185616</c:v>
                </c:pt>
                <c:pt idx="141">
                  <c:v>548.82533764336756</c:v>
                </c:pt>
                <c:pt idx="142">
                  <c:v>559.26380873828998</c:v>
                </c:pt>
                <c:pt idx="143">
                  <c:v>569.69820214826711</c:v>
                </c:pt>
                <c:pt idx="144">
                  <c:v>580.12860308019992</c:v>
                </c:pt>
                <c:pt idx="145">
                  <c:v>590.55509342751941</c:v>
                </c:pt>
                <c:pt idx="146">
                  <c:v>600.97775195650604</c:v>
                </c:pt>
                <c:pt idx="147">
                  <c:v>611.39665447901677</c:v>
                </c:pt>
                <c:pt idx="148">
                  <c:v>621.81187401282932</c:v>
                </c:pt>
                <c:pt idx="149">
                  <c:v>632.22348093068604</c:v>
                </c:pt>
                <c:pt idx="150">
                  <c:v>391.75618234016855</c:v>
                </c:pt>
                <c:pt idx="151">
                  <c:v>398.12797300026745</c:v>
                </c:pt>
                <c:pt idx="152">
                  <c:v>404.49755544422732</c:v>
                </c:pt>
                <c:pt idx="153">
                  <c:v>410.86496937947453</c:v>
                </c:pt>
                <c:pt idx="154">
                  <c:v>269.86768046055812</c:v>
                </c:pt>
                <c:pt idx="155">
                  <c:v>273.75370835861008</c:v>
                </c:pt>
                <c:pt idx="156">
                  <c:v>277.63849636932508</c:v>
                </c:pt>
                <c:pt idx="157">
                  <c:v>281.5220643228285</c:v>
                </c:pt>
                <c:pt idx="158">
                  <c:v>188.71318847193186</c:v>
                </c:pt>
                <c:pt idx="159">
                  <c:v>191.14520426585958</c:v>
                </c:pt>
                <c:pt idx="160">
                  <c:v>193.57649941136523</c:v>
                </c:pt>
                <c:pt idx="161">
                  <c:v>196.00708426396639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35" zoomScale="70" zoomScaleNormal="70" workbookViewId="0">
      <selection activeCell="M260" sqref="M26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231</v>
      </c>
      <c r="B5" s="276"/>
      <c r="C5" s="24">
        <v>18.71</v>
      </c>
      <c r="D5" s="277" t="s">
        <v>229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21</v>
      </c>
      <c r="C9" s="32">
        <v>0.14000000000000001</v>
      </c>
      <c r="D9" s="33">
        <f t="shared" ref="D9:D18" si="0">C9*$C$5</f>
        <v>2.6194000000000002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6</v>
      </c>
      <c r="C10" s="32">
        <v>0.04</v>
      </c>
      <c r="D10" s="33">
        <f t="shared" si="0"/>
        <v>0.74840000000000007</v>
      </c>
      <c r="E10" s="34"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29</v>
      </c>
      <c r="C11" s="32">
        <v>0.04</v>
      </c>
      <c r="D11" s="33">
        <f t="shared" si="0"/>
        <v>0.74840000000000007</v>
      </c>
      <c r="E11" s="34">
        <v>69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9</v>
      </c>
      <c r="C12" s="32">
        <v>6.5000000000000002E-2</v>
      </c>
      <c r="D12" s="33">
        <f t="shared" si="0"/>
        <v>1.2161500000000001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14</v>
      </c>
      <c r="C13" s="32">
        <v>0.56999999999999995</v>
      </c>
      <c r="D13" s="33">
        <f t="shared" si="0"/>
        <v>10.6647</v>
      </c>
      <c r="E13" s="34">
        <v>161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 t="s">
        <v>12</v>
      </c>
      <c r="C14" s="32">
        <v>0.08</v>
      </c>
      <c r="D14" s="33">
        <f t="shared" si="0"/>
        <v>1.4968000000000001</v>
      </c>
      <c r="E14" s="34">
        <v>161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 t="s">
        <v>11</v>
      </c>
      <c r="C15" s="32">
        <v>0.04</v>
      </c>
      <c r="D15" s="33">
        <f t="shared" si="0"/>
        <v>0.74840000000000007</v>
      </c>
      <c r="E15" s="34">
        <v>106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 t="s">
        <v>52</v>
      </c>
      <c r="C16" s="32">
        <v>0.01</v>
      </c>
      <c r="D16" s="33">
        <f t="shared" si="0"/>
        <v>0.18710000000000002</v>
      </c>
      <c r="E16" s="34">
        <v>161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 t="s">
        <v>1</v>
      </c>
      <c r="C17" s="32">
        <v>5.0000000000000001E-3</v>
      </c>
      <c r="D17" s="33">
        <f t="shared" si="0"/>
        <v>9.3550000000000008E-2</v>
      </c>
      <c r="E17" s="34">
        <v>131</v>
      </c>
      <c r="F17" s="35" t="str">
        <f t="array" ref="F17">IF(E17="","",IF(INDEX(A:A,MAX(IF(ISNUMBER($A$244:$A$263),ROW($A$244:$A$263),"")))&lt;&gt;E17,"Corrigez : révolution incorrecte","OK"))</f>
        <v>Corrigez : révolution incorrecte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 t="s">
        <v>50</v>
      </c>
      <c r="C18" s="32">
        <v>0.01</v>
      </c>
      <c r="D18" s="33">
        <f t="shared" si="0"/>
        <v>0.18710000000000002</v>
      </c>
      <c r="E18" s="34">
        <v>161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18.71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Erable champêtre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37</v>
      </c>
      <c r="C36" s="60">
        <v>1</v>
      </c>
      <c r="D36" s="60">
        <v>15</v>
      </c>
      <c r="E36" s="51">
        <v>0</v>
      </c>
      <c r="F36" s="51">
        <v>0</v>
      </c>
      <c r="G36" s="51">
        <v>0</v>
      </c>
      <c r="H36" s="51">
        <v>1</v>
      </c>
      <c r="I36" s="49">
        <f>IFERROR(B36/A36,"")</f>
        <v>2.4666666666666668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80</v>
      </c>
      <c r="C37" s="60">
        <v>2</v>
      </c>
      <c r="D37" s="60">
        <v>28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11.6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115</v>
      </c>
      <c r="C38" s="60">
        <v>3</v>
      </c>
      <c r="D38" s="60">
        <v>28</v>
      </c>
      <c r="E38" s="51">
        <v>0</v>
      </c>
      <c r="F38" s="51">
        <v>7.0000000000000007E-2</v>
      </c>
      <c r="G38" s="51">
        <v>0</v>
      </c>
      <c r="H38" s="51">
        <v>0.93</v>
      </c>
      <c r="I38" s="53">
        <f t="shared" si="1"/>
        <v>12.6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30</v>
      </c>
      <c r="B39" s="60">
        <v>146</v>
      </c>
      <c r="C39" s="60">
        <v>4</v>
      </c>
      <c r="D39" s="60">
        <v>28</v>
      </c>
      <c r="E39" s="51">
        <v>0.04</v>
      </c>
      <c r="F39" s="51">
        <v>0.28999999999999998</v>
      </c>
      <c r="G39" s="51">
        <v>0</v>
      </c>
      <c r="H39" s="51">
        <v>0.68</v>
      </c>
      <c r="I39" s="49">
        <f t="shared" si="1"/>
        <v>11.8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35</v>
      </c>
      <c r="B40" s="60">
        <v>172</v>
      </c>
      <c r="C40" s="60">
        <v>5</v>
      </c>
      <c r="D40" s="60">
        <v>28</v>
      </c>
      <c r="E40" s="51">
        <v>0.18</v>
      </c>
      <c r="F40" s="51">
        <v>0.43</v>
      </c>
      <c r="G40" s="51">
        <v>0</v>
      </c>
      <c r="H40" s="51">
        <v>0.39</v>
      </c>
      <c r="I40" s="49">
        <f t="shared" si="1"/>
        <v>10.8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40</v>
      </c>
      <c r="B41" s="60">
        <v>192</v>
      </c>
      <c r="C41" s="60">
        <v>6</v>
      </c>
      <c r="D41" s="60">
        <v>28</v>
      </c>
      <c r="E41" s="51">
        <v>0.39</v>
      </c>
      <c r="F41" s="51">
        <v>0.39</v>
      </c>
      <c r="G41" s="51">
        <v>0</v>
      </c>
      <c r="H41" s="51">
        <v>0.21</v>
      </c>
      <c r="I41" s="53">
        <f t="shared" si="1"/>
        <v>9.6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45</v>
      </c>
      <c r="B42" s="60">
        <v>205</v>
      </c>
      <c r="C42" s="60">
        <v>7</v>
      </c>
      <c r="D42" s="60">
        <v>22</v>
      </c>
      <c r="E42" s="51">
        <v>0.59</v>
      </c>
      <c r="F42" s="51">
        <v>0.27</v>
      </c>
      <c r="G42" s="51">
        <v>0</v>
      </c>
      <c r="H42" s="51">
        <v>0.14000000000000001</v>
      </c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50</v>
      </c>
      <c r="B43" s="60">
        <v>219</v>
      </c>
      <c r="C43" s="60">
        <v>8</v>
      </c>
      <c r="D43" s="60">
        <v>17</v>
      </c>
      <c r="E43" s="51">
        <v>0.71</v>
      </c>
      <c r="F43" s="51">
        <v>0.18</v>
      </c>
      <c r="G43" s="51">
        <v>0</v>
      </c>
      <c r="H43" s="51">
        <v>0.12</v>
      </c>
      <c r="I43" s="49">
        <f t="shared" si="1"/>
        <v>7.2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55</v>
      </c>
      <c r="B44" s="60">
        <v>232</v>
      </c>
      <c r="C44" s="60">
        <v>9</v>
      </c>
      <c r="D44" s="60">
        <v>13</v>
      </c>
      <c r="E44" s="51">
        <v>0.77</v>
      </c>
      <c r="F44" s="51">
        <v>0.15</v>
      </c>
      <c r="G44" s="51">
        <v>0</v>
      </c>
      <c r="H44" s="51">
        <v>0.08</v>
      </c>
      <c r="I44" s="49">
        <f t="shared" si="1"/>
        <v>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60</v>
      </c>
      <c r="B45" s="60">
        <v>245</v>
      </c>
      <c r="C45" s="60">
        <v>10</v>
      </c>
      <c r="D45" s="60">
        <v>12</v>
      </c>
      <c r="E45" s="51">
        <v>0.83</v>
      </c>
      <c r="F45" s="51">
        <v>0.08</v>
      </c>
      <c r="G45" s="51">
        <v>0</v>
      </c>
      <c r="H45" s="51">
        <v>0.08</v>
      </c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65</v>
      </c>
      <c r="B46" s="60">
        <v>255</v>
      </c>
      <c r="C46" s="60">
        <v>11</v>
      </c>
      <c r="D46" s="60">
        <v>11</v>
      </c>
      <c r="E46" s="51">
        <v>0.82</v>
      </c>
      <c r="F46" s="51">
        <v>0.09</v>
      </c>
      <c r="G46" s="51">
        <v>0</v>
      </c>
      <c r="H46" s="51">
        <v>0.09</v>
      </c>
      <c r="I46" s="49">
        <f t="shared" si="1"/>
        <v>4.4000000000000004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70</v>
      </c>
      <c r="B47" s="60">
        <v>263</v>
      </c>
      <c r="C47" s="60">
        <v>12</v>
      </c>
      <c r="D47" s="60">
        <v>10</v>
      </c>
      <c r="E47" s="51">
        <v>0.9</v>
      </c>
      <c r="F47" s="51">
        <v>0.1</v>
      </c>
      <c r="G47" s="51">
        <v>0</v>
      </c>
      <c r="H47" s="51">
        <v>0</v>
      </c>
      <c r="I47" s="49">
        <f t="shared" si="1"/>
        <v>3.8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75</v>
      </c>
      <c r="B48" s="60">
        <v>270</v>
      </c>
      <c r="C48" s="60">
        <v>13</v>
      </c>
      <c r="D48" s="60">
        <v>9</v>
      </c>
      <c r="E48" s="51">
        <v>0.89</v>
      </c>
      <c r="F48" s="51">
        <v>0.11</v>
      </c>
      <c r="G48" s="51">
        <v>0</v>
      </c>
      <c r="H48" s="51">
        <v>0</v>
      </c>
      <c r="I48" s="49">
        <f t="shared" si="1"/>
        <v>3.4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80</v>
      </c>
      <c r="B49" s="60">
        <v>275</v>
      </c>
      <c r="C49" s="60">
        <v>14</v>
      </c>
      <c r="D49" s="60">
        <v>8</v>
      </c>
      <c r="E49" s="51">
        <v>0.88</v>
      </c>
      <c r="F49" s="51">
        <v>0.13</v>
      </c>
      <c r="G49" s="51">
        <v>0</v>
      </c>
      <c r="H49" s="51">
        <v>0</v>
      </c>
      <c r="I49" s="49">
        <f t="shared" si="1"/>
        <v>2.8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Charme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30</v>
      </c>
      <c r="B62" s="258">
        <v>121.88461538461537</v>
      </c>
      <c r="C62" s="258" t="s">
        <v>324</v>
      </c>
      <c r="D62" s="258">
        <v>0</v>
      </c>
      <c r="E62" s="259">
        <v>0</v>
      </c>
      <c r="F62" s="259">
        <v>0</v>
      </c>
      <c r="G62" s="259">
        <v>0</v>
      </c>
      <c r="H62" s="259">
        <v>0</v>
      </c>
      <c r="I62" s="53">
        <f>IFERROR(B62/A62,"")</f>
        <v>4.0628205128205126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35</v>
      </c>
      <c r="B63" s="258">
        <v>162.16666666666669</v>
      </c>
      <c r="C63" s="258">
        <v>1</v>
      </c>
      <c r="D63" s="258">
        <v>60.602564102564102</v>
      </c>
      <c r="E63" s="259">
        <v>0</v>
      </c>
      <c r="F63" s="259">
        <v>0</v>
      </c>
      <c r="G63" s="259">
        <v>0</v>
      </c>
      <c r="H63" s="259">
        <v>1</v>
      </c>
      <c r="I63" s="49">
        <f>IF(A63&lt;&gt;0,(B63-(B62-D62))/(A63-A62),"")</f>
        <v>8.0564102564102633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41</v>
      </c>
      <c r="B64" s="258">
        <v>157.44871794871796</v>
      </c>
      <c r="C64" s="258">
        <v>2</v>
      </c>
      <c r="D64" s="258">
        <v>38.512820512820511</v>
      </c>
      <c r="E64" s="259">
        <v>0</v>
      </c>
      <c r="F64" s="259">
        <v>0</v>
      </c>
      <c r="G64" s="259">
        <v>0</v>
      </c>
      <c r="H64" s="259">
        <v>1</v>
      </c>
      <c r="I64" s="49">
        <f>IF(A64&lt;&gt;0,(B64-(B63-D63))/(A64-A63),"")</f>
        <v>9.3141025641025621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48</v>
      </c>
      <c r="B65" s="258">
        <v>184.35256410256409</v>
      </c>
      <c r="C65" s="258">
        <v>3</v>
      </c>
      <c r="D65" s="258">
        <v>48.025641025641022</v>
      </c>
      <c r="E65" s="259">
        <v>0</v>
      </c>
      <c r="F65" s="259">
        <v>0</v>
      </c>
      <c r="G65" s="259">
        <v>0</v>
      </c>
      <c r="H65" s="259">
        <v>1</v>
      </c>
      <c r="I65" s="49">
        <f>IF(A65&lt;&gt;0,(B65-(B64-D64))/(A65-A64),"")</f>
        <v>9.3452380952380913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55</v>
      </c>
      <c r="B66" s="258">
        <v>198.44230769230768</v>
      </c>
      <c r="C66" s="258">
        <v>4</v>
      </c>
      <c r="D66" s="258">
        <v>45.147435897435898</v>
      </c>
      <c r="E66" s="259">
        <v>0</v>
      </c>
      <c r="F66" s="259">
        <v>0</v>
      </c>
      <c r="G66" s="259">
        <v>0</v>
      </c>
      <c r="H66" s="259">
        <v>1</v>
      </c>
      <c r="I66" s="49">
        <f t="shared" ref="I66:I81" si="2">IF(A66&lt;&gt;0,(B66-(B65-D65))/(A66-A65),"")</f>
        <v>8.8736263736263741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63</v>
      </c>
      <c r="B67" s="258">
        <v>220.28846153846152</v>
      </c>
      <c r="C67" s="258">
        <v>5</v>
      </c>
      <c r="D67" s="258">
        <v>41.724358974358978</v>
      </c>
      <c r="E67" s="260">
        <v>0.7</v>
      </c>
      <c r="F67" s="260">
        <v>0</v>
      </c>
      <c r="G67" s="260">
        <v>0</v>
      </c>
      <c r="H67" s="260">
        <v>0.3</v>
      </c>
      <c r="I67" s="49">
        <f t="shared" si="2"/>
        <v>8.374198717948719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71</v>
      </c>
      <c r="B68" s="258">
        <v>243.36538461538464</v>
      </c>
      <c r="C68" s="258">
        <v>6</v>
      </c>
      <c r="D68" s="258">
        <v>39.935897435897431</v>
      </c>
      <c r="E68" s="260">
        <v>0.7</v>
      </c>
      <c r="F68" s="260">
        <v>0</v>
      </c>
      <c r="G68" s="260">
        <v>0</v>
      </c>
      <c r="H68" s="260">
        <v>0.3</v>
      </c>
      <c r="I68" s="49">
        <f t="shared" si="2"/>
        <v>8.1001602564102626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80</v>
      </c>
      <c r="B69" s="261">
        <v>274.01282051282055</v>
      </c>
      <c r="C69" s="261">
        <v>7</v>
      </c>
      <c r="D69" s="261">
        <v>45.608974358974358</v>
      </c>
      <c r="E69" s="260">
        <v>0.7</v>
      </c>
      <c r="F69" s="260">
        <v>0</v>
      </c>
      <c r="G69" s="260">
        <v>0</v>
      </c>
      <c r="H69" s="260">
        <v>0.3</v>
      </c>
      <c r="I69" s="49">
        <f t="shared" si="2"/>
        <v>7.8425925925925934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89</v>
      </c>
      <c r="B70" s="261">
        <v>295.85897435897436</v>
      </c>
      <c r="C70" s="261">
        <v>8</v>
      </c>
      <c r="D70" s="261">
        <v>49.391025641025635</v>
      </c>
      <c r="E70" s="260">
        <v>0.7</v>
      </c>
      <c r="F70" s="260">
        <v>0</v>
      </c>
      <c r="G70" s="260">
        <v>0</v>
      </c>
      <c r="H70" s="260">
        <v>0.3</v>
      </c>
      <c r="I70" s="49">
        <f t="shared" si="2"/>
        <v>7.4950142450142421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99</v>
      </c>
      <c r="B71" s="50">
        <v>318.25</v>
      </c>
      <c r="C71" s="50">
        <v>9</v>
      </c>
      <c r="D71" s="50">
        <v>48.019230769230766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7.1782051282051267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109</v>
      </c>
      <c r="B72" s="50">
        <v>340.16666666666663</v>
      </c>
      <c r="C72" s="50">
        <v>10</v>
      </c>
      <c r="D72" s="50">
        <v>51.28846153846154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2"/>
        <v>6.9935897435897401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119</v>
      </c>
      <c r="B73" s="50">
        <v>357.33974358974359</v>
      </c>
      <c r="C73" s="50">
        <v>11</v>
      </c>
      <c r="D73" s="50">
        <v>150.02564102564102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2"/>
        <v>6.8461538461538511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123</v>
      </c>
      <c r="B74" s="50">
        <v>222.63461538461539</v>
      </c>
      <c r="C74" s="50">
        <v>12</v>
      </c>
      <c r="D74" s="50">
        <v>77.17307692307692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3.8301282051282044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127</v>
      </c>
      <c r="B75" s="50">
        <v>154.80128205128204</v>
      </c>
      <c r="C75" s="50">
        <v>13</v>
      </c>
      <c r="D75" s="50">
        <v>49.916666666666671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2.3349358974358978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131</v>
      </c>
      <c r="B76" s="50">
        <v>110.91025641025641</v>
      </c>
      <c r="C76" s="50">
        <v>14</v>
      </c>
      <c r="D76" s="50">
        <v>110.91025641025641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1.5064102564102591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Merisier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15</v>
      </c>
      <c r="B88" s="258">
        <v>40</v>
      </c>
      <c r="C88" s="258">
        <v>1</v>
      </c>
      <c r="D88" s="258">
        <v>3</v>
      </c>
      <c r="E88" s="259">
        <v>0</v>
      </c>
      <c r="F88" s="259">
        <v>0</v>
      </c>
      <c r="G88" s="259">
        <v>0</v>
      </c>
      <c r="H88" s="262">
        <v>1</v>
      </c>
      <c r="I88" s="53">
        <f>IFERROR(B88/A88,"")</f>
        <v>2.6666666666666665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20</v>
      </c>
      <c r="B89" s="258">
        <v>85</v>
      </c>
      <c r="C89" s="258">
        <v>2</v>
      </c>
      <c r="D89" s="258">
        <v>25</v>
      </c>
      <c r="E89" s="259">
        <v>0</v>
      </c>
      <c r="F89" s="259">
        <v>0.5</v>
      </c>
      <c r="G89" s="259">
        <v>0</v>
      </c>
      <c r="H89" s="262">
        <v>0.5</v>
      </c>
      <c r="I89" s="53">
        <f t="shared" ref="I89:I107" si="3">IF(A89&lt;&gt;0,(B89-(B88-D88))/(A89-A88),"")</f>
        <v>9.6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25</v>
      </c>
      <c r="B90" s="258">
        <v>113</v>
      </c>
      <c r="C90" s="258">
        <v>3</v>
      </c>
      <c r="D90" s="258">
        <v>27</v>
      </c>
      <c r="E90" s="262">
        <v>0</v>
      </c>
      <c r="F90" s="262">
        <v>0.5</v>
      </c>
      <c r="G90" s="262">
        <v>0</v>
      </c>
      <c r="H90" s="262">
        <v>0.5</v>
      </c>
      <c r="I90" s="53">
        <f t="shared" si="3"/>
        <v>10.6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31</v>
      </c>
      <c r="B91" s="258">
        <v>155</v>
      </c>
      <c r="C91" s="258">
        <v>4</v>
      </c>
      <c r="D91" s="258">
        <v>35</v>
      </c>
      <c r="E91" s="262">
        <v>0.3</v>
      </c>
      <c r="F91" s="262">
        <v>0.4</v>
      </c>
      <c r="G91" s="262">
        <v>0</v>
      </c>
      <c r="H91" s="262">
        <v>0.3</v>
      </c>
      <c r="I91" s="53">
        <f t="shared" si="3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37</v>
      </c>
      <c r="B92" s="258">
        <v>188</v>
      </c>
      <c r="C92" s="258">
        <v>5</v>
      </c>
      <c r="D92" s="258">
        <v>36</v>
      </c>
      <c r="E92" s="262">
        <v>0.3</v>
      </c>
      <c r="F92" s="262">
        <v>0.4</v>
      </c>
      <c r="G92" s="262">
        <v>0</v>
      </c>
      <c r="H92" s="262">
        <v>0.3</v>
      </c>
      <c r="I92" s="53">
        <f t="shared" si="3"/>
        <v>11.333333333333334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44</v>
      </c>
      <c r="B93" s="258">
        <v>230</v>
      </c>
      <c r="C93" s="258">
        <v>6</v>
      </c>
      <c r="D93" s="258">
        <v>43</v>
      </c>
      <c r="E93" s="263">
        <v>0.4</v>
      </c>
      <c r="F93" s="263">
        <v>0.4</v>
      </c>
      <c r="G93" s="263">
        <v>0</v>
      </c>
      <c r="H93" s="263">
        <v>0.2</v>
      </c>
      <c r="I93" s="53">
        <f t="shared" si="3"/>
        <v>11.142857142857142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52</v>
      </c>
      <c r="B94" s="258">
        <v>270</v>
      </c>
      <c r="C94" s="258">
        <v>7</v>
      </c>
      <c r="D94" s="258">
        <v>49</v>
      </c>
      <c r="E94" s="263">
        <v>0.4</v>
      </c>
      <c r="F94" s="263">
        <v>0.4</v>
      </c>
      <c r="G94" s="263">
        <v>0</v>
      </c>
      <c r="H94" s="263">
        <v>0.2</v>
      </c>
      <c r="I94" s="53">
        <f t="shared" si="3"/>
        <v>10.375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60</v>
      </c>
      <c r="B95" s="60">
        <v>297</v>
      </c>
      <c r="C95" s="60">
        <v>8</v>
      </c>
      <c r="D95" s="60">
        <v>47</v>
      </c>
      <c r="E95" s="87">
        <v>0.5</v>
      </c>
      <c r="F95" s="87">
        <v>0.4</v>
      </c>
      <c r="G95" s="87">
        <v>0</v>
      </c>
      <c r="H95" s="87">
        <v>0.1</v>
      </c>
      <c r="I95" s="53">
        <f t="shared" si="3"/>
        <v>9.5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69</v>
      </c>
      <c r="B96" s="60">
        <v>328</v>
      </c>
      <c r="C96" s="60" t="s">
        <v>325</v>
      </c>
      <c r="D96" s="60">
        <v>328</v>
      </c>
      <c r="E96" s="87">
        <v>0.5</v>
      </c>
      <c r="F96" s="87">
        <v>0.4</v>
      </c>
      <c r="G96" s="87">
        <v>0</v>
      </c>
      <c r="H96" s="87">
        <v>0.1</v>
      </c>
      <c r="I96" s="53">
        <f t="shared" si="3"/>
        <v>8.6666666666666661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chevelu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>
        <v>10</v>
      </c>
      <c r="B114" s="258">
        <v>18</v>
      </c>
      <c r="C114" s="257">
        <v>0</v>
      </c>
      <c r="D114" s="258">
        <v>0</v>
      </c>
      <c r="E114" s="259">
        <v>0</v>
      </c>
      <c r="F114" s="259">
        <v>0</v>
      </c>
      <c r="G114" s="259">
        <v>0</v>
      </c>
      <c r="H114" s="259">
        <v>1</v>
      </c>
      <c r="I114" s="53">
        <f>IFERROR(B114/A114,"")</f>
        <v>1.8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>
        <v>15</v>
      </c>
      <c r="B115" s="258">
        <v>47</v>
      </c>
      <c r="C115" s="257">
        <v>0</v>
      </c>
      <c r="D115" s="258">
        <v>0</v>
      </c>
      <c r="E115" s="259">
        <v>0</v>
      </c>
      <c r="F115" s="259">
        <v>0</v>
      </c>
      <c r="G115" s="259">
        <v>0</v>
      </c>
      <c r="H115" s="259">
        <v>1</v>
      </c>
      <c r="I115" s="53">
        <f t="shared" ref="I115:I133" si="4">IF(A115&lt;&gt;0,(B115-(B114-D114))/(A115-A114),"")</f>
        <v>5.8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>
        <v>20</v>
      </c>
      <c r="B116" s="258">
        <v>87</v>
      </c>
      <c r="C116" s="257">
        <v>1</v>
      </c>
      <c r="D116" s="258" t="s">
        <v>333</v>
      </c>
      <c r="E116" s="259">
        <v>0</v>
      </c>
      <c r="F116" s="259">
        <v>0</v>
      </c>
      <c r="G116" s="259">
        <v>0</v>
      </c>
      <c r="H116" s="259">
        <v>1</v>
      </c>
      <c r="I116" s="53">
        <f t="shared" si="4"/>
        <v>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>
        <v>25</v>
      </c>
      <c r="B117" s="258">
        <v>98</v>
      </c>
      <c r="C117" s="257">
        <v>2</v>
      </c>
      <c r="D117" s="258" t="s">
        <v>334</v>
      </c>
      <c r="E117" s="259">
        <v>0</v>
      </c>
      <c r="F117" s="259">
        <v>0</v>
      </c>
      <c r="G117" s="259">
        <v>0</v>
      </c>
      <c r="H117" s="259">
        <v>1</v>
      </c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>
        <v>30</v>
      </c>
      <c r="B118" s="258">
        <v>119</v>
      </c>
      <c r="C118" s="257">
        <v>3</v>
      </c>
      <c r="D118" s="258" t="s">
        <v>326</v>
      </c>
      <c r="E118" s="259">
        <v>0</v>
      </c>
      <c r="F118" s="259">
        <v>0</v>
      </c>
      <c r="G118" s="259">
        <v>0</v>
      </c>
      <c r="H118" s="259">
        <v>1</v>
      </c>
      <c r="I118" s="53">
        <f t="shared" si="4"/>
        <v>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>
        <v>35</v>
      </c>
      <c r="B119" s="258">
        <v>135</v>
      </c>
      <c r="C119" s="257">
        <v>4</v>
      </c>
      <c r="D119" s="258" t="s">
        <v>326</v>
      </c>
      <c r="E119" s="260">
        <v>0</v>
      </c>
      <c r="F119" s="260">
        <v>0</v>
      </c>
      <c r="G119" s="260">
        <v>0</v>
      </c>
      <c r="H119" s="260">
        <v>1</v>
      </c>
      <c r="I119" s="53">
        <f t="shared" si="4"/>
        <v>7.2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>
        <v>40</v>
      </c>
      <c r="B120" s="258">
        <v>150</v>
      </c>
      <c r="C120" s="258">
        <v>5</v>
      </c>
      <c r="D120" s="258" t="s">
        <v>326</v>
      </c>
      <c r="E120" s="263">
        <v>0</v>
      </c>
      <c r="F120" s="263">
        <v>0.5</v>
      </c>
      <c r="G120" s="263">
        <v>0</v>
      </c>
      <c r="H120" s="263">
        <v>0.5</v>
      </c>
      <c r="I120" s="53">
        <f t="shared" si="4"/>
        <v>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>
        <v>45</v>
      </c>
      <c r="B121" s="264">
        <v>162</v>
      </c>
      <c r="C121" s="264">
        <v>6</v>
      </c>
      <c r="D121" s="264" t="s">
        <v>334</v>
      </c>
      <c r="E121" s="263">
        <v>0</v>
      </c>
      <c r="F121" s="263">
        <v>0.5</v>
      </c>
      <c r="G121" s="263">
        <v>0</v>
      </c>
      <c r="H121" s="263">
        <v>0.5</v>
      </c>
      <c r="I121" s="53">
        <f t="shared" si="4"/>
        <v>6.4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>
        <v>50</v>
      </c>
      <c r="B122" s="264">
        <v>173</v>
      </c>
      <c r="C122" s="264">
        <v>7</v>
      </c>
      <c r="D122" s="264" t="s">
        <v>327</v>
      </c>
      <c r="E122" s="263">
        <v>0</v>
      </c>
      <c r="F122" s="263">
        <v>0.5</v>
      </c>
      <c r="G122" s="263">
        <v>0</v>
      </c>
      <c r="H122" s="263">
        <v>0.5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55</v>
      </c>
      <c r="B123" s="60">
        <v>181</v>
      </c>
      <c r="C123" s="60">
        <v>8</v>
      </c>
      <c r="D123" s="60" t="s">
        <v>328</v>
      </c>
      <c r="E123" s="87">
        <v>0.4</v>
      </c>
      <c r="F123" s="87">
        <v>0.4</v>
      </c>
      <c r="G123" s="87">
        <v>0</v>
      </c>
      <c r="H123" s="87">
        <v>0.2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60</v>
      </c>
      <c r="B124" s="60">
        <v>189</v>
      </c>
      <c r="C124" s="60">
        <v>9</v>
      </c>
      <c r="D124" s="60" t="s">
        <v>329</v>
      </c>
      <c r="E124" s="87">
        <v>0.4</v>
      </c>
      <c r="F124" s="87">
        <v>0.4</v>
      </c>
      <c r="G124" s="87">
        <v>0</v>
      </c>
      <c r="H124" s="87">
        <v>0.2</v>
      </c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65</v>
      </c>
      <c r="B125" s="60">
        <v>195</v>
      </c>
      <c r="C125" s="60">
        <v>10</v>
      </c>
      <c r="D125" s="60" t="s">
        <v>335</v>
      </c>
      <c r="E125" s="87">
        <v>0.4</v>
      </c>
      <c r="F125" s="87">
        <v>0.4</v>
      </c>
      <c r="G125" s="87">
        <v>0</v>
      </c>
      <c r="H125" s="87">
        <v>0.2</v>
      </c>
      <c r="I125" s="53">
        <f t="shared" si="4"/>
        <v>4.4000000000000004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70</v>
      </c>
      <c r="B126" s="60">
        <v>201</v>
      </c>
      <c r="C126" s="60">
        <v>11</v>
      </c>
      <c r="D126" s="60" t="s">
        <v>330</v>
      </c>
      <c r="E126" s="65">
        <v>0.4</v>
      </c>
      <c r="F126" s="65">
        <v>0.4</v>
      </c>
      <c r="G126" s="65">
        <v>0</v>
      </c>
      <c r="H126" s="65">
        <v>0.2</v>
      </c>
      <c r="I126" s="53">
        <f t="shared" si="4"/>
        <v>4.2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75</v>
      </c>
      <c r="B127" s="60">
        <v>204</v>
      </c>
      <c r="C127" s="60">
        <v>12</v>
      </c>
      <c r="D127" s="60" t="s">
        <v>331</v>
      </c>
      <c r="E127" s="65">
        <v>0.4</v>
      </c>
      <c r="F127" s="65">
        <v>0.4</v>
      </c>
      <c r="G127" s="65">
        <v>0</v>
      </c>
      <c r="H127" s="65">
        <v>0.2</v>
      </c>
      <c r="I127" s="53">
        <f t="shared" si="4"/>
        <v>3.4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80</v>
      </c>
      <c r="B128" s="50">
        <v>208</v>
      </c>
      <c r="C128" s="50">
        <v>13</v>
      </c>
      <c r="D128" s="50" t="s">
        <v>332</v>
      </c>
      <c r="E128" s="54">
        <v>0.4</v>
      </c>
      <c r="F128" s="54">
        <v>0.4</v>
      </c>
      <c r="G128" s="54">
        <v>0</v>
      </c>
      <c r="H128" s="54">
        <v>0.2</v>
      </c>
      <c r="I128" s="53">
        <f t="shared" si="4"/>
        <v>3.2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85</v>
      </c>
      <c r="B129" s="50">
        <v>211</v>
      </c>
      <c r="C129" s="50">
        <v>14</v>
      </c>
      <c r="D129" s="50" t="s">
        <v>336</v>
      </c>
      <c r="E129" s="54">
        <v>0.5</v>
      </c>
      <c r="F129" s="54">
        <v>0.4</v>
      </c>
      <c r="G129" s="54">
        <v>0</v>
      </c>
      <c r="H129" s="54">
        <v>0.1</v>
      </c>
      <c r="I129" s="53">
        <f t="shared" si="4"/>
        <v>2.8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90</v>
      </c>
      <c r="B130" s="50">
        <v>215</v>
      </c>
      <c r="C130" s="50">
        <v>15</v>
      </c>
      <c r="D130" s="50" t="s">
        <v>336</v>
      </c>
      <c r="E130" s="54">
        <v>0.5</v>
      </c>
      <c r="F130" s="54">
        <v>0.4</v>
      </c>
      <c r="G130" s="54">
        <v>0</v>
      </c>
      <c r="H130" s="54">
        <v>0.1</v>
      </c>
      <c r="I130" s="53">
        <f t="shared" si="4"/>
        <v>2.8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95</v>
      </c>
      <c r="B131" s="50">
        <v>219</v>
      </c>
      <c r="C131" s="50">
        <v>16</v>
      </c>
      <c r="D131" s="50" t="s">
        <v>332</v>
      </c>
      <c r="E131" s="54">
        <v>0.5</v>
      </c>
      <c r="F131" s="54">
        <v>0.4</v>
      </c>
      <c r="G131" s="54">
        <v>0</v>
      </c>
      <c r="H131" s="54">
        <v>0.1</v>
      </c>
      <c r="I131" s="53">
        <f t="shared" si="4"/>
        <v>2.8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>
        <v>100</v>
      </c>
      <c r="B132" s="50">
        <v>223</v>
      </c>
      <c r="C132" s="50">
        <v>17</v>
      </c>
      <c r="D132" s="50" t="s">
        <v>332</v>
      </c>
      <c r="E132" s="54">
        <v>0.5</v>
      </c>
      <c r="F132" s="54">
        <v>0.4</v>
      </c>
      <c r="G132" s="54">
        <v>0</v>
      </c>
      <c r="H132" s="54">
        <v>0.1</v>
      </c>
      <c r="I132" s="53">
        <f t="shared" si="4"/>
        <v>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Chêne sessile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>
        <v>30</v>
      </c>
      <c r="B140" s="258">
        <v>87.705128205128204</v>
      </c>
      <c r="C140" s="257" t="s">
        <v>324</v>
      </c>
      <c r="D140" s="258">
        <v>0</v>
      </c>
      <c r="E140" s="259">
        <v>0</v>
      </c>
      <c r="F140" s="259">
        <v>0</v>
      </c>
      <c r="G140" s="259">
        <v>0</v>
      </c>
      <c r="H140" s="259">
        <v>0</v>
      </c>
      <c r="I140" s="57">
        <f>IFERROR(B140/A140,"")</f>
        <v>2.9235042735042733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>
        <v>44</v>
      </c>
      <c r="B141" s="258">
        <v>162.42307692307691</v>
      </c>
      <c r="C141" s="257">
        <v>1</v>
      </c>
      <c r="D141" s="258">
        <v>64.416666666666657</v>
      </c>
      <c r="E141" s="259">
        <v>0</v>
      </c>
      <c r="F141" s="259">
        <v>0</v>
      </c>
      <c r="G141" s="259">
        <v>0</v>
      </c>
      <c r="H141" s="259">
        <v>1</v>
      </c>
      <c r="I141" s="57">
        <f>IF(A141&lt;&gt;0,(B141-(B140-D140))/(A141-A140),"")</f>
        <v>5.3369963369963358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>
        <v>51</v>
      </c>
      <c r="B142" s="258">
        <v>145.78846153846152</v>
      </c>
      <c r="C142" s="257">
        <v>2</v>
      </c>
      <c r="D142" s="258">
        <v>37.685897435897431</v>
      </c>
      <c r="E142" s="259">
        <v>0</v>
      </c>
      <c r="F142" s="259">
        <v>0</v>
      </c>
      <c r="G142" s="259">
        <v>0</v>
      </c>
      <c r="H142" s="259">
        <v>1</v>
      </c>
      <c r="I142" s="57">
        <f>IF(A142&lt;&gt;0,(B142-(B141-D141))/(A142-A141),"")</f>
        <v>6.826007326007324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>
        <v>59</v>
      </c>
      <c r="B143" s="258">
        <v>159.25641025641025</v>
      </c>
      <c r="C143" s="257">
        <v>3</v>
      </c>
      <c r="D143" s="258">
        <v>38.942307692307693</v>
      </c>
      <c r="E143" s="259">
        <v>0</v>
      </c>
      <c r="F143" s="259">
        <v>0</v>
      </c>
      <c r="G143" s="259">
        <v>0</v>
      </c>
      <c r="H143" s="259">
        <v>1</v>
      </c>
      <c r="I143" s="57">
        <f t="shared" ref="I143:I159" si="5">IF(A143&lt;&gt;0,(B143-(B142-D142))/(A143-A142),"")</f>
        <v>6.3942307692307701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>
        <v>67</v>
      </c>
      <c r="B144" s="258">
        <v>167.85897435897436</v>
      </c>
      <c r="C144" s="257">
        <v>4</v>
      </c>
      <c r="D144" s="258">
        <v>31.993589743589741</v>
      </c>
      <c r="E144" s="259">
        <v>0</v>
      </c>
      <c r="F144" s="259">
        <v>0</v>
      </c>
      <c r="G144" s="259">
        <v>0</v>
      </c>
      <c r="H144" s="259">
        <v>1</v>
      </c>
      <c r="I144" s="57">
        <f t="shared" si="5"/>
        <v>5.9431089743589762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75</v>
      </c>
      <c r="B145" s="60">
        <v>181.38461538461536</v>
      </c>
      <c r="C145" s="50">
        <v>5</v>
      </c>
      <c r="D145" s="60">
        <v>30.916666666666664</v>
      </c>
      <c r="E145" s="51">
        <v>0.7</v>
      </c>
      <c r="F145" s="51">
        <v>0</v>
      </c>
      <c r="G145" s="51">
        <v>0</v>
      </c>
      <c r="H145" s="51">
        <v>0.3</v>
      </c>
      <c r="I145" s="57">
        <f t="shared" si="5"/>
        <v>5.6899038461538431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84</v>
      </c>
      <c r="B146" s="60">
        <v>200.00641025641025</v>
      </c>
      <c r="C146" s="50">
        <v>6</v>
      </c>
      <c r="D146" s="60">
        <v>35.083333333333329</v>
      </c>
      <c r="E146" s="51">
        <v>0.7</v>
      </c>
      <c r="F146" s="51">
        <v>0</v>
      </c>
      <c r="G146" s="51">
        <v>0</v>
      </c>
      <c r="H146" s="51">
        <v>0.3</v>
      </c>
      <c r="I146" s="57">
        <f t="shared" si="5"/>
        <v>5.5042735042735051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93</v>
      </c>
      <c r="B147" s="60">
        <v>212.26923076923075</v>
      </c>
      <c r="C147" s="50">
        <v>7</v>
      </c>
      <c r="D147" s="60">
        <v>30.083333333333332</v>
      </c>
      <c r="E147" s="51">
        <v>0.7</v>
      </c>
      <c r="F147" s="51">
        <v>0</v>
      </c>
      <c r="G147" s="51">
        <v>0</v>
      </c>
      <c r="H147" s="51">
        <v>0.3</v>
      </c>
      <c r="I147" s="57">
        <f>IF(A147&lt;&gt;0,(B147-(B146-D146))/(A147-A146),"")</f>
        <v>5.2606837606837598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103</v>
      </c>
      <c r="B148" s="60">
        <v>234.76923076923077</v>
      </c>
      <c r="C148" s="50">
        <v>8</v>
      </c>
      <c r="D148" s="60">
        <v>39.512820512820511</v>
      </c>
      <c r="E148" s="51">
        <v>0.7</v>
      </c>
      <c r="F148" s="51">
        <v>0</v>
      </c>
      <c r="G148" s="51">
        <v>0</v>
      </c>
      <c r="H148" s="51">
        <v>0.3</v>
      </c>
      <c r="I148" s="57">
        <f t="shared" si="5"/>
        <v>5.2583333333333373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113</v>
      </c>
      <c r="B149" s="60">
        <v>246.21794871794873</v>
      </c>
      <c r="C149" s="50">
        <v>9</v>
      </c>
      <c r="D149" s="60">
        <v>31.602564102564099</v>
      </c>
      <c r="E149" s="51">
        <v>0.7</v>
      </c>
      <c r="F149" s="51">
        <v>0</v>
      </c>
      <c r="G149" s="51">
        <v>0</v>
      </c>
      <c r="H149" s="51">
        <v>0.3</v>
      </c>
      <c r="I149" s="57">
        <f t="shared" si="5"/>
        <v>5.0961538461538449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125</v>
      </c>
      <c r="B150" s="60">
        <v>278.29487179487177</v>
      </c>
      <c r="C150" s="50">
        <v>10</v>
      </c>
      <c r="D150" s="60">
        <v>48.160256410256409</v>
      </c>
      <c r="E150" s="51">
        <v>0.7</v>
      </c>
      <c r="F150" s="51">
        <v>0</v>
      </c>
      <c r="G150" s="51">
        <v>0</v>
      </c>
      <c r="H150" s="51">
        <v>0.3</v>
      </c>
      <c r="I150" s="57">
        <f t="shared" si="5"/>
        <v>5.3066239316239274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137</v>
      </c>
      <c r="B151" s="60">
        <v>293.07051282051282</v>
      </c>
      <c r="C151" s="50">
        <v>11</v>
      </c>
      <c r="D151" s="60">
        <v>51.160256410256409</v>
      </c>
      <c r="E151" s="51">
        <v>0.7</v>
      </c>
      <c r="F151" s="51">
        <v>0</v>
      </c>
      <c r="G151" s="51">
        <v>0</v>
      </c>
      <c r="H151" s="51">
        <v>0.3</v>
      </c>
      <c r="I151" s="57">
        <f t="shared" si="5"/>
        <v>5.2446581196581219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149</v>
      </c>
      <c r="B152" s="60">
        <v>303.18589743589746</v>
      </c>
      <c r="C152" s="50">
        <v>12</v>
      </c>
      <c r="D152" s="60">
        <v>120.50641025641026</v>
      </c>
      <c r="E152" s="54">
        <v>0.9</v>
      </c>
      <c r="F152" s="54">
        <v>0</v>
      </c>
      <c r="G152" s="54">
        <v>0</v>
      </c>
      <c r="H152" s="54">
        <v>0.1</v>
      </c>
      <c r="I152" s="57">
        <f t="shared" si="5"/>
        <v>5.1063034188034209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153</v>
      </c>
      <c r="B153" s="60">
        <v>195.05769230769226</v>
      </c>
      <c r="C153" s="50">
        <v>13</v>
      </c>
      <c r="D153" s="60">
        <v>70.115384615384613</v>
      </c>
      <c r="E153" s="54">
        <v>0.9</v>
      </c>
      <c r="F153" s="54">
        <v>0</v>
      </c>
      <c r="G153" s="54">
        <v>0</v>
      </c>
      <c r="H153" s="54">
        <v>0.1</v>
      </c>
      <c r="I153" s="57">
        <f t="shared" si="5"/>
        <v>3.0945512820512704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157</v>
      </c>
      <c r="B154" s="56">
        <v>132.42948717948718</v>
      </c>
      <c r="C154" s="50">
        <v>14</v>
      </c>
      <c r="D154" s="50">
        <v>45.71153846153846</v>
      </c>
      <c r="E154" s="54">
        <v>0.9</v>
      </c>
      <c r="F154" s="54">
        <v>0</v>
      </c>
      <c r="G154" s="54">
        <v>0</v>
      </c>
      <c r="H154" s="54">
        <v>0.1</v>
      </c>
      <c r="I154" s="57">
        <f t="shared" si="5"/>
        <v>1.8717948717948829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161</v>
      </c>
      <c r="B155" s="56">
        <v>91.365384615384613</v>
      </c>
      <c r="C155" s="50">
        <v>15</v>
      </c>
      <c r="D155" s="50">
        <v>91.365384615384613</v>
      </c>
      <c r="E155" s="54">
        <v>0.9</v>
      </c>
      <c r="F155" s="54">
        <v>0</v>
      </c>
      <c r="G155" s="54">
        <v>0</v>
      </c>
      <c r="H155" s="54">
        <v>0.1</v>
      </c>
      <c r="I155" s="57">
        <f t="shared" si="5"/>
        <v>1.1618589743589709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>Chêne pubescent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30</v>
      </c>
      <c r="B166" s="60">
        <v>87.705128205128204</v>
      </c>
      <c r="C166" s="60" t="s">
        <v>324</v>
      </c>
      <c r="D166" s="60">
        <v>0</v>
      </c>
      <c r="E166" s="51">
        <v>0</v>
      </c>
      <c r="F166" s="51">
        <v>0</v>
      </c>
      <c r="G166" s="51">
        <v>0</v>
      </c>
      <c r="H166" s="51">
        <v>0</v>
      </c>
      <c r="I166" s="49">
        <f>IFERROR(B166/A166,"")</f>
        <v>2.9235042735042733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44</v>
      </c>
      <c r="B167" s="60">
        <v>162.42307692307691</v>
      </c>
      <c r="C167" s="60">
        <v>1</v>
      </c>
      <c r="D167" s="60">
        <v>64.416666666666657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5.3369963369963358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51</v>
      </c>
      <c r="B168" s="60">
        <v>145.78846153846152</v>
      </c>
      <c r="C168" s="60">
        <v>2</v>
      </c>
      <c r="D168" s="60">
        <v>37.685897435897431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6.826007326007324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59</v>
      </c>
      <c r="B169" s="60">
        <v>159.25641025641025</v>
      </c>
      <c r="C169" s="60">
        <v>3</v>
      </c>
      <c r="D169" s="60">
        <v>38.942307692307693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6.3942307692307701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67</v>
      </c>
      <c r="B170" s="60">
        <v>167.85897435897436</v>
      </c>
      <c r="C170" s="60">
        <v>4</v>
      </c>
      <c r="D170" s="60">
        <v>31.993589743589741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5.9431089743589762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75</v>
      </c>
      <c r="B171" s="60">
        <v>181.38461538461536</v>
      </c>
      <c r="C171" s="60">
        <v>5</v>
      </c>
      <c r="D171" s="60">
        <v>30.916666666666664</v>
      </c>
      <c r="E171" s="51">
        <v>0.7</v>
      </c>
      <c r="F171" s="51">
        <v>0</v>
      </c>
      <c r="G171" s="51">
        <v>0</v>
      </c>
      <c r="H171" s="51">
        <v>0.3</v>
      </c>
      <c r="I171" s="49">
        <f t="shared" si="6"/>
        <v>5.6899038461538431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84</v>
      </c>
      <c r="B172" s="60">
        <v>200.00641025641025</v>
      </c>
      <c r="C172" s="60">
        <v>6</v>
      </c>
      <c r="D172" s="60">
        <v>35.083333333333329</v>
      </c>
      <c r="E172" s="51">
        <v>0.7</v>
      </c>
      <c r="F172" s="51">
        <v>0</v>
      </c>
      <c r="G172" s="51">
        <v>0</v>
      </c>
      <c r="H172" s="51">
        <v>0.3</v>
      </c>
      <c r="I172" s="49">
        <f t="shared" si="6"/>
        <v>5.5042735042735051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93</v>
      </c>
      <c r="B173" s="50">
        <v>212.26923076923075</v>
      </c>
      <c r="C173" s="50">
        <v>7</v>
      </c>
      <c r="D173" s="50">
        <v>30.083333333333332</v>
      </c>
      <c r="E173" s="51">
        <v>0.7</v>
      </c>
      <c r="F173" s="51">
        <v>0</v>
      </c>
      <c r="G173" s="51">
        <v>0</v>
      </c>
      <c r="H173" s="51">
        <v>0.3</v>
      </c>
      <c r="I173" s="49">
        <f t="shared" si="6"/>
        <v>5.2606837606837598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103</v>
      </c>
      <c r="B174" s="50">
        <v>234.76923076923077</v>
      </c>
      <c r="C174" s="50">
        <v>8</v>
      </c>
      <c r="D174" s="50">
        <v>39.512820512820511</v>
      </c>
      <c r="E174" s="51">
        <v>0.7</v>
      </c>
      <c r="F174" s="51">
        <v>0</v>
      </c>
      <c r="G174" s="51">
        <v>0</v>
      </c>
      <c r="H174" s="51">
        <v>0.3</v>
      </c>
      <c r="I174" s="49">
        <f t="shared" si="6"/>
        <v>5.2583333333333373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113</v>
      </c>
      <c r="B175" s="50">
        <v>246.21794871794873</v>
      </c>
      <c r="C175" s="50">
        <v>9</v>
      </c>
      <c r="D175" s="50">
        <v>31.602564102564099</v>
      </c>
      <c r="E175" s="51">
        <v>0.7</v>
      </c>
      <c r="F175" s="51">
        <v>0</v>
      </c>
      <c r="G175" s="51">
        <v>0</v>
      </c>
      <c r="H175" s="51">
        <v>0.3</v>
      </c>
      <c r="I175" s="49">
        <f t="shared" si="6"/>
        <v>5.0961538461538449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125</v>
      </c>
      <c r="B176" s="50">
        <v>278.29487179487177</v>
      </c>
      <c r="C176" s="50">
        <v>10</v>
      </c>
      <c r="D176" s="50">
        <v>48.160256410256409</v>
      </c>
      <c r="E176" s="51">
        <v>0.7</v>
      </c>
      <c r="F176" s="51">
        <v>0</v>
      </c>
      <c r="G176" s="51">
        <v>0</v>
      </c>
      <c r="H176" s="51">
        <v>0.3</v>
      </c>
      <c r="I176" s="49">
        <f t="shared" si="6"/>
        <v>5.3066239316239274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137</v>
      </c>
      <c r="B177" s="50">
        <v>293.07051282051282</v>
      </c>
      <c r="C177" s="50">
        <v>11</v>
      </c>
      <c r="D177" s="50">
        <v>51.160256410256409</v>
      </c>
      <c r="E177" s="51">
        <v>0.7</v>
      </c>
      <c r="F177" s="51">
        <v>0</v>
      </c>
      <c r="G177" s="51">
        <v>0</v>
      </c>
      <c r="H177" s="51">
        <v>0.3</v>
      </c>
      <c r="I177" s="49">
        <f t="shared" si="6"/>
        <v>5.2446581196581219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149</v>
      </c>
      <c r="B178" s="50">
        <v>303.18589743589746</v>
      </c>
      <c r="C178" s="50">
        <v>12</v>
      </c>
      <c r="D178" s="50">
        <v>120.50641025641026</v>
      </c>
      <c r="E178" s="51">
        <v>0.9</v>
      </c>
      <c r="F178" s="51">
        <v>0</v>
      </c>
      <c r="G178" s="51">
        <v>0</v>
      </c>
      <c r="H178" s="51">
        <v>0.1</v>
      </c>
      <c r="I178" s="49">
        <f t="shared" si="6"/>
        <v>5.1063034188034209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153</v>
      </c>
      <c r="B179" s="50">
        <v>195.05769230769226</v>
      </c>
      <c r="C179" s="50">
        <v>13</v>
      </c>
      <c r="D179" s="50">
        <v>70.115384615384613</v>
      </c>
      <c r="E179" s="51">
        <v>0.9</v>
      </c>
      <c r="F179" s="51">
        <v>0</v>
      </c>
      <c r="G179" s="51">
        <v>0</v>
      </c>
      <c r="H179" s="51">
        <v>0.1</v>
      </c>
      <c r="I179" s="49">
        <f t="shared" si="6"/>
        <v>3.0945512820512704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157</v>
      </c>
      <c r="B180" s="50">
        <v>132.42948717948718</v>
      </c>
      <c r="C180" s="50">
        <v>14</v>
      </c>
      <c r="D180" s="50">
        <v>45.71153846153846</v>
      </c>
      <c r="E180" s="51">
        <v>0.9</v>
      </c>
      <c r="F180" s="51">
        <v>0</v>
      </c>
      <c r="G180" s="51">
        <v>0</v>
      </c>
      <c r="H180" s="51">
        <v>0.1</v>
      </c>
      <c r="I180" s="49">
        <f t="shared" si="6"/>
        <v>1.8717948717948829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161</v>
      </c>
      <c r="B181" s="50">
        <v>91.365384615384613</v>
      </c>
      <c r="C181" s="50">
        <v>15</v>
      </c>
      <c r="D181" s="50">
        <v>91.365384615384613</v>
      </c>
      <c r="E181" s="51">
        <v>0.9</v>
      </c>
      <c r="F181" s="51">
        <v>0</v>
      </c>
      <c r="G181" s="51">
        <v>0</v>
      </c>
      <c r="H181" s="51">
        <v>0.1</v>
      </c>
      <c r="I181" s="49">
        <f t="shared" si="6"/>
        <v>1.1618589743589709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>Chêne pédonculé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30</v>
      </c>
      <c r="B192" s="60">
        <v>119.19871794871794</v>
      </c>
      <c r="C192" s="60" t="s">
        <v>324</v>
      </c>
      <c r="D192" s="60">
        <v>0</v>
      </c>
      <c r="E192" s="51">
        <v>0</v>
      </c>
      <c r="F192" s="51">
        <v>0</v>
      </c>
      <c r="G192" s="51">
        <v>0</v>
      </c>
      <c r="H192" s="51">
        <v>0</v>
      </c>
      <c r="I192" s="49">
        <f>IFERROR(B192/A192,"")</f>
        <v>3.9732905982905979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31</v>
      </c>
      <c r="B193" s="60">
        <v>127.64743589743588</v>
      </c>
      <c r="C193" s="60">
        <v>1</v>
      </c>
      <c r="D193" s="60">
        <v>58.160256410256409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8.4487179487179418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37</v>
      </c>
      <c r="B194" s="60">
        <v>124.91025641025639</v>
      </c>
      <c r="C194" s="60">
        <v>2</v>
      </c>
      <c r="D194" s="60">
        <v>33.801282051282051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7"/>
        <v>9.2371794871794872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44</v>
      </c>
      <c r="B195" s="60">
        <v>159.60897435897436</v>
      </c>
      <c r="C195" s="60">
        <v>3</v>
      </c>
      <c r="D195" s="60">
        <v>41.506410256410255</v>
      </c>
      <c r="E195" s="51">
        <v>0</v>
      </c>
      <c r="F195" s="51">
        <v>0</v>
      </c>
      <c r="G195" s="51">
        <v>0</v>
      </c>
      <c r="H195" s="51">
        <v>1</v>
      </c>
      <c r="I195" s="49">
        <f t="shared" si="7"/>
        <v>9.78571428571429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51</v>
      </c>
      <c r="B196" s="60">
        <v>186.99999999999997</v>
      </c>
      <c r="C196" s="60">
        <v>4</v>
      </c>
      <c r="D196" s="60">
        <v>39.756410256410255</v>
      </c>
      <c r="E196" s="51">
        <v>0.7</v>
      </c>
      <c r="F196" s="51">
        <v>0</v>
      </c>
      <c r="G196" s="51">
        <v>0</v>
      </c>
      <c r="H196" s="51">
        <v>0.3</v>
      </c>
      <c r="I196" s="49">
        <f t="shared" si="7"/>
        <v>9.8424908424908359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58</v>
      </c>
      <c r="B197" s="60">
        <v>215.13461538461539</v>
      </c>
      <c r="C197" s="60">
        <v>5</v>
      </c>
      <c r="D197" s="60">
        <v>38.141025641025642</v>
      </c>
      <c r="E197" s="51">
        <v>0.7</v>
      </c>
      <c r="F197" s="51">
        <v>0</v>
      </c>
      <c r="G197" s="51">
        <v>0</v>
      </c>
      <c r="H197" s="51">
        <v>0.3</v>
      </c>
      <c r="I197" s="49">
        <f t="shared" si="7"/>
        <v>9.6987179487179525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65</v>
      </c>
      <c r="B198" s="60">
        <v>243.08974358974359</v>
      </c>
      <c r="C198" s="60">
        <v>6</v>
      </c>
      <c r="D198" s="60">
        <v>39.615384615384613</v>
      </c>
      <c r="E198" s="51">
        <v>0.7</v>
      </c>
      <c r="F198" s="51">
        <v>0</v>
      </c>
      <c r="G198" s="51">
        <v>0</v>
      </c>
      <c r="H198" s="51">
        <v>0.3</v>
      </c>
      <c r="I198" s="49">
        <f t="shared" si="7"/>
        <v>9.4423076923076916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72</v>
      </c>
      <c r="B199" s="50">
        <v>267.04487179487182</v>
      </c>
      <c r="C199" s="50">
        <v>7</v>
      </c>
      <c r="D199" s="50">
        <v>45.891025641025642</v>
      </c>
      <c r="E199" s="51">
        <v>0.7</v>
      </c>
      <c r="F199" s="51">
        <v>0</v>
      </c>
      <c r="G199" s="51">
        <v>0</v>
      </c>
      <c r="H199" s="51">
        <v>0.3</v>
      </c>
      <c r="I199" s="49">
        <f t="shared" si="7"/>
        <v>9.0815018315018357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81</v>
      </c>
      <c r="B200" s="50">
        <v>298.50641025641022</v>
      </c>
      <c r="C200" s="50">
        <v>8</v>
      </c>
      <c r="D200" s="50">
        <v>60.237179487179482</v>
      </c>
      <c r="E200" s="51">
        <v>0.9</v>
      </c>
      <c r="F200" s="51">
        <v>0</v>
      </c>
      <c r="G200" s="51">
        <v>0</v>
      </c>
      <c r="H200" s="51">
        <v>0.1</v>
      </c>
      <c r="I200" s="49">
        <f t="shared" si="7"/>
        <v>8.5947293447293376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90</v>
      </c>
      <c r="B201" s="50">
        <v>310.4871794871795</v>
      </c>
      <c r="C201" s="50">
        <v>9</v>
      </c>
      <c r="D201" s="50">
        <v>60.846153846153847</v>
      </c>
      <c r="E201" s="51">
        <v>0.9</v>
      </c>
      <c r="F201" s="51">
        <v>0</v>
      </c>
      <c r="G201" s="51">
        <v>0</v>
      </c>
      <c r="H201" s="51">
        <v>0.1</v>
      </c>
      <c r="I201" s="49">
        <f t="shared" si="7"/>
        <v>8.0242165242165289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99</v>
      </c>
      <c r="B202" s="50">
        <v>317.49358974358972</v>
      </c>
      <c r="C202" s="50">
        <v>10</v>
      </c>
      <c r="D202" s="50">
        <v>154.53205128205127</v>
      </c>
      <c r="E202" s="51">
        <v>0.9</v>
      </c>
      <c r="F202" s="51">
        <v>0</v>
      </c>
      <c r="G202" s="51">
        <v>0</v>
      </c>
      <c r="H202" s="51">
        <v>0.1</v>
      </c>
      <c r="I202" s="49">
        <f t="shared" si="7"/>
        <v>7.539173789173784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101</v>
      </c>
      <c r="B203" s="50">
        <v>172.40384615384613</v>
      </c>
      <c r="C203" s="50">
        <v>11</v>
      </c>
      <c r="D203" s="50">
        <v>56.294871794871788</v>
      </c>
      <c r="E203" s="51">
        <v>0.9</v>
      </c>
      <c r="F203" s="51">
        <v>0</v>
      </c>
      <c r="G203" s="51">
        <v>0</v>
      </c>
      <c r="H203" s="51">
        <v>0.1</v>
      </c>
      <c r="I203" s="49">
        <f t="shared" si="7"/>
        <v>4.7211538461538396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103</v>
      </c>
      <c r="B204" s="50">
        <v>122.57692307692307</v>
      </c>
      <c r="C204" s="50">
        <v>12</v>
      </c>
      <c r="D204" s="50">
        <v>39.92307692307692</v>
      </c>
      <c r="E204" s="51">
        <v>0.9</v>
      </c>
      <c r="F204" s="51">
        <v>0</v>
      </c>
      <c r="G204" s="51">
        <v>0</v>
      </c>
      <c r="H204" s="51">
        <v>0.1</v>
      </c>
      <c r="I204" s="49">
        <f t="shared" si="7"/>
        <v>3.2339743589743648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106</v>
      </c>
      <c r="B205" s="50">
        <v>89.429487179487168</v>
      </c>
      <c r="C205" s="50">
        <v>13</v>
      </c>
      <c r="D205" s="50">
        <v>89.429487179487168</v>
      </c>
      <c r="E205" s="51">
        <v>0.9</v>
      </c>
      <c r="F205" s="51">
        <v>0</v>
      </c>
      <c r="G205" s="51">
        <v>0</v>
      </c>
      <c r="H205" s="51">
        <v>0.1</v>
      </c>
      <c r="I205" s="49">
        <f t="shared" si="7"/>
        <v>2.2585470085470072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>Cormier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30</v>
      </c>
      <c r="B218" s="60">
        <v>87.705128205128204</v>
      </c>
      <c r="C218" s="50" t="s">
        <v>324</v>
      </c>
      <c r="D218" s="60">
        <v>0</v>
      </c>
      <c r="E218" s="63">
        <v>0</v>
      </c>
      <c r="F218" s="63">
        <v>0</v>
      </c>
      <c r="G218" s="63">
        <v>0</v>
      </c>
      <c r="H218" s="63">
        <v>0</v>
      </c>
      <c r="I218" s="53">
        <f>IFERROR(B218/A218,"")</f>
        <v>2.9235042735042733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44</v>
      </c>
      <c r="B219" s="60">
        <v>162.42307692307691</v>
      </c>
      <c r="C219" s="50">
        <v>1</v>
      </c>
      <c r="D219" s="60">
        <v>64.416666666666657</v>
      </c>
      <c r="E219" s="63">
        <v>0</v>
      </c>
      <c r="F219" s="63">
        <v>0</v>
      </c>
      <c r="G219" s="63">
        <v>0</v>
      </c>
      <c r="H219" s="63">
        <v>1</v>
      </c>
      <c r="I219" s="53">
        <f t="shared" ref="I219:I237" si="8">IF(A219&lt;&gt;0,(B219-(B218-D218))/(A219-A218),"")</f>
        <v>5.3369963369963358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51</v>
      </c>
      <c r="B220" s="60">
        <v>145.78846153846152</v>
      </c>
      <c r="C220" s="50">
        <v>2</v>
      </c>
      <c r="D220" s="60">
        <v>37.685897435897431</v>
      </c>
      <c r="E220" s="63">
        <v>0</v>
      </c>
      <c r="F220" s="63">
        <v>0</v>
      </c>
      <c r="G220" s="63">
        <v>0</v>
      </c>
      <c r="H220" s="63">
        <v>1</v>
      </c>
      <c r="I220" s="53">
        <f t="shared" si="8"/>
        <v>6.826007326007324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>
        <v>59</v>
      </c>
      <c r="B221" s="55">
        <v>159.25641025641025</v>
      </c>
      <c r="C221" s="55">
        <v>3</v>
      </c>
      <c r="D221" s="55">
        <v>38.942307692307693</v>
      </c>
      <c r="E221" s="63">
        <v>0</v>
      </c>
      <c r="F221" s="63">
        <v>0</v>
      </c>
      <c r="G221" s="63">
        <v>0</v>
      </c>
      <c r="H221" s="63">
        <v>1</v>
      </c>
      <c r="I221" s="53">
        <f t="shared" si="8"/>
        <v>6.3942307692307701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>
        <v>67</v>
      </c>
      <c r="B222" s="55">
        <v>167.85897435897436</v>
      </c>
      <c r="C222" s="55">
        <v>4</v>
      </c>
      <c r="D222" s="55">
        <v>31.993589743589741</v>
      </c>
      <c r="E222" s="63">
        <v>0</v>
      </c>
      <c r="F222" s="63">
        <v>0</v>
      </c>
      <c r="G222" s="63">
        <v>0</v>
      </c>
      <c r="H222" s="63">
        <v>1</v>
      </c>
      <c r="I222" s="53">
        <f t="shared" si="8"/>
        <v>5.9431089743589762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>
        <v>75</v>
      </c>
      <c r="B223" s="55">
        <v>181.38461538461536</v>
      </c>
      <c r="C223" s="55">
        <v>5</v>
      </c>
      <c r="D223" s="55">
        <v>30.916666666666664</v>
      </c>
      <c r="E223" s="63">
        <v>0.7</v>
      </c>
      <c r="F223" s="63">
        <v>0</v>
      </c>
      <c r="G223" s="63">
        <v>0</v>
      </c>
      <c r="H223" s="63">
        <v>0.3</v>
      </c>
      <c r="I223" s="53">
        <f t="shared" si="8"/>
        <v>5.6899038461538431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>
        <v>84</v>
      </c>
      <c r="B224" s="55">
        <v>200.00641025641025</v>
      </c>
      <c r="C224" s="55">
        <v>6</v>
      </c>
      <c r="D224" s="55">
        <v>35.083333333333329</v>
      </c>
      <c r="E224" s="63">
        <v>0.7</v>
      </c>
      <c r="F224" s="63">
        <v>0</v>
      </c>
      <c r="G224" s="63">
        <v>0</v>
      </c>
      <c r="H224" s="63">
        <v>0.3</v>
      </c>
      <c r="I224" s="53">
        <f t="shared" si="8"/>
        <v>5.5042735042735051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>
        <v>93</v>
      </c>
      <c r="B225" s="55">
        <v>212.26923076923075</v>
      </c>
      <c r="C225" s="55">
        <v>7</v>
      </c>
      <c r="D225" s="55">
        <v>30.083333333333332</v>
      </c>
      <c r="E225" s="63">
        <v>0.7</v>
      </c>
      <c r="F225" s="63">
        <v>0</v>
      </c>
      <c r="G225" s="63">
        <v>0</v>
      </c>
      <c r="H225" s="63">
        <v>0.3</v>
      </c>
      <c r="I225" s="53">
        <f t="shared" si="8"/>
        <v>5.2606837606837598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>
        <v>103</v>
      </c>
      <c r="B226" s="55">
        <v>234.76923076923077</v>
      </c>
      <c r="C226" s="55">
        <v>8</v>
      </c>
      <c r="D226" s="55">
        <v>39.512820512820511</v>
      </c>
      <c r="E226" s="63">
        <v>0.7</v>
      </c>
      <c r="F226" s="63">
        <v>0</v>
      </c>
      <c r="G226" s="63">
        <v>0</v>
      </c>
      <c r="H226" s="63">
        <v>0.3</v>
      </c>
      <c r="I226" s="53">
        <f t="shared" si="8"/>
        <v>5.2583333333333373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>
        <v>113</v>
      </c>
      <c r="B227" s="55">
        <v>246.21794871794873</v>
      </c>
      <c r="C227" s="55">
        <v>9</v>
      </c>
      <c r="D227" s="55">
        <v>31.602564102564099</v>
      </c>
      <c r="E227" s="63">
        <v>0.7</v>
      </c>
      <c r="F227" s="63">
        <v>0</v>
      </c>
      <c r="G227" s="63">
        <v>0</v>
      </c>
      <c r="H227" s="63">
        <v>0.3</v>
      </c>
      <c r="I227" s="53">
        <f t="shared" si="8"/>
        <v>5.0961538461538449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>
        <v>125</v>
      </c>
      <c r="B228" s="55">
        <v>278.29487179487177</v>
      </c>
      <c r="C228" s="55">
        <v>10</v>
      </c>
      <c r="D228" s="55">
        <v>48.160256410256409</v>
      </c>
      <c r="E228" s="63">
        <v>0.7</v>
      </c>
      <c r="F228" s="63">
        <v>0</v>
      </c>
      <c r="G228" s="63">
        <v>0</v>
      </c>
      <c r="H228" s="63">
        <v>0.3</v>
      </c>
      <c r="I228" s="53">
        <f t="shared" si="8"/>
        <v>5.3066239316239274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>
        <v>137</v>
      </c>
      <c r="B229" s="55">
        <v>293.07051282051282</v>
      </c>
      <c r="C229" s="55">
        <v>11</v>
      </c>
      <c r="D229" s="55">
        <v>51.160256410256409</v>
      </c>
      <c r="E229" s="63">
        <v>0.7</v>
      </c>
      <c r="F229" s="63">
        <v>0</v>
      </c>
      <c r="G229" s="63">
        <v>0</v>
      </c>
      <c r="H229" s="63">
        <v>0.3</v>
      </c>
      <c r="I229" s="53">
        <f t="shared" si="8"/>
        <v>5.2446581196581219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>
        <v>149</v>
      </c>
      <c r="B230" s="55">
        <v>303.18589743589746</v>
      </c>
      <c r="C230" s="55">
        <v>12</v>
      </c>
      <c r="D230" s="55">
        <v>120.50641025641026</v>
      </c>
      <c r="E230" s="64">
        <v>0.9</v>
      </c>
      <c r="F230" s="64">
        <v>0</v>
      </c>
      <c r="G230" s="64">
        <v>0</v>
      </c>
      <c r="H230" s="64">
        <v>0.1</v>
      </c>
      <c r="I230" s="53">
        <f t="shared" si="8"/>
        <v>5.1063034188034209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>
        <v>153</v>
      </c>
      <c r="B231" s="60">
        <v>195.05769230769226</v>
      </c>
      <c r="C231" s="88">
        <v>13</v>
      </c>
      <c r="D231" s="60">
        <v>70.115384615384613</v>
      </c>
      <c r="E231" s="54">
        <v>0.9</v>
      </c>
      <c r="F231" s="54">
        <v>0</v>
      </c>
      <c r="G231" s="54">
        <v>0</v>
      </c>
      <c r="H231" s="54">
        <v>0.1</v>
      </c>
      <c r="I231" s="53">
        <f t="shared" si="8"/>
        <v>3.0945512820512704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>
        <v>157</v>
      </c>
      <c r="B232" s="50">
        <v>132.42948717948718</v>
      </c>
      <c r="C232" s="50">
        <v>14</v>
      </c>
      <c r="D232" s="50">
        <v>45.71153846153846</v>
      </c>
      <c r="E232" s="54">
        <v>0.9</v>
      </c>
      <c r="F232" s="54">
        <v>0</v>
      </c>
      <c r="G232" s="54">
        <v>0</v>
      </c>
      <c r="H232" s="54">
        <v>0.1</v>
      </c>
      <c r="I232" s="53">
        <f t="shared" si="8"/>
        <v>1.8717948717948829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>
        <v>161</v>
      </c>
      <c r="B233" s="50">
        <v>91.365384615384613</v>
      </c>
      <c r="C233" s="50">
        <v>15</v>
      </c>
      <c r="D233" s="50">
        <v>91.365384615384613</v>
      </c>
      <c r="E233" s="54">
        <v>0.9</v>
      </c>
      <c r="F233" s="54">
        <v>0</v>
      </c>
      <c r="G233" s="54">
        <v>0</v>
      </c>
      <c r="H233" s="54">
        <v>0.1</v>
      </c>
      <c r="I233" s="53">
        <f t="shared" si="8"/>
        <v>1.1618589743589709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>Alisier torminal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>
        <v>30</v>
      </c>
      <c r="B244" s="60">
        <v>87.705128205128204</v>
      </c>
      <c r="C244" s="60" t="s">
        <v>324</v>
      </c>
      <c r="D244" s="60">
        <v>0</v>
      </c>
      <c r="E244" s="51">
        <v>0</v>
      </c>
      <c r="F244" s="51">
        <v>0</v>
      </c>
      <c r="G244" s="51">
        <v>0</v>
      </c>
      <c r="H244" s="63">
        <v>0</v>
      </c>
      <c r="I244" s="53">
        <f>IFERROR(B244/A244,"")</f>
        <v>2.9235042735042733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>
        <v>44</v>
      </c>
      <c r="B245" s="60">
        <v>162.42307692307691</v>
      </c>
      <c r="C245" s="60">
        <v>1</v>
      </c>
      <c r="D245" s="60">
        <v>64.416666666666657</v>
      </c>
      <c r="E245" s="63">
        <v>0</v>
      </c>
      <c r="F245" s="63">
        <v>0</v>
      </c>
      <c r="G245" s="63">
        <v>0</v>
      </c>
      <c r="H245" s="63">
        <v>1</v>
      </c>
      <c r="I245" s="53">
        <f>IF(A245&lt;&gt;0,(B245-(B244-D244))/(A245-A244),"")</f>
        <v>5.3369963369963358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>
        <v>51</v>
      </c>
      <c r="B246" s="60">
        <v>145.78846153846152</v>
      </c>
      <c r="C246" s="60">
        <v>2</v>
      </c>
      <c r="D246" s="60">
        <v>37.685897435897431</v>
      </c>
      <c r="E246" s="63">
        <v>0</v>
      </c>
      <c r="F246" s="63">
        <v>0</v>
      </c>
      <c r="G246" s="63">
        <v>0</v>
      </c>
      <c r="H246" s="63">
        <v>1</v>
      </c>
      <c r="I246" s="53">
        <f>IF(A246&lt;&gt;0,(B246-(B245-D245))/(A246-A245),"")</f>
        <v>6.826007326007324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>
        <v>59</v>
      </c>
      <c r="B247" s="60">
        <v>159.25641025641025</v>
      </c>
      <c r="C247" s="60">
        <v>3</v>
      </c>
      <c r="D247" s="60">
        <v>38.942307692307693</v>
      </c>
      <c r="E247" s="63">
        <v>0</v>
      </c>
      <c r="F247" s="63">
        <v>0</v>
      </c>
      <c r="G247" s="63">
        <v>0</v>
      </c>
      <c r="H247" s="63">
        <v>1</v>
      </c>
      <c r="I247" s="53">
        <f t="shared" ref="I247:I263" si="9">IF(A247&lt;&gt;0,(B247-(B246-D246))/(A247-A246),"")</f>
        <v>6.3942307692307701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>
        <v>67</v>
      </c>
      <c r="B248" s="60">
        <v>167.85897435897436</v>
      </c>
      <c r="C248" s="60">
        <v>4</v>
      </c>
      <c r="D248" s="60">
        <v>31.993589743589741</v>
      </c>
      <c r="E248" s="63">
        <v>0</v>
      </c>
      <c r="F248" s="63">
        <v>0</v>
      </c>
      <c r="G248" s="63">
        <v>0</v>
      </c>
      <c r="H248" s="63">
        <v>1</v>
      </c>
      <c r="I248" s="53">
        <f t="shared" si="9"/>
        <v>5.9431089743589762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>
        <v>75</v>
      </c>
      <c r="B249" s="60">
        <v>181.38461538461536</v>
      </c>
      <c r="C249" s="60">
        <v>5</v>
      </c>
      <c r="D249" s="60">
        <v>30.916666666666664</v>
      </c>
      <c r="E249" s="63">
        <v>0.7</v>
      </c>
      <c r="F249" s="63">
        <v>0</v>
      </c>
      <c r="G249" s="63">
        <v>0</v>
      </c>
      <c r="H249" s="63">
        <v>0.3</v>
      </c>
      <c r="I249" s="53">
        <f t="shared" si="9"/>
        <v>5.6899038461538431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>
        <v>84</v>
      </c>
      <c r="B250" s="60">
        <v>200.00641025641025</v>
      </c>
      <c r="C250" s="60">
        <v>6</v>
      </c>
      <c r="D250" s="60">
        <v>35.083333333333329</v>
      </c>
      <c r="E250" s="63">
        <v>0.7</v>
      </c>
      <c r="F250" s="63">
        <v>0</v>
      </c>
      <c r="G250" s="63">
        <v>0</v>
      </c>
      <c r="H250" s="63">
        <v>0.3</v>
      </c>
      <c r="I250" s="53">
        <f t="shared" si="9"/>
        <v>5.5042735042735051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>
        <v>93</v>
      </c>
      <c r="B251" s="55">
        <v>212.26923076923075</v>
      </c>
      <c r="C251" s="55">
        <v>7</v>
      </c>
      <c r="D251" s="55">
        <v>30.083333333333332</v>
      </c>
      <c r="E251" s="63">
        <v>0.7</v>
      </c>
      <c r="F251" s="63">
        <v>0</v>
      </c>
      <c r="G251" s="63">
        <v>0</v>
      </c>
      <c r="H251" s="63">
        <v>0.3</v>
      </c>
      <c r="I251" s="53">
        <f t="shared" si="9"/>
        <v>5.2606837606837598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>
        <v>103</v>
      </c>
      <c r="B252" s="55">
        <v>234.76923076923077</v>
      </c>
      <c r="C252" s="55">
        <v>8</v>
      </c>
      <c r="D252" s="55">
        <v>39.512820512820511</v>
      </c>
      <c r="E252" s="63">
        <v>0.7</v>
      </c>
      <c r="F252" s="63">
        <v>0</v>
      </c>
      <c r="G252" s="63">
        <v>0</v>
      </c>
      <c r="H252" s="63">
        <v>0.3</v>
      </c>
      <c r="I252" s="53">
        <f t="shared" si="9"/>
        <v>5.2583333333333373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>
        <v>113</v>
      </c>
      <c r="B253" s="55">
        <v>246.21794871794873</v>
      </c>
      <c r="C253" s="55">
        <v>9</v>
      </c>
      <c r="D253" s="55">
        <v>31.602564102564099</v>
      </c>
      <c r="E253" s="63">
        <v>0.7</v>
      </c>
      <c r="F253" s="63">
        <v>0</v>
      </c>
      <c r="G253" s="63">
        <v>0</v>
      </c>
      <c r="H253" s="63">
        <v>0.3</v>
      </c>
      <c r="I253" s="53">
        <f t="shared" si="9"/>
        <v>5.0961538461538449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>
        <v>125</v>
      </c>
      <c r="B254" s="55">
        <v>278.29487179487177</v>
      </c>
      <c r="C254" s="55">
        <v>10</v>
      </c>
      <c r="D254" s="55">
        <v>48.160256410256409</v>
      </c>
      <c r="E254" s="63">
        <v>0.7</v>
      </c>
      <c r="F254" s="63">
        <v>0</v>
      </c>
      <c r="G254" s="63">
        <v>0</v>
      </c>
      <c r="H254" s="63">
        <v>0.3</v>
      </c>
      <c r="I254" s="53">
        <f t="shared" si="9"/>
        <v>5.3066239316239274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>
        <v>137</v>
      </c>
      <c r="B255" s="55">
        <v>293.07051282051282</v>
      </c>
      <c r="C255" s="55">
        <v>11</v>
      </c>
      <c r="D255" s="55">
        <v>51.160256410256409</v>
      </c>
      <c r="E255" s="63">
        <v>0.7</v>
      </c>
      <c r="F255" s="63">
        <v>0</v>
      </c>
      <c r="G255" s="63">
        <v>0</v>
      </c>
      <c r="H255" s="63">
        <v>0.3</v>
      </c>
      <c r="I255" s="53">
        <f t="shared" si="9"/>
        <v>5.2446581196581219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>
        <v>149</v>
      </c>
      <c r="B256" s="55">
        <v>303.18589743589746</v>
      </c>
      <c r="C256" s="55">
        <v>12</v>
      </c>
      <c r="D256" s="55">
        <v>120.50641025641026</v>
      </c>
      <c r="E256" s="64">
        <v>0.9</v>
      </c>
      <c r="F256" s="64">
        <v>0</v>
      </c>
      <c r="G256" s="64">
        <v>0</v>
      </c>
      <c r="H256" s="64">
        <v>0.1</v>
      </c>
      <c r="I256" s="53">
        <f t="shared" si="9"/>
        <v>5.1063034188034209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>
        <v>153</v>
      </c>
      <c r="B257" s="60">
        <v>195.05769230769226</v>
      </c>
      <c r="C257" s="88">
        <v>13</v>
      </c>
      <c r="D257" s="60">
        <v>70.115384615384613</v>
      </c>
      <c r="E257" s="54">
        <v>0.9</v>
      </c>
      <c r="F257" s="54">
        <v>0</v>
      </c>
      <c r="G257" s="54">
        <v>0</v>
      </c>
      <c r="H257" s="54">
        <v>0.1</v>
      </c>
      <c r="I257" s="53">
        <f t="shared" si="9"/>
        <v>3.0945512820512704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>
        <v>157</v>
      </c>
      <c r="B258" s="50">
        <v>132.42948717948718</v>
      </c>
      <c r="C258" s="50">
        <v>14</v>
      </c>
      <c r="D258" s="50">
        <v>45.71153846153846</v>
      </c>
      <c r="E258" s="54">
        <v>0.9</v>
      </c>
      <c r="F258" s="54">
        <v>0</v>
      </c>
      <c r="G258" s="54">
        <v>0</v>
      </c>
      <c r="H258" s="54">
        <v>0.1</v>
      </c>
      <c r="I258" s="53">
        <f t="shared" si="9"/>
        <v>1.8717948717948829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>
        <v>161</v>
      </c>
      <c r="B259" s="50">
        <v>91.365384615384613</v>
      </c>
      <c r="C259" s="50">
        <v>15</v>
      </c>
      <c r="D259" s="50">
        <v>91.365384615384613</v>
      </c>
      <c r="E259" s="54">
        <v>0.9</v>
      </c>
      <c r="F259" s="54">
        <v>0</v>
      </c>
      <c r="G259" s="54">
        <v>0</v>
      </c>
      <c r="H259" s="54">
        <v>0.1</v>
      </c>
      <c r="I259" s="53">
        <f t="shared" si="9"/>
        <v>1.1618589743589709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>Tilleul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>
        <v>30</v>
      </c>
      <c r="B270" s="60">
        <v>87.705128205128204</v>
      </c>
      <c r="C270" s="50" t="s">
        <v>324</v>
      </c>
      <c r="D270" s="60">
        <v>0</v>
      </c>
      <c r="E270" s="51">
        <v>0</v>
      </c>
      <c r="F270" s="51">
        <v>0</v>
      </c>
      <c r="G270" s="51">
        <v>0</v>
      </c>
      <c r="H270" s="51">
        <v>0</v>
      </c>
      <c r="I270" s="53">
        <f>IFERROR(B270/A270,"")</f>
        <v>2.9235042735042733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>
        <v>44</v>
      </c>
      <c r="B271" s="60">
        <v>162.42307692307691</v>
      </c>
      <c r="C271" s="50">
        <v>1</v>
      </c>
      <c r="D271" s="60">
        <v>64.416666666666657</v>
      </c>
      <c r="E271" s="51">
        <v>0</v>
      </c>
      <c r="F271" s="51">
        <v>0</v>
      </c>
      <c r="G271" s="51">
        <v>0</v>
      </c>
      <c r="H271" s="51">
        <v>1</v>
      </c>
      <c r="I271" s="53">
        <f>IF(A271&lt;&gt;0,(B271-(B270-D270))/(A271-A270),"")</f>
        <v>5.3369963369963358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>
        <v>51</v>
      </c>
      <c r="B272" s="60">
        <v>145.78846153846152</v>
      </c>
      <c r="C272" s="50">
        <v>2</v>
      </c>
      <c r="D272" s="60">
        <v>37.685897435897431</v>
      </c>
      <c r="E272" s="51">
        <v>0</v>
      </c>
      <c r="F272" s="51">
        <v>0</v>
      </c>
      <c r="G272" s="51">
        <v>0</v>
      </c>
      <c r="H272" s="51">
        <v>1</v>
      </c>
      <c r="I272" s="53">
        <f t="shared" ref="I272:I289" si="10">IF(A272&lt;&gt;0,(B272-(B271-D271))/(A272-A271),"")</f>
        <v>6.826007326007324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>
        <v>59</v>
      </c>
      <c r="B273" s="60">
        <v>159.25641025641025</v>
      </c>
      <c r="C273" s="50">
        <v>3</v>
      </c>
      <c r="D273" s="60">
        <v>38.942307692307693</v>
      </c>
      <c r="E273" s="51">
        <v>0</v>
      </c>
      <c r="F273" s="51">
        <v>0</v>
      </c>
      <c r="G273" s="51">
        <v>0</v>
      </c>
      <c r="H273" s="51">
        <v>1</v>
      </c>
      <c r="I273" s="53">
        <f t="shared" si="10"/>
        <v>6.3942307692307701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>
        <v>67</v>
      </c>
      <c r="B274" s="60">
        <v>167.85897435897436</v>
      </c>
      <c r="C274" s="50">
        <v>4</v>
      </c>
      <c r="D274" s="60">
        <v>31.993589743589741</v>
      </c>
      <c r="E274" s="51">
        <v>0</v>
      </c>
      <c r="F274" s="51">
        <v>0</v>
      </c>
      <c r="G274" s="51">
        <v>0</v>
      </c>
      <c r="H274" s="51">
        <v>1</v>
      </c>
      <c r="I274" s="53">
        <f t="shared" si="10"/>
        <v>5.9431089743589762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>
        <v>75</v>
      </c>
      <c r="B275" s="60">
        <v>181.38461538461536</v>
      </c>
      <c r="C275" s="50">
        <v>5</v>
      </c>
      <c r="D275" s="60">
        <v>30.916666666666664</v>
      </c>
      <c r="E275" s="63">
        <v>0.7</v>
      </c>
      <c r="F275" s="63">
        <v>0</v>
      </c>
      <c r="G275" s="63">
        <v>0</v>
      </c>
      <c r="H275" s="63">
        <v>0.3</v>
      </c>
      <c r="I275" s="53">
        <f t="shared" si="10"/>
        <v>5.6899038461538431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>
        <v>84</v>
      </c>
      <c r="B276" s="60">
        <v>200.00641025641025</v>
      </c>
      <c r="C276" s="50">
        <v>6</v>
      </c>
      <c r="D276" s="60">
        <v>35.083333333333329</v>
      </c>
      <c r="E276" s="63">
        <v>0.7</v>
      </c>
      <c r="F276" s="63">
        <v>0</v>
      </c>
      <c r="G276" s="63">
        <v>0</v>
      </c>
      <c r="H276" s="63">
        <v>0.3</v>
      </c>
      <c r="I276" s="53">
        <f t="shared" si="10"/>
        <v>5.5042735042735051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>
        <v>93</v>
      </c>
      <c r="B277" s="55">
        <v>212.26923076923075</v>
      </c>
      <c r="C277" s="55">
        <v>7</v>
      </c>
      <c r="D277" s="55">
        <v>30.083333333333332</v>
      </c>
      <c r="E277" s="63">
        <v>0.7</v>
      </c>
      <c r="F277" s="63">
        <v>0</v>
      </c>
      <c r="G277" s="63">
        <v>0</v>
      </c>
      <c r="H277" s="63">
        <v>0.3</v>
      </c>
      <c r="I277" s="53">
        <f t="shared" si="10"/>
        <v>5.2606837606837598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>
        <v>103</v>
      </c>
      <c r="B278" s="55">
        <v>234.76923076923077</v>
      </c>
      <c r="C278" s="55">
        <v>8</v>
      </c>
      <c r="D278" s="55">
        <v>39.512820512820511</v>
      </c>
      <c r="E278" s="63">
        <v>0.7</v>
      </c>
      <c r="F278" s="63">
        <v>0</v>
      </c>
      <c r="G278" s="63">
        <v>0</v>
      </c>
      <c r="H278" s="63">
        <v>0.3</v>
      </c>
      <c r="I278" s="53">
        <f t="shared" si="10"/>
        <v>5.2583333333333373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>
        <v>113</v>
      </c>
      <c r="B279" s="55">
        <v>246.21794871794873</v>
      </c>
      <c r="C279" s="55">
        <v>9</v>
      </c>
      <c r="D279" s="55">
        <v>31.602564102564099</v>
      </c>
      <c r="E279" s="63">
        <v>0.7</v>
      </c>
      <c r="F279" s="63">
        <v>0</v>
      </c>
      <c r="G279" s="63">
        <v>0</v>
      </c>
      <c r="H279" s="63">
        <v>0.3</v>
      </c>
      <c r="I279" s="53">
        <f t="shared" si="10"/>
        <v>5.0961538461538449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>
        <v>125</v>
      </c>
      <c r="B280" s="55">
        <v>278.29487179487177</v>
      </c>
      <c r="C280" s="55">
        <v>10</v>
      </c>
      <c r="D280" s="55">
        <v>48.160256410256409</v>
      </c>
      <c r="E280" s="63">
        <v>0.7</v>
      </c>
      <c r="F280" s="63">
        <v>0</v>
      </c>
      <c r="G280" s="63">
        <v>0</v>
      </c>
      <c r="H280" s="63">
        <v>0.3</v>
      </c>
      <c r="I280" s="53">
        <f t="shared" si="10"/>
        <v>5.3066239316239274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>
        <v>137</v>
      </c>
      <c r="B281" s="55">
        <v>293.07051282051282</v>
      </c>
      <c r="C281" s="55">
        <v>11</v>
      </c>
      <c r="D281" s="55">
        <v>51.160256410256409</v>
      </c>
      <c r="E281" s="63">
        <v>0.7</v>
      </c>
      <c r="F281" s="63">
        <v>0</v>
      </c>
      <c r="G281" s="63">
        <v>0</v>
      </c>
      <c r="H281" s="63">
        <v>0.3</v>
      </c>
      <c r="I281" s="53">
        <f t="shared" si="10"/>
        <v>5.2446581196581219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>
        <v>149</v>
      </c>
      <c r="B282" s="55">
        <v>303.18589743589746</v>
      </c>
      <c r="C282" s="55">
        <v>12</v>
      </c>
      <c r="D282" s="55">
        <v>120.50641025641026</v>
      </c>
      <c r="E282" s="64">
        <v>0.9</v>
      </c>
      <c r="F282" s="64">
        <v>0</v>
      </c>
      <c r="G282" s="64">
        <v>0</v>
      </c>
      <c r="H282" s="64">
        <v>0.1</v>
      </c>
      <c r="I282" s="53">
        <f t="shared" si="10"/>
        <v>5.1063034188034209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>
        <v>153</v>
      </c>
      <c r="B283" s="60">
        <v>195.05769230769226</v>
      </c>
      <c r="C283" s="88">
        <v>13</v>
      </c>
      <c r="D283" s="60">
        <v>70.115384615384613</v>
      </c>
      <c r="E283" s="54">
        <v>0.9</v>
      </c>
      <c r="F283" s="54">
        <v>0</v>
      </c>
      <c r="G283" s="54">
        <v>0</v>
      </c>
      <c r="H283" s="54">
        <v>0.1</v>
      </c>
      <c r="I283" s="53">
        <f t="shared" si="10"/>
        <v>3.0945512820512704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>
        <v>157</v>
      </c>
      <c r="B284" s="50">
        <v>132.42948717948718</v>
      </c>
      <c r="C284" s="50">
        <v>14</v>
      </c>
      <c r="D284" s="50">
        <v>45.71153846153846</v>
      </c>
      <c r="E284" s="51">
        <v>0.9</v>
      </c>
      <c r="F284" s="51">
        <v>0</v>
      </c>
      <c r="G284" s="51">
        <v>0</v>
      </c>
      <c r="H284" s="51">
        <v>0.1</v>
      </c>
      <c r="I284" s="53">
        <f t="shared" si="10"/>
        <v>1.8717948717948829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>
        <v>161</v>
      </c>
      <c r="B285" s="50">
        <v>91.365384615384613</v>
      </c>
      <c r="C285" s="50">
        <v>15</v>
      </c>
      <c r="D285" s="50">
        <v>91.365384615384613</v>
      </c>
      <c r="E285" s="51">
        <v>0.9</v>
      </c>
      <c r="F285" s="51">
        <v>0</v>
      </c>
      <c r="G285" s="51">
        <v>0</v>
      </c>
      <c r="H285" s="51">
        <v>0.1</v>
      </c>
      <c r="I285" s="53">
        <f t="shared" si="10"/>
        <v>1.1618589743589709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Normal="100" workbookViewId="0">
      <selection activeCell="B10" sqref="B1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Erable champêtre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Charme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Merisier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Chêne chevelu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Chêne sessile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>Chêne pubescent</v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>Chêne pédonculé</v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>Cormier</v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>Alisier torminal</v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>Tilleul</v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324.86930206492627</v>
      </c>
      <c r="T3" s="59">
        <f>IF('Données projet'!E9&gt;30,$R$33-$H$33,LOOKUP('Données projet'!$E$9,$A$3:$A$203,R3:R203)-LOOKUP('Données projet'!$E$9,$A$3:$A$203,$H$3:$H$203))</f>
        <v>317.03005098025352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401.81944956556271</v>
      </c>
      <c r="AO3" s="59">
        <f>IF('Données projet'!E10&gt;30,$AM$33-$H$33,LOOKUP('Données projet'!$E$10,$A$3:$A$203,AM3:AM203)-LOOKUP('Données projet'!$E$10,$A$3:$A$203,$H$3:$H$203))</f>
        <v>292.20785523952651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288.80569134263209</v>
      </c>
      <c r="BJ3" s="59">
        <f>IF('Données projet'!E11&gt;30,$BH$33-$H$33,LOOKUP('Données projet'!$E$11,$A$3:$A$203,BH3:BH203)-LOOKUP('Données projet'!$E$11,$A$3:$A$203,$H$3:$H$203))</f>
        <v>283.48738729114024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352.22281362023102</v>
      </c>
      <c r="CE3" s="59">
        <f>IF('Données projet'!E12&gt;30,$CC$33-$H$33,LOOKUP('Données projet'!$E$12,$A$3:$A$203,CC3:CC203)-LOOKUP('Données projet'!$E$12,$A$3:$A$203,$H$3:$H$203))</f>
        <v>310.2353747925161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345.49688858037996</v>
      </c>
      <c r="CZ3" s="59">
        <f>IF('Données projet'!E13&gt;30,$CX$33-$H$33,LOOKUP('Données projet'!$E$13,$A$3:$A$203,CX3:CX203)-LOOKUP('Données projet'!$E$13,$A$3:$A$203,$H$3:$H$203))</f>
        <v>213.15872113755023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382.26108489744581</v>
      </c>
      <c r="DU3" s="59">
        <f>IF('Données projet'!E14&gt;30,$DS$33-$H$33,LOOKUP('Données projet'!$E$14,$A$3:$A$203,DS3:DS203)-LOOKUP('Données projet'!$E$14,$A$3:$A$203,$H$3:$H$203))</f>
        <v>233.89423996158826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312.48716825299158</v>
      </c>
      <c r="EP3" s="59">
        <f>IF('Données projet'!E15&gt;30,$EN$33-$H$33,LOOKUP('Données projet'!$E$15,$A$3:$A$203,EN3:EN203)-LOOKUP('Données projet'!$E$15,$A$3:$A$203,$H$3:$H$203))</f>
        <v>258.68277822755357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403.23110963096246</v>
      </c>
      <c r="FK3" s="59">
        <f>IF('Données projet'!E16&gt;30,$FI$33-$H$33,LOOKUP('Données projet'!$E$16,$A$3:$A$203,FI3:FI203)-LOOKUP('Données projet'!$E$16,$A$3:$A$203,$H$3:$H$203))</f>
        <v>245.72000393124898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336.2911850338175</v>
      </c>
      <c r="GF3" s="59">
        <f>IF('Données projet'!E17&gt;30,$GD$33-$H$33,LOOKUP('Données projet'!$E$17,$A$3:$A$203,GD3:GD203)-LOOKUP('Données projet'!$E$17,$A$3:$A$203,$H$3:$H$203))</f>
        <v>225.01415116995503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256.66666666666669</v>
      </c>
      <c r="GZ3" s="59">
        <f ca="1">AVERAGE(OFFSET($GY$3,0,0,'Données projet'!$E$18+1,1))-AVERAGE(OFFSET($H$3,0,0,'Données projet'!$E$18+1,1))</f>
        <v>266.37807768393191</v>
      </c>
      <c r="HA3" s="59">
        <f>IF('Données projet'!E18&gt;30,$GY$33-$H$33,LOOKUP('Données projet'!$E$18,$A$3:$A$203,GY3:GY203)-LOOKUP('Données projet'!$E$18,$A$3:$A$203,$H$3:$H$203))</f>
        <v>168.52019826233425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2.4666666666666668</v>
      </c>
      <c r="N4" s="13">
        <f>IF('Données projet'!$A$36&gt;35,N3+M4-V3,IF(A4&lt;'Données projet'!$A$36,$K$205^A4,IF(A4='Données projet'!$A$36,'Données projet'!$B$36,N3+M4-V3)))</f>
        <v>1.2721747796233518</v>
      </c>
      <c r="O4" s="13">
        <f>N4*VLOOKUP('Données projet'!$B$9,Paramètres!$A$1:$I$89,3,0)*VLOOKUP('Données projet'!$B$9,Paramètres!$A$1:$I$89,5,0)</f>
        <v>1.1113718874789602</v>
      </c>
      <c r="P4" s="13">
        <f>EXP(-1.0587+0.8836*LN(O4)+0.284)</f>
        <v>0.5059102014681881</v>
      </c>
      <c r="Q4" s="20">
        <f t="shared" ref="Q4:Q34" si="2">(O4+P4)*0.475*44/12</f>
        <v>2.8167663049162832</v>
      </c>
      <c r="R4" s="59">
        <f t="shared" si="0"/>
        <v>260.70565519380511</v>
      </c>
      <c r="S4" s="59">
        <f ca="1">AVERAGE(OFFSET($R$3,0,0,'Données projet'!$E$9+1,1))-AVERAGE(OFFSET($H$3,0,0,'Données projet'!$E$9+1,1))</f>
        <v>324.86930206492627</v>
      </c>
      <c r="T4" s="59">
        <f>$T$3</f>
        <v>317.03005098025352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4.0628205128205126</v>
      </c>
      <c r="AI4" s="13">
        <f>IF('Données projet'!$A$62&gt;35,AI3+AH4-AQ3,IF(A4&lt;'Données projet'!$A$62,$AF$205^A4,IF(A4='Données projet'!$A$62,'Données projet'!$B$62,AI3+AH4-AQ3)))</f>
        <v>1.1736311550444201</v>
      </c>
      <c r="AJ4" s="13">
        <f>AI4*VLOOKUP('Données projet'!$B$10,Paramètres!$A$1:$I$89,3,0)*VLOOKUP('Données projet'!$B$10,Paramètres!$A$1:$I$89,5,0)</f>
        <v>1.1168274071402702</v>
      </c>
      <c r="AK4" s="13">
        <f>EXP(-1.0587+0.8836*LN(AJ4)+0.284)</f>
        <v>0.50810392551502437</v>
      </c>
      <c r="AL4" s="20">
        <f t="shared" ref="AL4:AL67" si="4">(AJ4+AK4)*0.475*44/12</f>
        <v>2.8300887377079711</v>
      </c>
      <c r="AM4" s="59">
        <f t="shared" ref="AM4:AM67" si="5">AL4+(AD4+AE4)*44/12</f>
        <v>260.71897762659682</v>
      </c>
      <c r="AN4" s="59">
        <f ca="1">AVERAGE(OFFSET($AM$3,0,0,'Données projet'!$E$10+1,1))-AVERAGE(OFFSET($H$3,0,0,'Données projet'!$E$10+1,1))</f>
        <v>401.81944956556271</v>
      </c>
      <c r="AO4" s="59">
        <f>$AO$3</f>
        <v>292.20785523952651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2.6666666666666665</v>
      </c>
      <c r="BD4" s="12">
        <f>IF('Données projet'!$A$88&gt;35,BD3+BC4-BL3,IF(A4&lt;'Données projet'!$A$88,$BA$205^A4,IF(A4='Données projet'!$A$88,'Données projet'!$B$88,BD3+BC4-BL3)))</f>
        <v>1.2788040393997409</v>
      </c>
      <c r="BE4" s="13">
        <f>BD4*VLOOKUP('Données projet'!$B$11,Paramètres!$A$1:$I$89,3,0)*VLOOKUP('Données projet'!$B$11,Paramètres!$A$1:$I$89,5,0)</f>
        <v>0.99746715073179792</v>
      </c>
      <c r="BF4" s="13">
        <f>EXP(-1.0587+0.8836*LN(BE4)+0.284)</f>
        <v>0.45981048445793882</v>
      </c>
      <c r="BG4" s="20">
        <f t="shared" ref="BG4:BG67" si="7">(BE4+BF4)*0.475*44/12</f>
        <v>2.5380918812887914</v>
      </c>
      <c r="BH4" s="59">
        <f t="shared" ref="BH4:BH67" si="8">BG4+(AY4+AZ4)*44/12</f>
        <v>260.42698077017764</v>
      </c>
      <c r="BI4" s="59">
        <f ca="1">AVERAGE(OFFSET($BH$3,0,0,'Données projet'!$E$11+1,1))-AVERAGE(OFFSET($H$3,0,0,'Données projet'!$E$11+1,1))</f>
        <v>288.80569134263209</v>
      </c>
      <c r="BJ4" s="59">
        <f>$BJ$3</f>
        <v>283.48738729114024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</v>
      </c>
      <c r="BY4" s="12">
        <f>IF('Données projet'!$A$114&gt;35,BY3+BX4-CG3,IF(A4&lt;'Données projet'!$A$114,$BV$205^A4,IF(A4='Données projet'!$A$114,'Données projet'!$B$114,BY3+BX4-CG3)))</f>
        <v>1.335141362540313</v>
      </c>
      <c r="BZ4" s="13">
        <f>BY4*VLOOKUP('Données projet'!$B$12,Paramètres!$A$1:$I$89,3,0)*VLOOKUP('Données projet'!$B$12,Paramètres!$A$1:$I$89,5,0)</f>
        <v>1.3954897521271352</v>
      </c>
      <c r="CA4" s="13">
        <f>EXP(-1.0587+0.8836*LN(BZ4)+0.284)</f>
        <v>0.61863221819522474</v>
      </c>
      <c r="CB4" s="20">
        <f t="shared" ref="CB4:CB67" si="10">(BZ4+CA4)*0.475*44/12</f>
        <v>3.5079290983114433</v>
      </c>
      <c r="CC4" s="59">
        <f t="shared" ref="CC4:CC67" si="11">CB4+(BT4+BU4)*44/12</f>
        <v>261.39681798720028</v>
      </c>
      <c r="CD4" s="59">
        <f ca="1">AVERAGE(OFFSET($CC$3,0,0,'Données projet'!$E$12+1,1))-AVERAGE(OFFSET($H$3,0,0,'Données projet'!$E$12+1,1))</f>
        <v>352.22281362023102</v>
      </c>
      <c r="CE4" s="59">
        <f>$CE$3</f>
        <v>310.2353747925161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2.9235042735042733</v>
      </c>
      <c r="CT4" s="12">
        <f>IF('Données projet'!$A$140&gt;35,CT3+CS4-DB3,IF(A4&lt;'Données projet'!$A$140,$CQ$205^A4,IF(A4='Données projet'!$A$140,'Données projet'!$B$140,CT3+CS4-DB3)))</f>
        <v>1.1608269964373037</v>
      </c>
      <c r="CU4" s="17">
        <f>CT4*VLOOKUP('Données projet'!$B$13,Paramètres!$A$1:$I$89,3,0)*VLOOKUP('Données projet'!$B$13,Paramètres!$A$1:$I$89,5,0)</f>
        <v>1.0503162663764722</v>
      </c>
      <c r="CV4" s="13">
        <f>EXP(-1.0587+0.8836*LN(CU4)+0.284)</f>
        <v>0.48127189162287909</v>
      </c>
      <c r="CW4" s="20">
        <f t="shared" ref="CW4:CW67" si="13">(CU4+CV4)*0.475*44/12</f>
        <v>2.6675160418488701</v>
      </c>
      <c r="CX4" s="59">
        <f t="shared" ref="CX4:CX67" si="14">CW4+(CO4+CP4)*44/12</f>
        <v>260.5564049307377</v>
      </c>
      <c r="CY4" s="59">
        <f ca="1">AVERAGE(OFFSET($CX$3,0,0,'Données projet'!$E$13+1,1))-AVERAGE(OFFSET($H$3,0,0,'Données projet'!$E$13+1,1))</f>
        <v>345.49688858037996</v>
      </c>
      <c r="CZ4" s="59">
        <f>$CZ$3</f>
        <v>213.15872113755023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2.9235042735042733</v>
      </c>
      <c r="DO4" s="12">
        <f>IF('Données projet'!$A$166&gt;35,DO3+DN4-DW3,IF(A4&lt;'Données projet'!$A$166,$DL$205^A4,IF(A4='Données projet'!$A$166,'Données projet'!$B$166,DO3+DN4-DW3)))</f>
        <v>1.1608269964373037</v>
      </c>
      <c r="DP4" s="17">
        <f>DO4*VLOOKUP('Données projet'!$B$14,Paramètres!$A$1:$I$89,3,0)*VLOOKUP('Données projet'!$B$14,Paramètres!$A$1:$I$89,5,0)</f>
        <v>1.1770785743874259</v>
      </c>
      <c r="DQ4" s="13">
        <f>EXP(-1.0587+0.8836*LN(DP4)+0.284)</f>
        <v>0.53225011573313319</v>
      </c>
      <c r="DR4" s="20">
        <f t="shared" ref="DR4:DR67" si="16">(DP4+DQ4)*0.475*44/12</f>
        <v>2.9770808019599735</v>
      </c>
      <c r="DS4" s="59">
        <f t="shared" ref="DS4:DS67" si="17">DR4+(DJ4+DK4)*44/12</f>
        <v>260.86596969084883</v>
      </c>
      <c r="DT4" s="59">
        <f ca="1">AVERAGE(OFFSET($DS$3,0,0,'Données projet'!$E$14+1,1))-AVERAGE(OFFSET($H$3,0,0,'Données projet'!$E$14+1,1))</f>
        <v>382.26108489744581</v>
      </c>
      <c r="DU4" s="59">
        <f>$DU$3</f>
        <v>233.89423996158826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3.9732905982905979</v>
      </c>
      <c r="EJ4" s="12">
        <f>IF('Données projet'!$A$192&gt;35,EJ3+EI4-ER3,IF(A4&lt;'Données projet'!$A$192,$EG$205^A4,IF(A4='Données projet'!$A$192,'Données projet'!$B$192,EJ3+EI4-ER3)))</f>
        <v>1.1727597515473569</v>
      </c>
      <c r="EK4" s="17">
        <f>EJ4*VLOOKUP('Données projet'!$B$15,Paramètres!$A$1:$I$89,3,0)*VLOOKUP('Données projet'!$B$15,Paramètres!$A$1:$I$89,5,0)</f>
        <v>0.98793281470349359</v>
      </c>
      <c r="EL4" s="13">
        <f>EXP(-1.0587+0.8836*LN(EK4)+0.284)</f>
        <v>0.45592478840438083</v>
      </c>
      <c r="EM4" s="20">
        <f t="shared" ref="EM4:EM67" si="19">(EK4+EL4)*0.475*44/12</f>
        <v>2.5147186587462147</v>
      </c>
      <c r="EN4" s="59">
        <f t="shared" ref="EN4:EN67" si="20">EM4+(EE4+EF4)*44/12</f>
        <v>260.40360754763509</v>
      </c>
      <c r="EO4" s="59">
        <f ca="1">AVERAGE(OFFSET($EN$3,0,0,'Données projet'!$E$15+1,1))-AVERAGE(OFFSET($H$3,0,0,'Données projet'!$E$15+1,1))</f>
        <v>312.48716825299158</v>
      </c>
      <c r="EP4" s="59">
        <f>$EP$3</f>
        <v>258.68277822755357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2.9235042735042733</v>
      </c>
      <c r="FE4" s="12">
        <f>IF('Données projet'!$A$218&gt;35,FE3+FD4-FM3,IF(A4&lt;'Données projet'!$A$218,$FB$205^A4,IF(A4='Données projet'!$A$218,'Données projet'!$B$218,FE3+FD4-FM3)))</f>
        <v>1.1608269964373037</v>
      </c>
      <c r="FF4" s="17">
        <f>FE4*VLOOKUP('Données projet'!$B$16,Paramètres!$A$1:$I$89,3,0)*VLOOKUP('Données projet'!$B$16,Paramètres!$A$1:$I$89,5,0)</f>
        <v>1.2495141789651136</v>
      </c>
      <c r="FG4" s="13">
        <f>EXP(-1.0587+0.8836*LN(FF4)+0.284)</f>
        <v>0.56109006538617967</v>
      </c>
      <c r="FH4" s="20">
        <f t="shared" ref="FH4:FH67" si="22">(FF4+FG4)*0.475*44/12</f>
        <v>3.1534690589118353</v>
      </c>
      <c r="FI4" s="59">
        <f t="shared" ref="FI4:FI67" si="23">FH4+(EZ4+FA4)*44/12</f>
        <v>261.04235794780067</v>
      </c>
      <c r="FJ4" s="59">
        <f ca="1">AVERAGE(OFFSET($FI$3,0,0,'Données projet'!$E$16+1,1))-AVERAGE(OFFSET($H$3,0,0,'Données projet'!$E$16+1,1))</f>
        <v>403.23110963096246</v>
      </c>
      <c r="FK4" s="59">
        <f>$FK$3</f>
        <v>245.72000393124898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2.9235042735042733</v>
      </c>
      <c r="FZ4" s="12">
        <f>IF('Données projet'!$A$244&gt;35,FZ3+FY4-GH3,IF(A4&lt;'Données projet'!$A$244,$FW$205^A4,IF(A4='Données projet'!$A$244,'Données projet'!$B$244,FZ3+FY4-GH3)))</f>
        <v>1.1608269964373037</v>
      </c>
      <c r="GA4" s="17">
        <f>FZ4*VLOOKUP('Données projet'!$B$17,Paramètres!$A$1:$I$89,3,0)*VLOOKUP('Données projet'!$B$17,Paramètres!$A$1:$I$89,5,0)</f>
        <v>1.1227518709541602</v>
      </c>
      <c r="GB4" s="13">
        <f>EXP(-1.0587+0.8836*LN(GA4)+0.284)</f>
        <v>0.51048480496708748</v>
      </c>
      <c r="GC4" s="20">
        <f t="shared" ref="GC4:GC67" si="25">(GA4+GB4)*0.475*44/12</f>
        <v>2.8445538772295063</v>
      </c>
      <c r="GD4" s="59">
        <f t="shared" ref="GD4:GD67" si="26">GC4+(FU4+FV4)*44/12</f>
        <v>260.73344276611834</v>
      </c>
      <c r="GE4" s="59">
        <f ca="1">AVERAGE(OFFSET($GD$3,0,0,'Données projet'!$E$17+1,1))-AVERAGE(OFFSET($H$3,0,0,'Données projet'!$E$17+1,1))</f>
        <v>336.2911850338175</v>
      </c>
      <c r="GF4" s="59">
        <f>$GF$3</f>
        <v>225.01415116995503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2.9235042735042733</v>
      </c>
      <c r="GU4" s="12">
        <f>IF('Données projet'!$A$270&gt;35,GU3+GT4-HC3,IF(A4&lt;'Données projet'!$A$270,$GR$205^A4,IF(A4='Données projet'!$A$270,'Données projet'!$B$270,GU3+GT4-HC3)))</f>
        <v>1.1608269964373037</v>
      </c>
      <c r="GV4" s="17">
        <f>GU4*VLOOKUP('Données projet'!$B$18,Paramètres!$A$1:$I$89,3,0)*VLOOKUP('Données projet'!$B$18,Paramètres!$A$1:$I$89,5,0)</f>
        <v>0.77868274921014335</v>
      </c>
      <c r="GW4" s="13">
        <f>EXP(-1.0587+0.8836*LN(GV4)+0.284)</f>
        <v>0.36945219399541002</v>
      </c>
      <c r="GX4" s="20">
        <f t="shared" ref="GX4:GX67" si="28">(GV4+GW4)*0.475*44/12</f>
        <v>1.9996683594163389</v>
      </c>
      <c r="GY4" s="59">
        <f t="shared" ref="GY4:GY67" si="29">GX4+(GP4+GQ4)*44/12</f>
        <v>259.88855724830518</v>
      </c>
      <c r="GZ4" s="59">
        <f ca="1">AVERAGE(OFFSET($GY$3,0,0,'Données projet'!$E$18+1,1))-AVERAGE(OFFSET($H$3,0,0,'Données projet'!$E$18+1,1))</f>
        <v>266.37807768393191</v>
      </c>
      <c r="HA4" s="59">
        <f>$HA$3</f>
        <v>168.52019826233425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2.4666666666666668</v>
      </c>
      <c r="N5" s="13">
        <f>IF('Données projet'!$A$36&gt;35,N4+M5-V4,IF(A5&lt;'Données projet'!$A$36,$K$205^A5,IF(A5='Données projet'!$A$36,'Données projet'!$B$36,N4+M5-V4)))</f>
        <v>1.6184286699097237</v>
      </c>
      <c r="O5" s="13">
        <f>N5*VLOOKUP('Données projet'!$B$9,Paramètres!$A$1:$I$89,3,0)*VLOOKUP('Données projet'!$B$9,Paramètres!$A$1:$I$89,5,0)</f>
        <v>1.4138592860331347</v>
      </c>
      <c r="P5" s="13">
        <f t="shared" ref="P5:P68" si="33">EXP(-1.0587+0.8836*LN(O5)+0.284)</f>
        <v>0.62582221171965613</v>
      </c>
      <c r="Q5" s="20">
        <f t="shared" si="2"/>
        <v>3.5524452752527771</v>
      </c>
      <c r="R5" s="59">
        <f t="shared" si="0"/>
        <v>262.66355638636389</v>
      </c>
      <c r="S5" s="59">
        <f ca="1">AVERAGE(OFFSET($R$3,0,0,'Données projet'!$E$9+1,1))-AVERAGE(OFFSET($H$3,0,0,'Données projet'!$E$9+1,1))</f>
        <v>324.86930206492627</v>
      </c>
      <c r="T5" s="59">
        <f t="shared" ref="T5:T68" si="34">$T$3</f>
        <v>317.03005098025352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4.0628205128205126</v>
      </c>
      <c r="AI5" s="13">
        <f>IF('Données projet'!$A$62&gt;35,AI4+AH5-AQ4,IF(A5&lt;'Données projet'!$A$62,$AF$205^A5,IF(A5='Données projet'!$A$62,'Données projet'!$B$62,AI4+AH5-AQ4)))</f>
        <v>1.3774100880908995</v>
      </c>
      <c r="AJ5" s="13">
        <f>AI5*VLOOKUP('Données projet'!$B$10,Paramètres!$A$1:$I$89,3,0)*VLOOKUP('Données projet'!$B$10,Paramètres!$A$1:$I$89,5,0)</f>
        <v>1.3107434398272999</v>
      </c>
      <c r="AK5" s="13">
        <f t="shared" ref="AK5:AK68" si="35">EXP(-1.0587+0.8836*LN(AJ5)+0.284)</f>
        <v>0.58531640729586831</v>
      </c>
      <c r="AL5" s="20">
        <f t="shared" si="4"/>
        <v>3.3023042337395179</v>
      </c>
      <c r="AM5" s="59">
        <f t="shared" si="5"/>
        <v>262.41341534485065</v>
      </c>
      <c r="AN5" s="59">
        <f ca="1">AVERAGE(OFFSET($AM$3,0,0,'Données projet'!$E$10+1,1))-AVERAGE(OFFSET($H$3,0,0,'Données projet'!$E$10+1,1))</f>
        <v>401.81944956556271</v>
      </c>
      <c r="AO5" s="59">
        <f t="shared" ref="AO5:AO68" si="36">$AO$3</f>
        <v>292.20785523952651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2.6666666666666665</v>
      </c>
      <c r="BD5" s="12">
        <f>IF('Données projet'!$A$88&gt;35,BD4+BC5-BL4,IF(A5&lt;'Données projet'!$A$88,$BA$205^A5,IF(A5='Données projet'!$A$88,'Données projet'!$B$88,BD4+BC5-BL4)))</f>
        <v>1.6353397711850939</v>
      </c>
      <c r="BE5" s="13">
        <f>BD5*VLOOKUP('Données projet'!$B$11,Paramètres!$A$1:$I$89,3,0)*VLOOKUP('Données projet'!$B$11,Paramètres!$A$1:$I$89,5,0)</f>
        <v>1.2755650215243732</v>
      </c>
      <c r="BF5" s="13">
        <f t="shared" ref="BF5:BF68" si="37">EXP(-1.0587+0.8836*LN(BE5)+0.284)</f>
        <v>0.57141400910743001</v>
      </c>
      <c r="BG5" s="20">
        <f t="shared" si="7"/>
        <v>3.2168218116837237</v>
      </c>
      <c r="BH5" s="59">
        <f t="shared" si="8"/>
        <v>262.32793292279484</v>
      </c>
      <c r="BI5" s="59">
        <f ca="1">AVERAGE(OFFSET($BH$3,0,0,'Données projet'!$E$11+1,1))-AVERAGE(OFFSET($H$3,0,0,'Données projet'!$E$11+1,1))</f>
        <v>288.80569134263209</v>
      </c>
      <c r="BJ5" s="59">
        <f t="shared" ref="BJ5:BJ68" si="38">$BJ$3</f>
        <v>283.48738729114024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</v>
      </c>
      <c r="BY5" s="12">
        <f>IF('Données projet'!$A$114&gt;35,BY4+BX5-CG4,IF(A5&lt;'Données projet'!$A$114,$BV$205^A5,IF(A5='Données projet'!$A$114,'Données projet'!$B$114,BY4+BX5-CG4)))</f>
        <v>1.7826024579660036</v>
      </c>
      <c r="BZ5" s="13">
        <f>BY5*VLOOKUP('Données projet'!$B$12,Paramètres!$A$1:$I$89,3,0)*VLOOKUP('Données projet'!$B$12,Paramètres!$A$1:$I$89,5,0)</f>
        <v>1.8631760890660669</v>
      </c>
      <c r="CA5" s="13">
        <f t="shared" ref="CA5:CA68" si="39">EXP(-1.0587+0.8836*LN(BZ5)+0.284)</f>
        <v>0.79863513536342279</v>
      </c>
      <c r="CB5" s="20">
        <f t="shared" si="10"/>
        <v>4.6359878825480276</v>
      </c>
      <c r="CC5" s="59">
        <f t="shared" si="11"/>
        <v>263.74709899365916</v>
      </c>
      <c r="CD5" s="59">
        <f ca="1">AVERAGE(OFFSET($CC$3,0,0,'Données projet'!$E$12+1,1))-AVERAGE(OFFSET($H$3,0,0,'Données projet'!$E$12+1,1))</f>
        <v>352.22281362023102</v>
      </c>
      <c r="CE5" s="59">
        <f t="shared" ref="CE5:CE68" si="40">$CE$3</f>
        <v>310.2353747925161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2.9235042735042733</v>
      </c>
      <c r="CT5" s="12">
        <f>IF('Données projet'!$A$140&gt;35,CT4+CS5-DB4,IF(A5&lt;'Données projet'!$A$140,$CQ$205^A5,IF(A5='Données projet'!$A$140,'Données projet'!$B$140,CT4+CS5-DB4)))</f>
        <v>1.3475193156576519</v>
      </c>
      <c r="CU5" s="17">
        <f>CT5*VLOOKUP('Données projet'!$B$13,Paramètres!$A$1:$I$89,3,0)*VLOOKUP('Données projet'!$B$13,Paramètres!$A$1:$I$89,5,0)</f>
        <v>1.2192354768070435</v>
      </c>
      <c r="CV5" s="13">
        <f t="shared" ref="CV5:CV68" si="41">EXP(-1.0587+0.8836*LN(CU5)+0.284)</f>
        <v>0.54905905766229002</v>
      </c>
      <c r="CW5" s="20">
        <f t="shared" si="13"/>
        <v>3.0797796475340888</v>
      </c>
      <c r="CX5" s="59">
        <f t="shared" si="14"/>
        <v>262.19089075864525</v>
      </c>
      <c r="CY5" s="59">
        <f ca="1">AVERAGE(OFFSET($CX$3,0,0,'Données projet'!$E$13+1,1))-AVERAGE(OFFSET($H$3,0,0,'Données projet'!$E$13+1,1))</f>
        <v>345.49688858037996</v>
      </c>
      <c r="CZ5" s="59">
        <f t="shared" ref="CZ5:CZ68" si="42">$CZ$3</f>
        <v>213.15872113755023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2.9235042735042733</v>
      </c>
      <c r="DO5" s="12">
        <f>IF('Données projet'!$A$166&gt;35,DO4+DN5-DW4,IF(A5&lt;'Données projet'!$A$166,$DL$205^A5,IF(A5='Données projet'!$A$166,'Données projet'!$B$166,DO4+DN5-DW4)))</f>
        <v>1.3475193156576519</v>
      </c>
      <c r="DP5" s="17">
        <f>DO5*VLOOKUP('Données projet'!$B$14,Paramètres!$A$1:$I$89,3,0)*VLOOKUP('Données projet'!$B$14,Paramètres!$A$1:$I$89,5,0)</f>
        <v>1.3663845860768591</v>
      </c>
      <c r="DQ5" s="13">
        <f t="shared" ref="DQ5:DQ68" si="43">EXP(-1.0587+0.8836*LN(DP5)+0.284)</f>
        <v>0.60721756676800354</v>
      </c>
      <c r="DR5" s="20">
        <f t="shared" si="16"/>
        <v>3.4373570828714688</v>
      </c>
      <c r="DS5" s="59">
        <f t="shared" si="17"/>
        <v>262.54846819398261</v>
      </c>
      <c r="DT5" s="59">
        <f ca="1">AVERAGE(OFFSET($DS$3,0,0,'Données projet'!$E$14+1,1))-AVERAGE(OFFSET($H$3,0,0,'Données projet'!$E$14+1,1))</f>
        <v>382.26108489744581</v>
      </c>
      <c r="DU5" s="59">
        <f t="shared" ref="DU5:DU68" si="44">$DU$3</f>
        <v>233.89423996158826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3.9732905982905979</v>
      </c>
      <c r="EJ5" s="12">
        <f>IF('Données projet'!$A$192&gt;35,EJ4+EI5-ER4,IF(A5&lt;'Données projet'!$A$192,$EG$205^A5,IF(A5='Données projet'!$A$192,'Données projet'!$B$192,EJ4+EI5-ER4)))</f>
        <v>1.3753654348494182</v>
      </c>
      <c r="EK5" s="17">
        <f>EJ5*VLOOKUP('Données projet'!$B$15,Paramètres!$A$1:$I$89,3,0)*VLOOKUP('Données projet'!$B$15,Paramètres!$A$1:$I$89,5,0)</f>
        <v>1.15860784231715</v>
      </c>
      <c r="EL5" s="13">
        <f t="shared" ref="EL5:EL68" si="45">EXP(-1.0587+0.8836*LN(EK5)+0.284)</f>
        <v>0.52486344214026859</v>
      </c>
      <c r="EM5" s="20">
        <f t="shared" si="19"/>
        <v>2.9320458204300039</v>
      </c>
      <c r="EN5" s="59">
        <f t="shared" si="20"/>
        <v>262.04315693154115</v>
      </c>
      <c r="EO5" s="59">
        <f ca="1">AVERAGE(OFFSET($EN$3,0,0,'Données projet'!$E$15+1,1))-AVERAGE(OFFSET($H$3,0,0,'Données projet'!$E$15+1,1))</f>
        <v>312.48716825299158</v>
      </c>
      <c r="EP5" s="59">
        <f t="shared" ref="EP5:EP68" si="46">$EP$3</f>
        <v>258.68277822755357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2.9235042735042733</v>
      </c>
      <c r="FE5" s="12">
        <f>IF('Données projet'!$A$218&gt;35,FE4+FD5-FM4,IF(A5&lt;'Données projet'!$A$218,$FB$205^A5,IF(A5='Données projet'!$A$218,'Données projet'!$B$218,FE4+FD5-FM4)))</f>
        <v>1.3475193156576519</v>
      </c>
      <c r="FF5" s="17">
        <f>FE5*VLOOKUP('Données projet'!$B$16,Paramètres!$A$1:$I$89,3,0)*VLOOKUP('Données projet'!$B$16,Paramètres!$A$1:$I$89,5,0)</f>
        <v>1.4504697913738964</v>
      </c>
      <c r="FG5" s="13">
        <f t="shared" ref="FG5:FG68" si="47">EXP(-1.0587+0.8836*LN(FF5)+0.284)</f>
        <v>0.64011962453442217</v>
      </c>
      <c r="FH5" s="20">
        <f t="shared" si="22"/>
        <v>3.6411098993736544</v>
      </c>
      <c r="FI5" s="59">
        <f t="shared" si="23"/>
        <v>262.75222101048479</v>
      </c>
      <c r="FJ5" s="59">
        <f ca="1">AVERAGE(OFFSET($FI$3,0,0,'Données projet'!$E$16+1,1))-AVERAGE(OFFSET($H$3,0,0,'Données projet'!$E$16+1,1))</f>
        <v>403.23110963096246</v>
      </c>
      <c r="FK5" s="59">
        <f t="shared" ref="FK5:FK68" si="48">$FK$3</f>
        <v>245.72000393124898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2.9235042735042733</v>
      </c>
      <c r="FZ5" s="12">
        <f>IF('Données projet'!$A$244&gt;35,FZ4+FY5-GH4,IF(A5&lt;'Données projet'!$A$244,$FW$205^A5,IF(A5='Données projet'!$A$244,'Données projet'!$B$244,FZ4+FY5-GH4)))</f>
        <v>1.3475193156576519</v>
      </c>
      <c r="GA5" s="17">
        <f>FZ5*VLOOKUP('Données projet'!$B$17,Paramètres!$A$1:$I$89,3,0)*VLOOKUP('Données projet'!$B$17,Paramètres!$A$1:$I$89,5,0)</f>
        <v>1.303320682104081</v>
      </c>
      <c r="GB5" s="13">
        <f t="shared" ref="GB5:GB68" si="49">EXP(-1.0587+0.8836*LN(GA5)+0.284)</f>
        <v>0.5823866110713507</v>
      </c>
      <c r="GC5" s="20">
        <f t="shared" si="25"/>
        <v>3.284273535613877</v>
      </c>
      <c r="GD5" s="59">
        <f t="shared" si="26"/>
        <v>262.39538464672501</v>
      </c>
      <c r="GE5" s="59">
        <f ca="1">AVERAGE(OFFSET($GD$3,0,0,'Données projet'!$E$17+1,1))-AVERAGE(OFFSET($H$3,0,0,'Données projet'!$E$17+1,1))</f>
        <v>336.2911850338175</v>
      </c>
      <c r="GF5" s="59">
        <f t="shared" ref="GF5:GF68" si="50">$GF$3</f>
        <v>225.01415116995503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2.9235042735042733</v>
      </c>
      <c r="GU5" s="12">
        <f>IF('Données projet'!$A$270&gt;35,GU4+GT5-HC4,IF(A5&lt;'Données projet'!$A$270,$GR$205^A5,IF(A5='Données projet'!$A$270,'Données projet'!$B$270,GU4+GT5-HC4)))</f>
        <v>1.3475193156576519</v>
      </c>
      <c r="GV5" s="17">
        <f>GU5*VLOOKUP('Données projet'!$B$18,Paramètres!$A$1:$I$89,3,0)*VLOOKUP('Données projet'!$B$18,Paramètres!$A$1:$I$89,5,0)</f>
        <v>0.90391595694315285</v>
      </c>
      <c r="GW5" s="13">
        <f t="shared" ref="GW5:GW68" si="51">EXP(-1.0587+0.8836*LN(GV5)+0.284)</f>
        <v>0.42148955095291096</v>
      </c>
      <c r="GX5" s="20">
        <f t="shared" si="28"/>
        <v>2.3084145929189774</v>
      </c>
      <c r="GY5" s="59">
        <f t="shared" si="29"/>
        <v>261.41952570403009</v>
      </c>
      <c r="GZ5" s="59">
        <f ca="1">AVERAGE(OFFSET($GY$3,0,0,'Données projet'!$E$18+1,1))-AVERAGE(OFFSET($H$3,0,0,'Données projet'!$E$18+1,1))</f>
        <v>266.37807768393191</v>
      </c>
      <c r="HA5" s="59">
        <f t="shared" ref="HA5:HA68" si="52">$HA$3</f>
        <v>168.52019826233425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2.4666666666666668</v>
      </c>
      <c r="N6" s="13">
        <f>IF('Données projet'!$A$36&gt;35,N5+M6-V5,IF(A6&lt;'Données projet'!$A$36,$K$205^A6,IF(A6='Données projet'!$A$36,'Données projet'!$B$36,N5+M6-V5)))</f>
        <v>2.0589241364785171</v>
      </c>
      <c r="O6" s="13">
        <f>N6*VLOOKUP('Données projet'!$B$9,Paramètres!$A$1:$I$89,3,0)*VLOOKUP('Données projet'!$B$9,Paramètres!$A$1:$I$89,5,0)</f>
        <v>1.7986761256276329</v>
      </c>
      <c r="P6" s="13">
        <f t="shared" si="33"/>
        <v>0.77415604497611523</v>
      </c>
      <c r="Q6" s="20">
        <f t="shared" si="2"/>
        <v>4.4810160304681945</v>
      </c>
      <c r="R6" s="59">
        <f t="shared" si="0"/>
        <v>264.81434936380151</v>
      </c>
      <c r="S6" s="59">
        <f ca="1">AVERAGE(OFFSET($R$3,0,0,'Données projet'!$E$9+1,1))-AVERAGE(OFFSET($H$3,0,0,'Données projet'!$E$9+1,1))</f>
        <v>324.86930206492627</v>
      </c>
      <c r="T6" s="59">
        <f t="shared" si="34"/>
        <v>317.03005098025352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4.0628205128205126</v>
      </c>
      <c r="AI6" s="13">
        <f>IF('Données projet'!$A$62&gt;35,AI5+AH6-AQ5,IF(A6&lt;'Données projet'!$A$62,$AF$205^A6,IF(A6='Données projet'!$A$62,'Données projet'!$B$62,AI5+AH6-AQ5)))</f>
        <v>1.6165713926559588</v>
      </c>
      <c r="AJ6" s="13">
        <f>AI6*VLOOKUP('Données projet'!$B$10,Paramètres!$A$1:$I$89,3,0)*VLOOKUP('Données projet'!$B$10,Paramètres!$A$1:$I$89,5,0)</f>
        <v>1.5383293372514104</v>
      </c>
      <c r="AK6" s="13">
        <f t="shared" si="35"/>
        <v>0.67426225117722005</v>
      </c>
      <c r="AL6" s="20">
        <f t="shared" si="4"/>
        <v>3.8535970165131981</v>
      </c>
      <c r="AM6" s="59">
        <f t="shared" si="5"/>
        <v>264.18693034984653</v>
      </c>
      <c r="AN6" s="59">
        <f ca="1">AVERAGE(OFFSET($AM$3,0,0,'Données projet'!$E$10+1,1))-AVERAGE(OFFSET($H$3,0,0,'Données projet'!$E$10+1,1))</f>
        <v>401.81944956556271</v>
      </c>
      <c r="AO6" s="59">
        <f t="shared" si="36"/>
        <v>292.20785523952651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2.6666666666666665</v>
      </c>
      <c r="BD6" s="12">
        <f>IF('Données projet'!$A$88&gt;35,BD5+BC6-BL5,IF(A6&lt;'Données projet'!$A$88,$BA$205^A6,IF(A6='Données projet'!$A$88,'Données projet'!$B$88,BD5+BC6-BL5)))</f>
        <v>2.0912791051825459</v>
      </c>
      <c r="BE6" s="13">
        <f>BD6*VLOOKUP('Données projet'!$B$11,Paramètres!$A$1:$I$89,3,0)*VLOOKUP('Données projet'!$B$11,Paramètres!$A$1:$I$89,5,0)</f>
        <v>1.6311977020423858</v>
      </c>
      <c r="BF6" s="13">
        <f t="shared" si="37"/>
        <v>0.71010553443370616</v>
      </c>
      <c r="BG6" s="20">
        <f t="shared" si="7"/>
        <v>4.0777698035291934</v>
      </c>
      <c r="BH6" s="59">
        <f t="shared" si="8"/>
        <v>264.41110313686249</v>
      </c>
      <c r="BI6" s="59">
        <f ca="1">AVERAGE(OFFSET($BH$3,0,0,'Données projet'!$E$11+1,1))-AVERAGE(OFFSET($H$3,0,0,'Données projet'!$E$11+1,1))</f>
        <v>288.80569134263209</v>
      </c>
      <c r="BJ6" s="59">
        <f t="shared" si="38"/>
        <v>283.48738729114024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</v>
      </c>
      <c r="BY6" s="12">
        <f>IF('Données projet'!$A$114&gt;35,BY5+BX6-CG5,IF(A6&lt;'Données projet'!$A$114,$BV$205^A6,IF(A6='Données projet'!$A$114,'Données projet'!$B$114,BY5+BX6-CG5)))</f>
        <v>2.3800262745964411</v>
      </c>
      <c r="BZ6" s="13">
        <f>BY6*VLOOKUP('Données projet'!$B$12,Paramètres!$A$1:$I$89,3,0)*VLOOKUP('Données projet'!$B$12,Paramètres!$A$1:$I$89,5,0)</f>
        <v>2.4876034622082006</v>
      </c>
      <c r="CA6" s="13">
        <f t="shared" si="39"/>
        <v>1.0310133560416559</v>
      </c>
      <c r="CB6" s="20">
        <f t="shared" si="10"/>
        <v>6.1282576251184997</v>
      </c>
      <c r="CC6" s="59">
        <f t="shared" si="11"/>
        <v>266.46159095845184</v>
      </c>
      <c r="CD6" s="59">
        <f ca="1">AVERAGE(OFFSET($CC$3,0,0,'Données projet'!$E$12+1,1))-AVERAGE(OFFSET($H$3,0,0,'Données projet'!$E$12+1,1))</f>
        <v>352.22281362023102</v>
      </c>
      <c r="CE6" s="59">
        <f t="shared" si="40"/>
        <v>310.2353747925161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2.9235042735042733</v>
      </c>
      <c r="CT6" s="12">
        <f>IF('Données projet'!$A$140&gt;35,CT5+CS6-DB5,IF(A6&lt;'Données projet'!$A$140,$CQ$205^A6,IF(A6='Données projet'!$A$140,'Données projet'!$B$140,CT5+CS6-DB5)))</f>
        <v>1.5642367998361231</v>
      </c>
      <c r="CU6" s="17">
        <f>CT6*VLOOKUP('Données projet'!$B$13,Paramètres!$A$1:$I$89,3,0)*VLOOKUP('Données projet'!$B$13,Paramètres!$A$1:$I$89,5,0)</f>
        <v>1.415321456491724</v>
      </c>
      <c r="CV6" s="13">
        <f t="shared" si="41"/>
        <v>0.62639404887004735</v>
      </c>
      <c r="CW6" s="20">
        <f t="shared" si="13"/>
        <v>3.5559878385050854</v>
      </c>
      <c r="CX6" s="59">
        <f t="shared" si="14"/>
        <v>263.88932117183839</v>
      </c>
      <c r="CY6" s="59">
        <f ca="1">AVERAGE(OFFSET($CX$3,0,0,'Données projet'!$E$13+1,1))-AVERAGE(OFFSET($H$3,0,0,'Données projet'!$E$13+1,1))</f>
        <v>345.49688858037996</v>
      </c>
      <c r="CZ6" s="59">
        <f t="shared" si="42"/>
        <v>213.15872113755023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2.9235042735042733</v>
      </c>
      <c r="DO6" s="12">
        <f>IF('Données projet'!$A$166&gt;35,DO5+DN6-DW5,IF(A6&lt;'Données projet'!$A$166,$DL$205^A6,IF(A6='Données projet'!$A$166,'Données projet'!$B$166,DO5+DN6-DW5)))</f>
        <v>1.5642367998361231</v>
      </c>
      <c r="DP6" s="17">
        <f>DO6*VLOOKUP('Données projet'!$B$14,Paramètres!$A$1:$I$89,3,0)*VLOOKUP('Données projet'!$B$14,Paramètres!$A$1:$I$89,5,0)</f>
        <v>1.5861361150338289</v>
      </c>
      <c r="DQ6" s="13">
        <f t="shared" si="43"/>
        <v>0.69274418641277524</v>
      </c>
      <c r="DR6" s="20">
        <f t="shared" si="16"/>
        <v>3.969049858352836</v>
      </c>
      <c r="DS6" s="59">
        <f t="shared" si="17"/>
        <v>264.30238319168615</v>
      </c>
      <c r="DT6" s="59">
        <f ca="1">AVERAGE(OFFSET($DS$3,0,0,'Données projet'!$E$14+1,1))-AVERAGE(OFFSET($H$3,0,0,'Données projet'!$E$14+1,1))</f>
        <v>382.26108489744581</v>
      </c>
      <c r="DU6" s="59">
        <f t="shared" si="44"/>
        <v>233.89423996158826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3.9732905982905979</v>
      </c>
      <c r="EJ6" s="12">
        <f>IF('Données projet'!$A$192&gt;35,EJ5+EI6-ER5,IF(A6&lt;'Données projet'!$A$192,$EG$205^A6,IF(A6='Données projet'!$A$192,'Données projet'!$B$192,EJ5+EI6-ER5)))</f>
        <v>1.6129732256608262</v>
      </c>
      <c r="EK6" s="17">
        <f>EJ6*VLOOKUP('Données projet'!$B$15,Paramètres!$A$1:$I$89,3,0)*VLOOKUP('Données projet'!$B$15,Paramètres!$A$1:$I$89,5,0)</f>
        <v>1.3587686452966801</v>
      </c>
      <c r="EL6" s="13">
        <f t="shared" si="45"/>
        <v>0.60422604758878284</v>
      </c>
      <c r="EM6" s="20">
        <f t="shared" si="19"/>
        <v>3.4188824234421809</v>
      </c>
      <c r="EN6" s="59">
        <f t="shared" si="20"/>
        <v>263.75221575677551</v>
      </c>
      <c r="EO6" s="59">
        <f ca="1">AVERAGE(OFFSET($EN$3,0,0,'Données projet'!$E$15+1,1))-AVERAGE(OFFSET($H$3,0,0,'Données projet'!$E$15+1,1))</f>
        <v>312.48716825299158</v>
      </c>
      <c r="EP6" s="59">
        <f t="shared" si="46"/>
        <v>258.68277822755357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2.9235042735042733</v>
      </c>
      <c r="FE6" s="12">
        <f>IF('Données projet'!$A$218&gt;35,FE5+FD6-FM5,IF(A6&lt;'Données projet'!$A$218,$FB$205^A6,IF(A6='Données projet'!$A$218,'Données projet'!$B$218,FE5+FD6-FM5)))</f>
        <v>1.5642367998361231</v>
      </c>
      <c r="FF6" s="17">
        <f>FE6*VLOOKUP('Données projet'!$B$16,Paramètres!$A$1:$I$89,3,0)*VLOOKUP('Données projet'!$B$16,Paramètres!$A$1:$I$89,5,0)</f>
        <v>1.683744491343603</v>
      </c>
      <c r="FG6" s="13">
        <f t="shared" si="47"/>
        <v>0.73028050039002235</v>
      </c>
      <c r="FH6" s="20">
        <f t="shared" si="22"/>
        <v>4.2044268606027302</v>
      </c>
      <c r="FI6" s="59">
        <f t="shared" si="23"/>
        <v>264.53776019393604</v>
      </c>
      <c r="FJ6" s="59">
        <f ca="1">AVERAGE(OFFSET($FI$3,0,0,'Données projet'!$E$16+1,1))-AVERAGE(OFFSET($H$3,0,0,'Données projet'!$E$16+1,1))</f>
        <v>403.23110963096246</v>
      </c>
      <c r="FK6" s="59">
        <f t="shared" si="48"/>
        <v>245.72000393124898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2.9235042735042733</v>
      </c>
      <c r="FZ6" s="12">
        <f>IF('Données projet'!$A$244&gt;35,FZ5+FY6-GH5,IF(A6&lt;'Données projet'!$A$244,$FW$205^A6,IF(A6='Données projet'!$A$244,'Données projet'!$B$244,FZ5+FY6-GH5)))</f>
        <v>1.5642367998361231</v>
      </c>
      <c r="GA6" s="17">
        <f>FZ6*VLOOKUP('Données projet'!$B$17,Paramètres!$A$1:$I$89,3,0)*VLOOKUP('Données projet'!$B$17,Paramètres!$A$1:$I$89,5,0)</f>
        <v>1.5129298328014982</v>
      </c>
      <c r="GB6" s="13">
        <f t="shared" si="49"/>
        <v>0.66441578956897707</v>
      </c>
      <c r="GC6" s="20">
        <f t="shared" si="25"/>
        <v>3.7922102922952434</v>
      </c>
      <c r="GD6" s="59">
        <f t="shared" si="26"/>
        <v>264.12554362562855</v>
      </c>
      <c r="GE6" s="59">
        <f ca="1">AVERAGE(OFFSET($GD$3,0,0,'Données projet'!$E$17+1,1))-AVERAGE(OFFSET($H$3,0,0,'Données projet'!$E$17+1,1))</f>
        <v>336.2911850338175</v>
      </c>
      <c r="GF6" s="59">
        <f t="shared" si="50"/>
        <v>225.01415116995503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2.9235042735042733</v>
      </c>
      <c r="GU6" s="12">
        <f>IF('Données projet'!$A$270&gt;35,GU5+GT6-HC5,IF(A6&lt;'Données projet'!$A$270,$GR$205^A6,IF(A6='Données projet'!$A$270,'Données projet'!$B$270,GU5+GT6-HC5)))</f>
        <v>1.5642367998361231</v>
      </c>
      <c r="GV6" s="17">
        <f>GU6*VLOOKUP('Données projet'!$B$18,Paramètres!$A$1:$I$89,3,0)*VLOOKUP('Données projet'!$B$18,Paramètres!$A$1:$I$89,5,0)</f>
        <v>1.0492900453300715</v>
      </c>
      <c r="GW6" s="13">
        <f t="shared" si="51"/>
        <v>0.48085637181164964</v>
      </c>
      <c r="GX6" s="20">
        <f t="shared" si="28"/>
        <v>2.6650050098551641</v>
      </c>
      <c r="GY6" s="59">
        <f t="shared" si="29"/>
        <v>262.99833834318849</v>
      </c>
      <c r="GZ6" s="59">
        <f ca="1">AVERAGE(OFFSET($GY$3,0,0,'Données projet'!$E$18+1,1))-AVERAGE(OFFSET($H$3,0,0,'Données projet'!$E$18+1,1))</f>
        <v>266.37807768393191</v>
      </c>
      <c r="HA6" s="59">
        <f t="shared" si="52"/>
        <v>168.52019826233425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2.4666666666666668</v>
      </c>
      <c r="N7" s="13">
        <f>IF('Données projet'!$A$36&gt;35,N6+M7-V6,IF(A7&lt;'Données projet'!$A$36,$K$205^A7,IF(A7='Données projet'!$A$36,'Données projet'!$B$36,N6+M7-V6)))</f>
        <v>2.6193113595857573</v>
      </c>
      <c r="O7" s="13">
        <f>N7*VLOOKUP('Données projet'!$B$9,Paramètres!$A$1:$I$89,3,0)*VLOOKUP('Données projet'!$B$9,Paramètres!$A$1:$I$89,5,0)</f>
        <v>2.2882304037341177</v>
      </c>
      <c r="P7" s="13">
        <f t="shared" si="33"/>
        <v>0.95764830769786036</v>
      </c>
      <c r="Q7" s="20">
        <f t="shared" si="2"/>
        <v>5.6532387557440282</v>
      </c>
      <c r="R7" s="59">
        <f t="shared" si="0"/>
        <v>267.20879431129958</v>
      </c>
      <c r="S7" s="59">
        <f ca="1">AVERAGE(OFFSET($R$3,0,0,'Données projet'!$E$9+1,1))-AVERAGE(OFFSET($H$3,0,0,'Données projet'!$E$9+1,1))</f>
        <v>324.86930206492627</v>
      </c>
      <c r="T7" s="59">
        <f t="shared" si="34"/>
        <v>317.03005098025352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4.0628205128205126</v>
      </c>
      <c r="AI7" s="13">
        <f>IF('Données projet'!$A$62&gt;35,AI6+AH7-AQ6,IF(A7&lt;'Données projet'!$A$62,$AF$205^A7,IF(A7='Données projet'!$A$62,'Données projet'!$B$62,AI6+AH7-AQ6)))</f>
        <v>1.8972585507745794</v>
      </c>
      <c r="AJ7" s="13">
        <f>AI7*VLOOKUP('Données projet'!$B$10,Paramètres!$A$1:$I$89,3,0)*VLOOKUP('Données projet'!$B$10,Paramètres!$A$1:$I$89,5,0)</f>
        <v>1.80543123691709</v>
      </c>
      <c r="AK7" s="13">
        <f t="shared" si="35"/>
        <v>0.77672448217014423</v>
      </c>
      <c r="AL7" s="20">
        <f t="shared" si="4"/>
        <v>4.4972545440769327</v>
      </c>
      <c r="AM7" s="59">
        <f t="shared" si="5"/>
        <v>266.0528100996325</v>
      </c>
      <c r="AN7" s="59">
        <f ca="1">AVERAGE(OFFSET($AM$3,0,0,'Données projet'!$E$10+1,1))-AVERAGE(OFFSET($H$3,0,0,'Données projet'!$E$10+1,1))</f>
        <v>401.81944956556271</v>
      </c>
      <c r="AO7" s="59">
        <f t="shared" si="36"/>
        <v>292.20785523952651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2.6666666666666665</v>
      </c>
      <c r="BD7" s="12">
        <f>IF('Données projet'!$A$88&gt;35,BD6+BC7-BL6,IF(A7&lt;'Données projet'!$A$88,$BA$205^A7,IF(A7='Données projet'!$A$88,'Données projet'!$B$88,BD6+BC7-BL6)))</f>
        <v>2.6743361672197152</v>
      </c>
      <c r="BE7" s="13">
        <f>BD7*VLOOKUP('Données projet'!$B$11,Paramètres!$A$1:$I$89,3,0)*VLOOKUP('Données projet'!$B$11,Paramètres!$A$1:$I$89,5,0)</f>
        <v>2.0859822104313781</v>
      </c>
      <c r="BF7" s="13">
        <f t="shared" si="37"/>
        <v>0.88245976121767966</v>
      </c>
      <c r="BG7" s="20">
        <f t="shared" si="7"/>
        <v>5.1700364339554419</v>
      </c>
      <c r="BH7" s="59">
        <f t="shared" si="8"/>
        <v>266.72559198951097</v>
      </c>
      <c r="BI7" s="59">
        <f ca="1">AVERAGE(OFFSET($BH$3,0,0,'Données projet'!$E$11+1,1))-AVERAGE(OFFSET($H$3,0,0,'Données projet'!$E$11+1,1))</f>
        <v>288.80569134263209</v>
      </c>
      <c r="BJ7" s="59">
        <f t="shared" si="38"/>
        <v>283.48738729114024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</v>
      </c>
      <c r="BY7" s="12">
        <f>IF('Données projet'!$A$114&gt;35,BY6+BX7-CG6,IF(A7&lt;'Données projet'!$A$114,$BV$205^A7,IF(A7='Données projet'!$A$114,'Données projet'!$B$114,BY6+BX7-CG6)))</f>
        <v>3.1776715231464374</v>
      </c>
      <c r="BZ7" s="13">
        <f>BY7*VLOOKUP('Données projet'!$B$12,Paramètres!$A$1:$I$89,3,0)*VLOOKUP('Données projet'!$B$12,Paramètres!$A$1:$I$89,5,0)</f>
        <v>3.3213022759926569</v>
      </c>
      <c r="CA7" s="13">
        <f t="shared" si="39"/>
        <v>1.331006480014882</v>
      </c>
      <c r="CB7" s="20">
        <f t="shared" si="10"/>
        <v>8.1027710833797961</v>
      </c>
      <c r="CC7" s="59">
        <f t="shared" si="11"/>
        <v>269.65832663893536</v>
      </c>
      <c r="CD7" s="59">
        <f ca="1">AVERAGE(OFFSET($CC$3,0,0,'Données projet'!$E$12+1,1))-AVERAGE(OFFSET($H$3,0,0,'Données projet'!$E$12+1,1))</f>
        <v>352.22281362023102</v>
      </c>
      <c r="CE7" s="59">
        <f t="shared" si="40"/>
        <v>310.2353747925161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2.9235042735042733</v>
      </c>
      <c r="CT7" s="12">
        <f>IF('Données projet'!$A$140&gt;35,CT6+CS7-DB6,IF(A7&lt;'Données projet'!$A$140,$CQ$205^A7,IF(A7='Données projet'!$A$140,'Données projet'!$B$140,CT6+CS7-DB6)))</f>
        <v>1.8158083060704666</v>
      </c>
      <c r="CU7" s="17">
        <f>CT7*VLOOKUP('Données projet'!$B$13,Paramètres!$A$1:$I$89,3,0)*VLOOKUP('Données projet'!$B$13,Paramètres!$A$1:$I$89,5,0)</f>
        <v>1.6429433553325583</v>
      </c>
      <c r="CV7" s="13">
        <f t="shared" si="41"/>
        <v>0.71462167681995736</v>
      </c>
      <c r="CW7" s="20">
        <f t="shared" si="13"/>
        <v>4.1060924309989639</v>
      </c>
      <c r="CX7" s="59">
        <f t="shared" si="14"/>
        <v>265.6616479865545</v>
      </c>
      <c r="CY7" s="59">
        <f ca="1">AVERAGE(OFFSET($CX$3,0,0,'Données projet'!$E$13+1,1))-AVERAGE(OFFSET($H$3,0,0,'Données projet'!$E$13+1,1))</f>
        <v>345.49688858037996</v>
      </c>
      <c r="CZ7" s="59">
        <f t="shared" si="42"/>
        <v>213.15872113755023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2.9235042735042733</v>
      </c>
      <c r="DO7" s="12">
        <f>IF('Données projet'!$A$166&gt;35,DO6+DN7-DW6,IF(A7&lt;'Données projet'!$A$166,$DL$205^A7,IF(A7='Données projet'!$A$166,'Données projet'!$B$166,DO6+DN7-DW6)))</f>
        <v>1.8158083060704666</v>
      </c>
      <c r="DP7" s="17">
        <f>DO7*VLOOKUP('Données projet'!$B$14,Paramètres!$A$1:$I$89,3,0)*VLOOKUP('Données projet'!$B$14,Paramètres!$A$1:$I$89,5,0)</f>
        <v>1.8412296223554532</v>
      </c>
      <c r="DQ7" s="13">
        <f t="shared" si="43"/>
        <v>0.7903172340072443</v>
      </c>
      <c r="DR7" s="20">
        <f t="shared" si="16"/>
        <v>4.5832774414983648</v>
      </c>
      <c r="DS7" s="59">
        <f t="shared" si="17"/>
        <v>266.1388329970539</v>
      </c>
      <c r="DT7" s="59">
        <f ca="1">AVERAGE(OFFSET($DS$3,0,0,'Données projet'!$E$14+1,1))-AVERAGE(OFFSET($H$3,0,0,'Données projet'!$E$14+1,1))</f>
        <v>382.26108489744581</v>
      </c>
      <c r="DU7" s="59">
        <f t="shared" si="44"/>
        <v>233.89423996158826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3.9732905982905979</v>
      </c>
      <c r="EJ7" s="12">
        <f>IF('Données projet'!$A$192&gt;35,EJ6+EI7-ER6,IF(A7&lt;'Données projet'!$A$192,$EG$205^A7,IF(A7='Données projet'!$A$192,'Données projet'!$B$192,EJ6+EI7-ER6)))</f>
        <v>1.8916300793785292</v>
      </c>
      <c r="EK7" s="17">
        <f>EJ7*VLOOKUP('Données projet'!$B$15,Paramètres!$A$1:$I$89,3,0)*VLOOKUP('Données projet'!$B$15,Paramètres!$A$1:$I$89,5,0)</f>
        <v>1.5935091788684732</v>
      </c>
      <c r="EL7" s="13">
        <f t="shared" si="45"/>
        <v>0.69558877085440585</v>
      </c>
      <c r="EM7" s="20">
        <f t="shared" si="19"/>
        <v>3.9868455957673476</v>
      </c>
      <c r="EN7" s="59">
        <f t="shared" si="20"/>
        <v>265.54240115132291</v>
      </c>
      <c r="EO7" s="59">
        <f ca="1">AVERAGE(OFFSET($EN$3,0,0,'Données projet'!$E$15+1,1))-AVERAGE(OFFSET($H$3,0,0,'Données projet'!$E$15+1,1))</f>
        <v>312.48716825299158</v>
      </c>
      <c r="EP7" s="59">
        <f t="shared" si="46"/>
        <v>258.68277822755357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2.9235042735042733</v>
      </c>
      <c r="FE7" s="12">
        <f>IF('Données projet'!$A$218&gt;35,FE6+FD7-FM6,IF(A7&lt;'Données projet'!$A$218,$FB$205^A7,IF(A7='Données projet'!$A$218,'Données projet'!$B$218,FE6+FD7-FM6)))</f>
        <v>1.8158083060704666</v>
      </c>
      <c r="FF7" s="17">
        <f>FE7*VLOOKUP('Données projet'!$B$16,Paramètres!$A$1:$I$89,3,0)*VLOOKUP('Données projet'!$B$16,Paramètres!$A$1:$I$89,5,0)</f>
        <v>1.9545360606542501</v>
      </c>
      <c r="FG7" s="13">
        <f t="shared" si="47"/>
        <v>0.83314053937620336</v>
      </c>
      <c r="FH7" s="20">
        <f t="shared" si="22"/>
        <v>4.8552034117197067</v>
      </c>
      <c r="FI7" s="59">
        <f t="shared" si="23"/>
        <v>266.41075896727523</v>
      </c>
      <c r="FJ7" s="59">
        <f ca="1">AVERAGE(OFFSET($FI$3,0,0,'Données projet'!$E$16+1,1))-AVERAGE(OFFSET($H$3,0,0,'Données projet'!$E$16+1,1))</f>
        <v>403.23110963096246</v>
      </c>
      <c r="FK7" s="59">
        <f t="shared" si="48"/>
        <v>245.72000393124898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2.9235042735042733</v>
      </c>
      <c r="FZ7" s="12">
        <f>IF('Données projet'!$A$244&gt;35,FZ6+FY7-GH6,IF(A7&lt;'Données projet'!$A$244,$FW$205^A7,IF(A7='Données projet'!$A$244,'Données projet'!$B$244,FZ6+FY7-GH6)))</f>
        <v>1.8158083060704666</v>
      </c>
      <c r="GA7" s="17">
        <f>FZ7*VLOOKUP('Données projet'!$B$17,Paramètres!$A$1:$I$89,3,0)*VLOOKUP('Données projet'!$B$17,Paramètres!$A$1:$I$89,5,0)</f>
        <v>1.7562497936313552</v>
      </c>
      <c r="GB7" s="13">
        <f t="shared" si="49"/>
        <v>0.75799878128462583</v>
      </c>
      <c r="GC7" s="20">
        <f t="shared" si="25"/>
        <v>4.3789829346453333</v>
      </c>
      <c r="GD7" s="59">
        <f t="shared" si="26"/>
        <v>265.93453849020085</v>
      </c>
      <c r="GE7" s="59">
        <f ca="1">AVERAGE(OFFSET($GD$3,0,0,'Données projet'!$E$17+1,1))-AVERAGE(OFFSET($H$3,0,0,'Données projet'!$E$17+1,1))</f>
        <v>336.2911850338175</v>
      </c>
      <c r="GF7" s="59">
        <f t="shared" si="50"/>
        <v>225.01415116995503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2.9235042735042733</v>
      </c>
      <c r="GU7" s="12">
        <f>IF('Données projet'!$A$270&gt;35,GU6+GT7-HC6,IF(A7&lt;'Données projet'!$A$270,$GR$205^A7,IF(A7='Données projet'!$A$270,'Données projet'!$B$270,GU6+GT7-HC6)))</f>
        <v>1.8158083060704666</v>
      </c>
      <c r="GV7" s="17">
        <f>GU7*VLOOKUP('Données projet'!$B$18,Paramètres!$A$1:$I$89,3,0)*VLOOKUP('Données projet'!$B$18,Paramètres!$A$1:$I$89,5,0)</f>
        <v>1.2180442117120689</v>
      </c>
      <c r="GW7" s="13">
        <f t="shared" si="51"/>
        <v>0.54858501186829112</v>
      </c>
      <c r="GX7" s="20">
        <f t="shared" si="28"/>
        <v>3.0768792310691269</v>
      </c>
      <c r="GY7" s="59">
        <f t="shared" si="29"/>
        <v>264.63243478662469</v>
      </c>
      <c r="GZ7" s="59">
        <f ca="1">AVERAGE(OFFSET($GY$3,0,0,'Données projet'!$E$18+1,1))-AVERAGE(OFFSET($H$3,0,0,'Données projet'!$E$18+1,1))</f>
        <v>266.37807768393191</v>
      </c>
      <c r="HA7" s="59">
        <f t="shared" si="52"/>
        <v>168.52019826233425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2.4666666666666668</v>
      </c>
      <c r="N8" s="13">
        <f>IF('Données projet'!$A$36&gt;35,N7+M8-V7,IF(A8&lt;'Données projet'!$A$36,$K$205^A8,IF(A8='Données projet'!$A$36,'Données projet'!$B$36,N7+M8-V7)))</f>
        <v>3.332221851645953</v>
      </c>
      <c r="O8" s="13">
        <f>N8*VLOOKUP('Données projet'!$B$9,Paramètres!$A$1:$I$89,3,0)*VLOOKUP('Données projet'!$B$9,Paramètres!$A$1:$I$89,5,0)</f>
        <v>2.9110290095979048</v>
      </c>
      <c r="P8" s="13">
        <f t="shared" si="33"/>
        <v>1.1846323324451606</v>
      </c>
      <c r="Q8" s="20">
        <f t="shared" si="2"/>
        <v>7.133276837391672</v>
      </c>
      <c r="R8" s="59">
        <f t="shared" si="0"/>
        <v>269.91105461516946</v>
      </c>
      <c r="S8" s="59">
        <f ca="1">AVERAGE(OFFSET($R$3,0,0,'Données projet'!$E$9+1,1))-AVERAGE(OFFSET($H$3,0,0,'Données projet'!$E$9+1,1))</f>
        <v>324.86930206492627</v>
      </c>
      <c r="T8" s="59">
        <f t="shared" si="34"/>
        <v>317.03005098025352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4.0628205128205126</v>
      </c>
      <c r="AI8" s="13">
        <f>IF('Données projet'!$A$62&gt;35,AI7+AH8-AQ7,IF(A8&lt;'Données projet'!$A$62,$AF$205^A8,IF(A8='Données projet'!$A$62,'Données projet'!$B$62,AI7+AH8-AQ7)))</f>
        <v>2.2266817443634719</v>
      </c>
      <c r="AJ8" s="13">
        <f>AI8*VLOOKUP('Données projet'!$B$10,Paramètres!$A$1:$I$89,3,0)*VLOOKUP('Données projet'!$B$10,Paramètres!$A$1:$I$89,5,0)</f>
        <v>2.1189103479362799</v>
      </c>
      <c r="AK8" s="13">
        <f t="shared" si="35"/>
        <v>0.89475707730805443</v>
      </c>
      <c r="AL8" s="20">
        <f t="shared" si="4"/>
        <v>5.2488040989672156</v>
      </c>
      <c r="AM8" s="59">
        <f t="shared" si="5"/>
        <v>268.02658187674501</v>
      </c>
      <c r="AN8" s="59">
        <f ca="1">AVERAGE(OFFSET($AM$3,0,0,'Données projet'!$E$10+1,1))-AVERAGE(OFFSET($H$3,0,0,'Données projet'!$E$10+1,1))</f>
        <v>401.81944956556271</v>
      </c>
      <c r="AO8" s="59">
        <f t="shared" si="36"/>
        <v>292.20785523952651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2.6666666666666665</v>
      </c>
      <c r="BD8" s="12">
        <f>IF('Données projet'!$A$88&gt;35,BD7+BC8-BL7,IF(A8&lt;'Données projet'!$A$88,$BA$205^A8,IF(A8='Données projet'!$A$88,'Données projet'!$B$88,BD7+BC8-BL7)))</f>
        <v>3.4199518933533928</v>
      </c>
      <c r="BE8" s="13">
        <f>BD8*VLOOKUP('Données projet'!$B$11,Paramètres!$A$1:$I$89,3,0)*VLOOKUP('Données projet'!$B$11,Paramètres!$A$1:$I$89,5,0)</f>
        <v>2.6675624768156463</v>
      </c>
      <c r="BF8" s="13">
        <f t="shared" si="37"/>
        <v>1.0966471776471767</v>
      </c>
      <c r="BG8" s="20">
        <f t="shared" si="7"/>
        <v>6.5559984815227494</v>
      </c>
      <c r="BH8" s="59">
        <f t="shared" si="8"/>
        <v>269.33377625930052</v>
      </c>
      <c r="BI8" s="59">
        <f ca="1">AVERAGE(OFFSET($BH$3,0,0,'Données projet'!$E$11+1,1))-AVERAGE(OFFSET($H$3,0,0,'Données projet'!$E$11+1,1))</f>
        <v>288.80569134263209</v>
      </c>
      <c r="BJ8" s="59">
        <f t="shared" si="38"/>
        <v>283.48738729114024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</v>
      </c>
      <c r="BY8" s="12">
        <f>IF('Données projet'!$A$114&gt;35,BY7+BX8-CG7,IF(A8&lt;'Données projet'!$A$114,$BV$205^A8,IF(A8='Données projet'!$A$114,'Données projet'!$B$114,BY7+BX8-CG7)))</f>
        <v>4.2426406871192865</v>
      </c>
      <c r="BZ8" s="13">
        <f>BY8*VLOOKUP('Données projet'!$B$12,Paramètres!$A$1:$I$89,3,0)*VLOOKUP('Données projet'!$B$12,Paramètres!$A$1:$I$89,5,0)</f>
        <v>4.4344080461770785</v>
      </c>
      <c r="CA8" s="13">
        <f t="shared" si="39"/>
        <v>1.7182883611160802</v>
      </c>
      <c r="CB8" s="20">
        <f t="shared" si="10"/>
        <v>10.715946242702252</v>
      </c>
      <c r="CC8" s="59">
        <f t="shared" si="11"/>
        <v>273.49372402048004</v>
      </c>
      <c r="CD8" s="59">
        <f ca="1">AVERAGE(OFFSET($CC$3,0,0,'Données projet'!$E$12+1,1))-AVERAGE(OFFSET($H$3,0,0,'Données projet'!$E$12+1,1))</f>
        <v>352.22281362023102</v>
      </c>
      <c r="CE8" s="59">
        <f t="shared" si="40"/>
        <v>310.2353747925161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2.9235042735042733</v>
      </c>
      <c r="CT8" s="12">
        <f>IF('Données projet'!$A$140&gt;35,CT7+CS8-DB7,IF(A8&lt;'Données projet'!$A$140,$CQ$205^A8,IF(A8='Données projet'!$A$140,'Données projet'!$B$140,CT7+CS8-DB7)))</f>
        <v>2.1078393020416879</v>
      </c>
      <c r="CU8" s="17">
        <f>CT8*VLOOKUP('Données projet'!$B$13,Paramètres!$A$1:$I$89,3,0)*VLOOKUP('Données projet'!$B$13,Paramètres!$A$1:$I$89,5,0)</f>
        <v>1.9071730004873191</v>
      </c>
      <c r="CV8" s="13">
        <f t="shared" si="41"/>
        <v>0.81527616985217366</v>
      </c>
      <c r="CW8" s="20">
        <f t="shared" si="13"/>
        <v>4.7415989716746161</v>
      </c>
      <c r="CX8" s="59">
        <f t="shared" si="14"/>
        <v>267.51937674945236</v>
      </c>
      <c r="CY8" s="59">
        <f ca="1">AVERAGE(OFFSET($CX$3,0,0,'Données projet'!$E$13+1,1))-AVERAGE(OFFSET($H$3,0,0,'Données projet'!$E$13+1,1))</f>
        <v>345.49688858037996</v>
      </c>
      <c r="CZ8" s="59">
        <f t="shared" si="42"/>
        <v>213.15872113755023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2.9235042735042733</v>
      </c>
      <c r="DO8" s="12">
        <f>IF('Données projet'!$A$166&gt;35,DO7+DN8-DW7,IF(A8&lt;'Données projet'!$A$166,$DL$205^A8,IF(A8='Données projet'!$A$166,'Données projet'!$B$166,DO7+DN8-DW7)))</f>
        <v>2.1078393020416879</v>
      </c>
      <c r="DP8" s="17">
        <f>DO8*VLOOKUP('Données projet'!$B$14,Paramètres!$A$1:$I$89,3,0)*VLOOKUP('Données projet'!$B$14,Paramètres!$A$1:$I$89,5,0)</f>
        <v>2.1373490522702716</v>
      </c>
      <c r="DQ8" s="13">
        <f t="shared" si="43"/>
        <v>0.90163344943134527</v>
      </c>
      <c r="DR8" s="20">
        <f t="shared" si="16"/>
        <v>5.2928945237969822</v>
      </c>
      <c r="DS8" s="59">
        <f t="shared" si="17"/>
        <v>268.07067230157475</v>
      </c>
      <c r="DT8" s="59">
        <f ca="1">AVERAGE(OFFSET($DS$3,0,0,'Données projet'!$E$14+1,1))-AVERAGE(OFFSET($H$3,0,0,'Données projet'!$E$14+1,1))</f>
        <v>382.26108489744581</v>
      </c>
      <c r="DU8" s="59">
        <f t="shared" si="44"/>
        <v>233.89423996158826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3.9732905982905979</v>
      </c>
      <c r="EJ8" s="12">
        <f>IF('Données projet'!$A$192&gt;35,EJ7+EI8-ER7,IF(A8&lt;'Données projet'!$A$192,$EG$205^A8,IF(A8='Données projet'!$A$192,'Données projet'!$B$192,EJ7+EI8-ER7)))</f>
        <v>2.2184276219114709</v>
      </c>
      <c r="EK8" s="17">
        <f>EJ8*VLOOKUP('Données projet'!$B$15,Paramètres!$A$1:$I$89,3,0)*VLOOKUP('Données projet'!$B$15,Paramètres!$A$1:$I$89,5,0)</f>
        <v>1.8688034286982234</v>
      </c>
      <c r="EL8" s="13">
        <f t="shared" si="45"/>
        <v>0.80076610412537519</v>
      </c>
      <c r="EM8" s="20">
        <f t="shared" si="19"/>
        <v>4.6495002696677679</v>
      </c>
      <c r="EN8" s="59">
        <f t="shared" si="20"/>
        <v>267.42727804744555</v>
      </c>
      <c r="EO8" s="59">
        <f ca="1">AVERAGE(OFFSET($EN$3,0,0,'Données projet'!$E$15+1,1))-AVERAGE(OFFSET($H$3,0,0,'Données projet'!$E$15+1,1))</f>
        <v>312.48716825299158</v>
      </c>
      <c r="EP8" s="59">
        <f t="shared" si="46"/>
        <v>258.68277822755357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2.9235042735042733</v>
      </c>
      <c r="FE8" s="12">
        <f>IF('Données projet'!$A$218&gt;35,FE7+FD8-FM7,IF(A8&lt;'Données projet'!$A$218,$FB$205^A8,IF(A8='Données projet'!$A$218,'Données projet'!$B$218,FE7+FD8-FM7)))</f>
        <v>2.1078393020416879</v>
      </c>
      <c r="FF8" s="17">
        <f>FE8*VLOOKUP('Données projet'!$B$16,Paramètres!$A$1:$I$89,3,0)*VLOOKUP('Données projet'!$B$16,Paramètres!$A$1:$I$89,5,0)</f>
        <v>2.2688782247176729</v>
      </c>
      <c r="FG8" s="13">
        <f t="shared" si="47"/>
        <v>0.95048841915039417</v>
      </c>
      <c r="FH8" s="20">
        <f t="shared" si="22"/>
        <v>5.6070635714035504</v>
      </c>
      <c r="FI8" s="59">
        <f t="shared" si="23"/>
        <v>268.38484134918133</v>
      </c>
      <c r="FJ8" s="59">
        <f ca="1">AVERAGE(OFFSET($FI$3,0,0,'Données projet'!$E$16+1,1))-AVERAGE(OFFSET($H$3,0,0,'Données projet'!$E$16+1,1))</f>
        <v>403.23110963096246</v>
      </c>
      <c r="FK8" s="59">
        <f t="shared" si="48"/>
        <v>245.72000393124898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2.9235042735042733</v>
      </c>
      <c r="FZ8" s="12">
        <f>IF('Données projet'!$A$244&gt;35,FZ7+FY8-GH7,IF(A8&lt;'Données projet'!$A$244,$FW$205^A8,IF(A8='Données projet'!$A$244,'Données projet'!$B$244,FZ7+FY8-GH7)))</f>
        <v>2.1078393020416879</v>
      </c>
      <c r="GA8" s="17">
        <f>FZ8*VLOOKUP('Données projet'!$B$17,Paramètres!$A$1:$I$89,3,0)*VLOOKUP('Données projet'!$B$17,Paramètres!$A$1:$I$89,5,0)</f>
        <v>2.0387021729347206</v>
      </c>
      <c r="GB8" s="13">
        <f t="shared" si="49"/>
        <v>0.86476294129269682</v>
      </c>
      <c r="GC8" s="20">
        <f t="shared" si="25"/>
        <v>5.0568684072794188</v>
      </c>
      <c r="GD8" s="59">
        <f t="shared" si="26"/>
        <v>267.83464618505718</v>
      </c>
      <c r="GE8" s="59">
        <f ca="1">AVERAGE(OFFSET($GD$3,0,0,'Données projet'!$E$17+1,1))-AVERAGE(OFFSET($H$3,0,0,'Données projet'!$E$17+1,1))</f>
        <v>336.2911850338175</v>
      </c>
      <c r="GF8" s="59">
        <f t="shared" si="50"/>
        <v>225.01415116995503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2.9235042735042733</v>
      </c>
      <c r="GU8" s="12">
        <f>IF('Données projet'!$A$270&gt;35,GU7+GT8-HC7,IF(A8&lt;'Données projet'!$A$270,$GR$205^A8,IF(A8='Données projet'!$A$270,'Données projet'!$B$270,GU7+GT8-HC7)))</f>
        <v>2.1078393020416879</v>
      </c>
      <c r="GV8" s="17">
        <f>GU8*VLOOKUP('Données projet'!$B$18,Paramètres!$A$1:$I$89,3,0)*VLOOKUP('Données projet'!$B$18,Paramètres!$A$1:$I$89,5,0)</f>
        <v>1.4139386038095643</v>
      </c>
      <c r="GW8" s="13">
        <f t="shared" si="51"/>
        <v>0.6258532337061613</v>
      </c>
      <c r="GX8" s="20">
        <f t="shared" si="28"/>
        <v>3.5526374503398883</v>
      </c>
      <c r="GY8" s="59">
        <f t="shared" si="29"/>
        <v>266.33041522811766</v>
      </c>
      <c r="GZ8" s="59">
        <f ca="1">AVERAGE(OFFSET($GY$3,0,0,'Données projet'!$E$18+1,1))-AVERAGE(OFFSET($H$3,0,0,'Données projet'!$E$18+1,1))</f>
        <v>266.37807768393191</v>
      </c>
      <c r="HA8" s="59">
        <f t="shared" si="52"/>
        <v>168.52019826233425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2.4666666666666668</v>
      </c>
      <c r="N9" s="13">
        <f>IF('Données projet'!$A$36&gt;35,N8+M9-V8,IF(A9&lt;'Données projet'!$A$36,$K$205^A9,IF(A9='Données projet'!$A$36,'Données projet'!$B$36,N8+M9-V8)))</f>
        <v>4.2391685997738069</v>
      </c>
      <c r="O9" s="13">
        <f>N9*VLOOKUP('Données projet'!$B$9,Paramètres!$A$1:$I$89,3,0)*VLOOKUP('Données projet'!$B$9,Paramètres!$A$1:$I$89,5,0)</f>
        <v>3.7033376887623981</v>
      </c>
      <c r="P9" s="13">
        <f t="shared" si="33"/>
        <v>1.4654166376047331</v>
      </c>
      <c r="Q9" s="20">
        <f t="shared" si="2"/>
        <v>9.002247118422753</v>
      </c>
      <c r="R9" s="59">
        <f t="shared" si="0"/>
        <v>273.00224711842276</v>
      </c>
      <c r="S9" s="59">
        <f ca="1">AVERAGE(OFFSET($R$3,0,0,'Données projet'!$E$9+1,1))-AVERAGE(OFFSET($H$3,0,0,'Données projet'!$E$9+1,1))</f>
        <v>324.86930206492627</v>
      </c>
      <c r="T9" s="59">
        <f t="shared" si="34"/>
        <v>317.03005098025352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4.0628205128205126</v>
      </c>
      <c r="AI9" s="13">
        <f>IF('Données projet'!$A$62&gt;35,AI8+AH9-AQ8,IF(A9&lt;'Données projet'!$A$62,$AF$205^A9,IF(A9='Données projet'!$A$62,'Données projet'!$B$62,AI8+AH9-AQ8)))</f>
        <v>2.6133030675536255</v>
      </c>
      <c r="AJ9" s="13">
        <f>AI9*VLOOKUP('Données projet'!$B$10,Paramètres!$A$1:$I$89,3,0)*VLOOKUP('Données projet'!$B$10,Paramètres!$A$1:$I$89,5,0)</f>
        <v>2.4868191990840303</v>
      </c>
      <c r="AK9" s="13">
        <f t="shared" si="35"/>
        <v>1.030726140054228</v>
      </c>
      <c r="AL9" s="20">
        <f t="shared" si="4"/>
        <v>6.1263914656658001</v>
      </c>
      <c r="AM9" s="59">
        <f t="shared" si="5"/>
        <v>270.12639146566579</v>
      </c>
      <c r="AN9" s="59">
        <f ca="1">AVERAGE(OFFSET($AM$3,0,0,'Données projet'!$E$10+1,1))-AVERAGE(OFFSET($H$3,0,0,'Données projet'!$E$10+1,1))</f>
        <v>401.81944956556271</v>
      </c>
      <c r="AO9" s="59">
        <f t="shared" si="36"/>
        <v>292.20785523952651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2.6666666666666665</v>
      </c>
      <c r="BD9" s="12">
        <f>IF('Données projet'!$A$88&gt;35,BD8+BC9-BL8,IF(A9&lt;'Données projet'!$A$88,$BA$205^A9,IF(A9='Données projet'!$A$88,'Données projet'!$B$88,BD8+BC9-BL8)))</f>
        <v>4.3734482957731098</v>
      </c>
      <c r="BE9" s="13">
        <f>BD9*VLOOKUP('Données projet'!$B$11,Paramètres!$A$1:$I$89,3,0)*VLOOKUP('Données projet'!$B$11,Paramètres!$A$1:$I$89,5,0)</f>
        <v>3.4112896707030256</v>
      </c>
      <c r="BF9" s="13">
        <f t="shared" si="37"/>
        <v>1.3628213830192535</v>
      </c>
      <c r="BG9" s="20">
        <f t="shared" si="7"/>
        <v>8.3149100852329703</v>
      </c>
      <c r="BH9" s="59">
        <f t="shared" si="8"/>
        <v>272.31491008523295</v>
      </c>
      <c r="BI9" s="59">
        <f ca="1">AVERAGE(OFFSET($BH$3,0,0,'Données projet'!$E$11+1,1))-AVERAGE(OFFSET($H$3,0,0,'Données projet'!$E$11+1,1))</f>
        <v>288.80569134263209</v>
      </c>
      <c r="BJ9" s="59">
        <f t="shared" si="38"/>
        <v>283.48738729114024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</v>
      </c>
      <c r="BY9" s="12">
        <f>IF('Données projet'!$A$114&gt;35,BY8+BX9-CG8,IF(A9&lt;'Données projet'!$A$114,$BV$205^A9,IF(A9='Données projet'!$A$114,'Données projet'!$B$114,BY8+BX9-CG8)))</f>
        <v>5.6645250677694134</v>
      </c>
      <c r="BZ9" s="13">
        <f>BY9*VLOOKUP('Données projet'!$B$12,Paramètres!$A$1:$I$89,3,0)*VLOOKUP('Données projet'!$B$12,Paramètres!$A$1:$I$89,5,0)</f>
        <v>5.920561600832591</v>
      </c>
      <c r="CA9" s="13">
        <f t="shared" si="39"/>
        <v>2.2182573385472719</v>
      </c>
      <c r="CB9" s="20">
        <f t="shared" si="10"/>
        <v>14.175109652753262</v>
      </c>
      <c r="CC9" s="59">
        <f t="shared" si="11"/>
        <v>278.17510965275324</v>
      </c>
      <c r="CD9" s="59">
        <f ca="1">AVERAGE(OFFSET($CC$3,0,0,'Données projet'!$E$12+1,1))-AVERAGE(OFFSET($H$3,0,0,'Données projet'!$E$12+1,1))</f>
        <v>352.22281362023102</v>
      </c>
      <c r="CE9" s="59">
        <f t="shared" si="40"/>
        <v>310.2353747925161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2.9235042735042733</v>
      </c>
      <c r="CT9" s="12">
        <f>IF('Données projet'!$A$140&gt;35,CT8+CS9-DB8,IF(A9&lt;'Données projet'!$A$140,$CQ$205^A9,IF(A9='Données projet'!$A$140,'Données projet'!$B$140,CT8+CS9-DB8)))</f>
        <v>2.4468367659615553</v>
      </c>
      <c r="CU9" s="17">
        <f>CT9*VLOOKUP('Données projet'!$B$13,Paramètres!$A$1:$I$89,3,0)*VLOOKUP('Données projet'!$B$13,Paramètres!$A$1:$I$89,5,0)</f>
        <v>2.2138979058420154</v>
      </c>
      <c r="CV9" s="13">
        <f t="shared" si="41"/>
        <v>0.93010785243265093</v>
      </c>
      <c r="CW9" s="20">
        <f t="shared" si="13"/>
        <v>5.4758100289950429</v>
      </c>
      <c r="CX9" s="59">
        <f t="shared" si="14"/>
        <v>269.47581002899506</v>
      </c>
      <c r="CY9" s="59">
        <f ca="1">AVERAGE(OFFSET($CX$3,0,0,'Données projet'!$E$13+1,1))-AVERAGE(OFFSET($H$3,0,0,'Données projet'!$E$13+1,1))</f>
        <v>345.49688858037996</v>
      </c>
      <c r="CZ9" s="59">
        <f t="shared" si="42"/>
        <v>213.15872113755023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2.9235042735042733</v>
      </c>
      <c r="DO9" s="12">
        <f>IF('Données projet'!$A$166&gt;35,DO8+DN9-DW8,IF(A9&lt;'Données projet'!$A$166,$DL$205^A9,IF(A9='Données projet'!$A$166,'Données projet'!$B$166,DO8+DN9-DW8)))</f>
        <v>2.4468367659615553</v>
      </c>
      <c r="DP9" s="17">
        <f>DO9*VLOOKUP('Données projet'!$B$14,Paramètres!$A$1:$I$89,3,0)*VLOOKUP('Données projet'!$B$14,Paramètres!$A$1:$I$89,5,0)</f>
        <v>2.4810924806850174</v>
      </c>
      <c r="DQ9" s="13">
        <f t="shared" si="43"/>
        <v>1.0286285584479797</v>
      </c>
      <c r="DR9" s="20">
        <f t="shared" si="16"/>
        <v>6.1127641431566362</v>
      </c>
      <c r="DS9" s="59">
        <f t="shared" si="17"/>
        <v>270.11276414315665</v>
      </c>
      <c r="DT9" s="59">
        <f ca="1">AVERAGE(OFFSET($DS$3,0,0,'Données projet'!$E$14+1,1))-AVERAGE(OFFSET($H$3,0,0,'Données projet'!$E$14+1,1))</f>
        <v>382.26108489744581</v>
      </c>
      <c r="DU9" s="59">
        <f t="shared" si="44"/>
        <v>233.89423996158826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3.9732905982905979</v>
      </c>
      <c r="EJ9" s="12">
        <f>IF('Données projet'!$A$192&gt;35,EJ8+EI9-ER8,IF(A9&lt;'Données projet'!$A$192,$EG$205^A9,IF(A9='Données projet'!$A$192,'Données projet'!$B$192,EJ8+EI9-ER8)))</f>
        <v>2.6016826266986901</v>
      </c>
      <c r="EK9" s="17">
        <f>EJ9*VLOOKUP('Données projet'!$B$15,Paramètres!$A$1:$I$89,3,0)*VLOOKUP('Données projet'!$B$15,Paramètres!$A$1:$I$89,5,0)</f>
        <v>2.1916574447309767</v>
      </c>
      <c r="EL9" s="13">
        <f t="shared" si="45"/>
        <v>0.92184690205464315</v>
      </c>
      <c r="EM9" s="20">
        <f t="shared" si="19"/>
        <v>5.422686737318287</v>
      </c>
      <c r="EN9" s="59">
        <f t="shared" si="20"/>
        <v>269.42268673731826</v>
      </c>
      <c r="EO9" s="59">
        <f ca="1">AVERAGE(OFFSET($EN$3,0,0,'Données projet'!$E$15+1,1))-AVERAGE(OFFSET($H$3,0,0,'Données projet'!$E$15+1,1))</f>
        <v>312.48716825299158</v>
      </c>
      <c r="EP9" s="59">
        <f t="shared" si="46"/>
        <v>258.68277822755357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2.9235042735042733</v>
      </c>
      <c r="FE9" s="12">
        <f>IF('Données projet'!$A$218&gt;35,FE8+FD9-FM8,IF(A9&lt;'Données projet'!$A$218,$FB$205^A9,IF(A9='Données projet'!$A$218,'Données projet'!$B$218,FE8+FD9-FM8)))</f>
        <v>2.4468367659615553</v>
      </c>
      <c r="FF9" s="17">
        <f>FE9*VLOOKUP('Données projet'!$B$16,Paramètres!$A$1:$I$89,3,0)*VLOOKUP('Données projet'!$B$16,Paramètres!$A$1:$I$89,5,0)</f>
        <v>2.6337750948810181</v>
      </c>
      <c r="FG9" s="13">
        <f t="shared" si="47"/>
        <v>1.0843647526927913</v>
      </c>
      <c r="FH9" s="20">
        <f t="shared" si="22"/>
        <v>6.4757602345243841</v>
      </c>
      <c r="FI9" s="59">
        <f t="shared" si="23"/>
        <v>270.47576023452439</v>
      </c>
      <c r="FJ9" s="59">
        <f ca="1">AVERAGE(OFFSET($FI$3,0,0,'Données projet'!$E$16+1,1))-AVERAGE(OFFSET($H$3,0,0,'Données projet'!$E$16+1,1))</f>
        <v>403.23110963096246</v>
      </c>
      <c r="FK9" s="59">
        <f t="shared" si="48"/>
        <v>245.72000393124898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2.9235042735042733</v>
      </c>
      <c r="FZ9" s="12">
        <f>IF('Données projet'!$A$244&gt;35,FZ8+FY9-GH8,IF(A9&lt;'Données projet'!$A$244,$FW$205^A9,IF(A9='Données projet'!$A$244,'Données projet'!$B$244,FZ8+FY9-GH8)))</f>
        <v>2.4468367659615553</v>
      </c>
      <c r="GA9" s="17">
        <f>FZ9*VLOOKUP('Données projet'!$B$17,Paramètres!$A$1:$I$89,3,0)*VLOOKUP('Données projet'!$B$17,Paramètres!$A$1:$I$89,5,0)</f>
        <v>2.3665805200380166</v>
      </c>
      <c r="GB9" s="13">
        <f t="shared" si="49"/>
        <v>0.9865648376977989</v>
      </c>
      <c r="GC9" s="20">
        <f t="shared" si="25"/>
        <v>5.8400614980565448</v>
      </c>
      <c r="GD9" s="59">
        <f t="shared" si="26"/>
        <v>269.84006149805657</v>
      </c>
      <c r="GE9" s="59">
        <f ca="1">AVERAGE(OFFSET($GD$3,0,0,'Données projet'!$E$17+1,1))-AVERAGE(OFFSET($H$3,0,0,'Données projet'!$E$17+1,1))</f>
        <v>336.2911850338175</v>
      </c>
      <c r="GF9" s="59">
        <f t="shared" si="50"/>
        <v>225.01415116995503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2.9235042735042733</v>
      </c>
      <c r="GU9" s="12">
        <f>IF('Données projet'!$A$270&gt;35,GU8+GT9-HC8,IF(A9&lt;'Données projet'!$A$270,$GR$205^A9,IF(A9='Données projet'!$A$270,'Données projet'!$B$270,GU8+GT9-HC8)))</f>
        <v>2.4468367659615553</v>
      </c>
      <c r="GV9" s="17">
        <f>GU9*VLOOKUP('Données projet'!$B$18,Paramètres!$A$1:$I$89,3,0)*VLOOKUP('Données projet'!$B$18,Paramètres!$A$1:$I$89,5,0)</f>
        <v>1.6413381026070115</v>
      </c>
      <c r="GW9" s="13">
        <f t="shared" si="51"/>
        <v>0.71400468781764626</v>
      </c>
      <c r="GX9" s="20">
        <f t="shared" si="28"/>
        <v>4.1022220266562783</v>
      </c>
      <c r="GY9" s="59">
        <f t="shared" si="29"/>
        <v>268.10222202665625</v>
      </c>
      <c r="GZ9" s="59">
        <f ca="1">AVERAGE(OFFSET($GY$3,0,0,'Données projet'!$E$18+1,1))-AVERAGE(OFFSET($H$3,0,0,'Données projet'!$E$18+1,1))</f>
        <v>266.37807768393191</v>
      </c>
      <c r="HA9" s="59">
        <f t="shared" si="52"/>
        <v>168.52019826233425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2.4666666666666668</v>
      </c>
      <c r="N10" s="13">
        <f>IF('Données projet'!$A$36&gt;35,N9+M10-V9,IF(A10&lt;'Données projet'!$A$36,$K$205^A10,IF(A10='Données projet'!$A$36,'Données projet'!$B$36,N9+M10-V9)))</f>
        <v>5.3929633792034757</v>
      </c>
      <c r="O10" s="13">
        <f>N10*VLOOKUP('Données projet'!$B$9,Paramètres!$A$1:$I$89,3,0)*VLOOKUP('Données projet'!$B$9,Paramètres!$A$1:$I$89,5,0)</f>
        <v>4.711292808072157</v>
      </c>
      <c r="P10" s="13">
        <f t="shared" si="33"/>
        <v>1.8127530905190552</v>
      </c>
      <c r="Q10" s="20">
        <f t="shared" si="2"/>
        <v>11.362713273379695</v>
      </c>
      <c r="R10" s="59">
        <f t="shared" si="0"/>
        <v>276.58493549560194</v>
      </c>
      <c r="S10" s="59">
        <f ca="1">AVERAGE(OFFSET($R$3,0,0,'Données projet'!$E$9+1,1))-AVERAGE(OFFSET($H$3,0,0,'Données projet'!$E$9+1,1))</f>
        <v>324.86930206492627</v>
      </c>
      <c r="T10" s="59">
        <f t="shared" si="34"/>
        <v>317.03005098025352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4.0628205128205126</v>
      </c>
      <c r="AI10" s="13">
        <f>IF('Données projet'!$A$62&gt;35,AI9+AH10-AQ9,IF(A10&lt;'Données projet'!$A$62,$AF$205^A10,IF(A10='Données projet'!$A$62,'Données projet'!$B$62,AI9+AH10-AQ9)))</f>
        <v>3.067053897654088</v>
      </c>
      <c r="AJ10" s="13">
        <f>AI10*VLOOKUP('Données projet'!$B$10,Paramètres!$A$1:$I$89,3,0)*VLOOKUP('Données projet'!$B$10,Paramètres!$A$1:$I$89,5,0)</f>
        <v>2.9186084890076298</v>
      </c>
      <c r="AK10" s="13">
        <f t="shared" si="35"/>
        <v>1.187357331654072</v>
      </c>
      <c r="AL10" s="20">
        <f t="shared" si="4"/>
        <v>7.1512238043191303</v>
      </c>
      <c r="AM10" s="59">
        <f t="shared" si="5"/>
        <v>272.37344602654139</v>
      </c>
      <c r="AN10" s="59">
        <f ca="1">AVERAGE(OFFSET($AM$3,0,0,'Données projet'!$E$10+1,1))-AVERAGE(OFFSET($H$3,0,0,'Données projet'!$E$10+1,1))</f>
        <v>401.81944956556271</v>
      </c>
      <c r="AO10" s="59">
        <f t="shared" si="36"/>
        <v>292.20785523952651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2.6666666666666665</v>
      </c>
      <c r="BD10" s="12">
        <f>IF('Données projet'!$A$88&gt;35,BD9+BC10-BL9,IF(A10&lt;'Données projet'!$A$88,$BA$205^A10,IF(A10='Données projet'!$A$88,'Données projet'!$B$88,BD9+BC10-BL9)))</f>
        <v>5.5927833467405659</v>
      </c>
      <c r="BE10" s="13">
        <f>BD10*VLOOKUP('Données projet'!$B$11,Paramètres!$A$1:$I$89,3,0)*VLOOKUP('Données projet'!$B$11,Paramètres!$A$1:$I$89,5,0)</f>
        <v>4.3623710104576414</v>
      </c>
      <c r="BF10" s="13">
        <f t="shared" si="37"/>
        <v>1.6936004212396314</v>
      </c>
      <c r="BG10" s="20">
        <f t="shared" si="7"/>
        <v>10.54748357687275</v>
      </c>
      <c r="BH10" s="59">
        <f t="shared" si="8"/>
        <v>275.76970579909499</v>
      </c>
      <c r="BI10" s="59">
        <f ca="1">AVERAGE(OFFSET($BH$3,0,0,'Données projet'!$E$11+1,1))-AVERAGE(OFFSET($H$3,0,0,'Données projet'!$E$11+1,1))</f>
        <v>288.80569134263209</v>
      </c>
      <c r="BJ10" s="59">
        <f t="shared" si="38"/>
        <v>283.48738729114024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</v>
      </c>
      <c r="BY10" s="12">
        <f>IF('Données projet'!$A$114&gt;35,BY9+BX10-CG9,IF(A10&lt;'Données projet'!$A$114,$BV$205^A10,IF(A10='Données projet'!$A$114,'Données projet'!$B$114,BY9+BX10-CG9)))</f>
        <v>7.5629417171254145</v>
      </c>
      <c r="BZ10" s="13">
        <f>BY10*VLOOKUP('Données projet'!$B$12,Paramètres!$A$1:$I$89,3,0)*VLOOKUP('Données projet'!$B$12,Paramètres!$A$1:$I$89,5,0)</f>
        <v>7.9047866827394841</v>
      </c>
      <c r="CA10" s="13">
        <f t="shared" si="39"/>
        <v>2.8637018857665457</v>
      </c>
      <c r="CB10" s="20">
        <f t="shared" si="10"/>
        <v>18.755117590148</v>
      </c>
      <c r="CC10" s="59">
        <f t="shared" si="11"/>
        <v>283.97733981237025</v>
      </c>
      <c r="CD10" s="59">
        <f ca="1">AVERAGE(OFFSET($CC$3,0,0,'Données projet'!$E$12+1,1))-AVERAGE(OFFSET($H$3,0,0,'Données projet'!$E$12+1,1))</f>
        <v>352.22281362023102</v>
      </c>
      <c r="CE10" s="59">
        <f t="shared" si="40"/>
        <v>310.2353747925161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2.9235042735042733</v>
      </c>
      <c r="CT10" s="12">
        <f>IF('Données projet'!$A$140&gt;35,CT9+CS10-DB9,IF(A10&lt;'Données projet'!$A$140,$CQ$205^A10,IF(A10='Données projet'!$A$140,'Données projet'!$B$140,CT9+CS10-DB9)))</f>
        <v>2.8403541738035183</v>
      </c>
      <c r="CU10" s="17">
        <f>CT10*VLOOKUP('Données projet'!$B$13,Paramètres!$A$1:$I$89,3,0)*VLOOKUP('Données projet'!$B$13,Paramètres!$A$1:$I$89,5,0)</f>
        <v>2.5699524564574232</v>
      </c>
      <c r="CV10" s="13">
        <f t="shared" si="41"/>
        <v>1.0611135823014897</v>
      </c>
      <c r="CW10" s="20">
        <f t="shared" si="13"/>
        <v>6.3241066841717739</v>
      </c>
      <c r="CX10" s="59">
        <f t="shared" si="14"/>
        <v>271.54632890639402</v>
      </c>
      <c r="CY10" s="59">
        <f ca="1">AVERAGE(OFFSET($CX$3,0,0,'Données projet'!$E$13+1,1))-AVERAGE(OFFSET($H$3,0,0,'Données projet'!$E$13+1,1))</f>
        <v>345.49688858037996</v>
      </c>
      <c r="CZ10" s="59">
        <f t="shared" si="42"/>
        <v>213.15872113755023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2.9235042735042733</v>
      </c>
      <c r="DO10" s="12">
        <f>IF('Données projet'!$A$166&gt;35,DO9+DN10-DW9,IF(A10&lt;'Données projet'!$A$166,$DL$205^A10,IF(A10='Données projet'!$A$166,'Données projet'!$B$166,DO9+DN10-DW9)))</f>
        <v>2.8403541738035183</v>
      </c>
      <c r="DP10" s="17">
        <f>DO10*VLOOKUP('Données projet'!$B$14,Paramètres!$A$1:$I$89,3,0)*VLOOKUP('Données projet'!$B$14,Paramètres!$A$1:$I$89,5,0)</f>
        <v>2.8801191322367679</v>
      </c>
      <c r="DQ10" s="13">
        <f t="shared" si="43"/>
        <v>1.1735109338746152</v>
      </c>
      <c r="DR10" s="20">
        <f t="shared" si="16"/>
        <v>7.0600723651439914</v>
      </c>
      <c r="DS10" s="59">
        <f t="shared" si="17"/>
        <v>272.28229458736621</v>
      </c>
      <c r="DT10" s="59">
        <f ca="1">AVERAGE(OFFSET($DS$3,0,0,'Données projet'!$E$14+1,1))-AVERAGE(OFFSET($H$3,0,0,'Données projet'!$E$14+1,1))</f>
        <v>382.26108489744581</v>
      </c>
      <c r="DU10" s="59">
        <f t="shared" si="44"/>
        <v>233.89423996158826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3.9732905982905979</v>
      </c>
      <c r="EJ10" s="12">
        <f>IF('Données projet'!$A$192&gt;35,EJ9+EI10-ER9,IF(A10&lt;'Données projet'!$A$192,$EG$205^A10,IF(A10='Données projet'!$A$192,'Données projet'!$B$192,EJ9+EI10-ER9)))</f>
        <v>3.0511486708922311</v>
      </c>
      <c r="EK10" s="17">
        <f>EJ10*VLOOKUP('Données projet'!$B$15,Paramètres!$A$1:$I$89,3,0)*VLOOKUP('Données projet'!$B$15,Paramètres!$A$1:$I$89,5,0)</f>
        <v>2.5702876403596155</v>
      </c>
      <c r="EL10" s="13">
        <f t="shared" si="45"/>
        <v>1.0612358670649857</v>
      </c>
      <c r="EM10" s="20">
        <f t="shared" si="19"/>
        <v>6.324903442097848</v>
      </c>
      <c r="EN10" s="59">
        <f t="shared" si="20"/>
        <v>271.54712566432005</v>
      </c>
      <c r="EO10" s="59">
        <f ca="1">AVERAGE(OFFSET($EN$3,0,0,'Données projet'!$E$15+1,1))-AVERAGE(OFFSET($H$3,0,0,'Données projet'!$E$15+1,1))</f>
        <v>312.48716825299158</v>
      </c>
      <c r="EP10" s="59">
        <f t="shared" si="46"/>
        <v>258.68277822755357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2.9235042735042733</v>
      </c>
      <c r="FE10" s="12">
        <f>IF('Données projet'!$A$218&gt;35,FE9+FD10-FM9,IF(A10&lt;'Données projet'!$A$218,$FB$205^A10,IF(A10='Données projet'!$A$218,'Données projet'!$B$218,FE9+FD10-FM9)))</f>
        <v>2.8403541738035183</v>
      </c>
      <c r="FF10" s="17">
        <f>FE10*VLOOKUP('Données projet'!$B$16,Paramètres!$A$1:$I$89,3,0)*VLOOKUP('Données projet'!$B$16,Paramètres!$A$1:$I$89,5,0)</f>
        <v>3.057357232682107</v>
      </c>
      <c r="FG10" s="13">
        <f t="shared" si="47"/>
        <v>1.237097573407095</v>
      </c>
      <c r="FH10" s="20">
        <f t="shared" si="22"/>
        <v>7.4795087872720272</v>
      </c>
      <c r="FI10" s="59">
        <f t="shared" si="23"/>
        <v>272.70173100949427</v>
      </c>
      <c r="FJ10" s="59">
        <f ca="1">AVERAGE(OFFSET($FI$3,0,0,'Données projet'!$E$16+1,1))-AVERAGE(OFFSET($H$3,0,0,'Données projet'!$E$16+1,1))</f>
        <v>403.23110963096246</v>
      </c>
      <c r="FK10" s="59">
        <f t="shared" si="48"/>
        <v>245.72000393124898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2.9235042735042733</v>
      </c>
      <c r="FZ10" s="12">
        <f>IF('Données projet'!$A$244&gt;35,FZ9+FY10-GH9,IF(A10&lt;'Données projet'!$A$244,$FW$205^A10,IF(A10='Données projet'!$A$244,'Données projet'!$B$244,FZ9+FY10-GH9)))</f>
        <v>2.8403541738035183</v>
      </c>
      <c r="GA10" s="17">
        <f>FZ10*VLOOKUP('Données projet'!$B$17,Paramètres!$A$1:$I$89,3,0)*VLOOKUP('Données projet'!$B$17,Paramètres!$A$1:$I$89,5,0)</f>
        <v>2.7471905569027628</v>
      </c>
      <c r="GB10" s="13">
        <f t="shared" si="49"/>
        <v>1.1255225362996297</v>
      </c>
      <c r="GC10" s="20">
        <f t="shared" si="25"/>
        <v>6.7449753039941669</v>
      </c>
      <c r="GD10" s="59">
        <f t="shared" si="26"/>
        <v>271.96719752621641</v>
      </c>
      <c r="GE10" s="59">
        <f ca="1">AVERAGE(OFFSET($GD$3,0,0,'Données projet'!$E$17+1,1))-AVERAGE(OFFSET($H$3,0,0,'Données projet'!$E$17+1,1))</f>
        <v>336.2911850338175</v>
      </c>
      <c r="GF10" s="59">
        <f t="shared" si="50"/>
        <v>225.01415116995503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2.9235042735042733</v>
      </c>
      <c r="GU10" s="12">
        <f>IF('Données projet'!$A$270&gt;35,GU9+GT10-HC9,IF(A10&lt;'Données projet'!$A$270,$GR$205^A10,IF(A10='Données projet'!$A$270,'Données projet'!$B$270,GU9+GT10-HC9)))</f>
        <v>2.8403541738035183</v>
      </c>
      <c r="GV10" s="17">
        <f>GU10*VLOOKUP('Données projet'!$B$18,Paramètres!$A$1:$I$89,3,0)*VLOOKUP('Données projet'!$B$18,Paramètres!$A$1:$I$89,5,0)</f>
        <v>1.9053095797874002</v>
      </c>
      <c r="GW10" s="13">
        <f t="shared" si="51"/>
        <v>0.81457227792311349</v>
      </c>
      <c r="GX10" s="20">
        <f t="shared" si="28"/>
        <v>4.7371275688458114</v>
      </c>
      <c r="GY10" s="59">
        <f t="shared" si="29"/>
        <v>269.95934979106806</v>
      </c>
      <c r="GZ10" s="59">
        <f ca="1">AVERAGE(OFFSET($GY$3,0,0,'Données projet'!$E$18+1,1))-AVERAGE(OFFSET($H$3,0,0,'Données projet'!$E$18+1,1))</f>
        <v>266.37807768393191</v>
      </c>
      <c r="HA10" s="59">
        <f t="shared" si="52"/>
        <v>168.52019826233425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2.4666666666666668</v>
      </c>
      <c r="N11" s="13">
        <f>IF('Données projet'!$A$36&gt;35,N10+M11-V10,IF(A11&lt;'Données projet'!$A$36,$K$205^A11,IF(A11='Données projet'!$A$36,'Données projet'!$B$36,N10+M11-V10)))</f>
        <v>6.8607919984549888</v>
      </c>
      <c r="O11" s="13">
        <f>N11*VLOOKUP('Données projet'!$B$9,Paramètres!$A$1:$I$89,3,0)*VLOOKUP('Données projet'!$B$9,Paramètres!$A$1:$I$89,5,0)</f>
        <v>5.9935878898502795</v>
      </c>
      <c r="P11" s="13">
        <f t="shared" si="33"/>
        <v>2.2424160357272664</v>
      </c>
      <c r="Q11" s="20">
        <f t="shared" si="2"/>
        <v>14.344373503714223</v>
      </c>
      <c r="R11" s="59">
        <f t="shared" si="0"/>
        <v>280.78881794815868</v>
      </c>
      <c r="S11" s="59">
        <f ca="1">AVERAGE(OFFSET($R$3,0,0,'Données projet'!$E$9+1,1))-AVERAGE(OFFSET($H$3,0,0,'Données projet'!$E$9+1,1))</f>
        <v>324.86930206492627</v>
      </c>
      <c r="T11" s="59">
        <f t="shared" si="34"/>
        <v>317.03005098025352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4.0628205128205126</v>
      </c>
      <c r="AI11" s="13">
        <f>IF('Données projet'!$A$62&gt;35,AI10+AH11-AQ10,IF(A11&lt;'Données projet'!$A$62,$AF$205^A11,IF(A11='Données projet'!$A$62,'Données projet'!$B$62,AI10+AH11-AQ10)))</f>
        <v>3.5995900084872572</v>
      </c>
      <c r="AJ11" s="13">
        <f>AI11*VLOOKUP('Données projet'!$B$10,Paramètres!$A$1:$I$89,3,0)*VLOOKUP('Données projet'!$B$10,Paramètres!$A$1:$I$89,5,0)</f>
        <v>3.4253698520764737</v>
      </c>
      <c r="AK11" s="13">
        <f t="shared" si="35"/>
        <v>1.3677905102498957</v>
      </c>
      <c r="AL11" s="20">
        <f t="shared" si="4"/>
        <v>8.3480876310517598</v>
      </c>
      <c r="AM11" s="59">
        <f t="shared" si="5"/>
        <v>274.79253207549624</v>
      </c>
      <c r="AN11" s="59">
        <f ca="1">AVERAGE(OFFSET($AM$3,0,0,'Données projet'!$E$10+1,1))-AVERAGE(OFFSET($H$3,0,0,'Données projet'!$E$10+1,1))</f>
        <v>401.81944956556271</v>
      </c>
      <c r="AO11" s="59">
        <f t="shared" si="36"/>
        <v>292.20785523952651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2.6666666666666665</v>
      </c>
      <c r="BD11" s="12">
        <f>IF('Données projet'!$A$88&gt;35,BD10+BC11-BL10,IF(A11&lt;'Données projet'!$A$88,$BA$205^A11,IF(A11='Données projet'!$A$88,'Données projet'!$B$88,BD10+BC11-BL10)))</f>
        <v>7.1520739352994367</v>
      </c>
      <c r="BE11" s="13">
        <f>BD11*VLOOKUP('Données projet'!$B$11,Paramètres!$A$1:$I$89,3,0)*VLOOKUP('Données projet'!$B$11,Paramètres!$A$1:$I$89,5,0)</f>
        <v>5.5786176695335605</v>
      </c>
      <c r="BF11" s="13">
        <f t="shared" si="37"/>
        <v>2.1046649418345189</v>
      </c>
      <c r="BG11" s="20">
        <f t="shared" si="7"/>
        <v>13.381717214799407</v>
      </c>
      <c r="BH11" s="59">
        <f t="shared" si="8"/>
        <v>279.82616165924384</v>
      </c>
      <c r="BI11" s="59">
        <f ca="1">AVERAGE(OFFSET($BH$3,0,0,'Données projet'!$E$11+1,1))-AVERAGE(OFFSET($H$3,0,0,'Données projet'!$E$11+1,1))</f>
        <v>288.80569134263209</v>
      </c>
      <c r="BJ11" s="59">
        <f t="shared" si="38"/>
        <v>283.48738729114024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</v>
      </c>
      <c r="BY11" s="12">
        <f>IF('Données projet'!$A$114&gt;35,BY10+BX11-CG10,IF(A11&lt;'Données projet'!$A$114,$BV$205^A11,IF(A11='Données projet'!$A$114,'Données projet'!$B$114,BY10+BX11-CG10)))</f>
        <v>10.097596309015799</v>
      </c>
      <c r="BZ11" s="13">
        <f>BY11*VLOOKUP('Données projet'!$B$12,Paramètres!$A$1:$I$89,3,0)*VLOOKUP('Données projet'!$B$12,Paramètres!$A$1:$I$89,5,0)</f>
        <v>10.554007662183313</v>
      </c>
      <c r="CA11" s="13">
        <f t="shared" si="39"/>
        <v>3.6969509118872272</v>
      </c>
      <c r="CB11" s="20">
        <f t="shared" si="10"/>
        <v>24.820419516506192</v>
      </c>
      <c r="CC11" s="59">
        <f t="shared" si="11"/>
        <v>291.26486396095066</v>
      </c>
      <c r="CD11" s="59">
        <f ca="1">AVERAGE(OFFSET($CC$3,0,0,'Données projet'!$E$12+1,1))-AVERAGE(OFFSET($H$3,0,0,'Données projet'!$E$12+1,1))</f>
        <v>352.22281362023102</v>
      </c>
      <c r="CE11" s="59">
        <f t="shared" si="40"/>
        <v>310.2353747925161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2.9235042735042733</v>
      </c>
      <c r="CT11" s="12">
        <f>IF('Données projet'!$A$140&gt;35,CT10+CS11-DB10,IF(A11&lt;'Données projet'!$A$140,$CQ$205^A11,IF(A11='Données projet'!$A$140,'Données projet'!$B$140,CT10+CS11-DB10)))</f>
        <v>3.2971598043944974</v>
      </c>
      <c r="CU11" s="17">
        <f>CT11*VLOOKUP('Données projet'!$B$13,Paramètres!$A$1:$I$89,3,0)*VLOOKUP('Données projet'!$B$13,Paramètres!$A$1:$I$89,5,0)</f>
        <v>2.9832701910161412</v>
      </c>
      <c r="CV11" s="13">
        <f t="shared" si="41"/>
        <v>1.2105714746948997</v>
      </c>
      <c r="CW11" s="20">
        <f t="shared" si="13"/>
        <v>7.3042742344467291</v>
      </c>
      <c r="CX11" s="59">
        <f t="shared" si="14"/>
        <v>273.74871867889118</v>
      </c>
      <c r="CY11" s="59">
        <f ca="1">AVERAGE(OFFSET($CX$3,0,0,'Données projet'!$E$13+1,1))-AVERAGE(OFFSET($H$3,0,0,'Données projet'!$E$13+1,1))</f>
        <v>345.49688858037996</v>
      </c>
      <c r="CZ11" s="59">
        <f t="shared" si="42"/>
        <v>213.15872113755023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2.9235042735042733</v>
      </c>
      <c r="DO11" s="12">
        <f>IF('Données projet'!$A$166&gt;35,DO10+DN11-DW10,IF(A11&lt;'Données projet'!$A$166,$DL$205^A11,IF(A11='Données projet'!$A$166,'Données projet'!$B$166,DO10+DN11-DW10)))</f>
        <v>3.2971598043944974</v>
      </c>
      <c r="DP11" s="17">
        <f>DO11*VLOOKUP('Données projet'!$B$14,Paramètres!$A$1:$I$89,3,0)*VLOOKUP('Données projet'!$B$14,Paramètres!$A$1:$I$89,5,0)</f>
        <v>3.3433200416560207</v>
      </c>
      <c r="DQ11" s="13">
        <f t="shared" si="43"/>
        <v>1.3387999979323115</v>
      </c>
      <c r="DR11" s="20">
        <f t="shared" si="16"/>
        <v>8.1546924022830094</v>
      </c>
      <c r="DS11" s="59">
        <f t="shared" si="17"/>
        <v>274.59913684672745</v>
      </c>
      <c r="DT11" s="59">
        <f ca="1">AVERAGE(OFFSET($DS$3,0,0,'Données projet'!$E$14+1,1))-AVERAGE(OFFSET($H$3,0,0,'Données projet'!$E$14+1,1))</f>
        <v>382.26108489744581</v>
      </c>
      <c r="DU11" s="59">
        <f t="shared" si="44"/>
        <v>233.89423996158826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3.9732905982905979</v>
      </c>
      <c r="EJ11" s="12">
        <f>IF('Données projet'!$A$192&gt;35,EJ10+EI11-ER10,IF(A11&lt;'Données projet'!$A$192,$EG$205^A11,IF(A11='Données projet'!$A$192,'Données projet'!$B$192,EJ10+EI11-ER10)))</f>
        <v>3.5782643572096209</v>
      </c>
      <c r="EK11" s="17">
        <f>EJ11*VLOOKUP('Données projet'!$B$15,Paramètres!$A$1:$I$89,3,0)*VLOOKUP('Données projet'!$B$15,Paramètres!$A$1:$I$89,5,0)</f>
        <v>3.0143298945133852</v>
      </c>
      <c r="EL11" s="13">
        <f t="shared" si="45"/>
        <v>1.2217013074893581</v>
      </c>
      <c r="EM11" s="20">
        <f t="shared" si="19"/>
        <v>7.3777543434881103</v>
      </c>
      <c r="EN11" s="59">
        <f t="shared" si="20"/>
        <v>273.82219878793256</v>
      </c>
      <c r="EO11" s="59">
        <f ca="1">AVERAGE(OFFSET($EN$3,0,0,'Données projet'!$E$15+1,1))-AVERAGE(OFFSET($H$3,0,0,'Données projet'!$E$15+1,1))</f>
        <v>312.48716825299158</v>
      </c>
      <c r="EP11" s="59">
        <f t="shared" si="46"/>
        <v>258.68277822755357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2.9235042735042733</v>
      </c>
      <c r="FE11" s="12">
        <f>IF('Données projet'!$A$218&gt;35,FE10+FD11-FM10,IF(A11&lt;'Données projet'!$A$218,$FB$205^A11,IF(A11='Données projet'!$A$218,'Données projet'!$B$218,FE10+FD11-FM10)))</f>
        <v>3.2971598043944974</v>
      </c>
      <c r="FF11" s="17">
        <f>FE11*VLOOKUP('Données projet'!$B$16,Paramètres!$A$1:$I$89,3,0)*VLOOKUP('Données projet'!$B$16,Paramètres!$A$1:$I$89,5,0)</f>
        <v>3.5490628134502367</v>
      </c>
      <c r="FG11" s="13">
        <f t="shared" si="47"/>
        <v>1.4113428182991663</v>
      </c>
      <c r="FH11" s="20">
        <f t="shared" si="22"/>
        <v>8.639373141963544</v>
      </c>
      <c r="FI11" s="59">
        <f t="shared" si="23"/>
        <v>275.08381758640797</v>
      </c>
      <c r="FJ11" s="59">
        <f ca="1">AVERAGE(OFFSET($FI$3,0,0,'Données projet'!$E$16+1,1))-AVERAGE(OFFSET($H$3,0,0,'Données projet'!$E$16+1,1))</f>
        <v>403.23110963096246</v>
      </c>
      <c r="FK11" s="59">
        <f t="shared" si="48"/>
        <v>245.72000393124898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2.9235042735042733</v>
      </c>
      <c r="FZ11" s="12">
        <f>IF('Données projet'!$A$244&gt;35,FZ10+FY11-GH10,IF(A11&lt;'Données projet'!$A$244,$FW$205^A11,IF(A11='Données projet'!$A$244,'Données projet'!$B$244,FZ10+FY11-GH10)))</f>
        <v>3.2971598043944974</v>
      </c>
      <c r="GA11" s="17">
        <f>FZ11*VLOOKUP('Données projet'!$B$17,Paramètres!$A$1:$I$89,3,0)*VLOOKUP('Données projet'!$B$17,Paramètres!$A$1:$I$89,5,0)</f>
        <v>3.1890129628103581</v>
      </c>
      <c r="GB11" s="13">
        <f t="shared" si="49"/>
        <v>1.2840524325542542</v>
      </c>
      <c r="GC11" s="20">
        <f t="shared" si="25"/>
        <v>7.7905888969266996</v>
      </c>
      <c r="GD11" s="59">
        <f t="shared" si="26"/>
        <v>274.23503334137115</v>
      </c>
      <c r="GE11" s="59">
        <f ca="1">AVERAGE(OFFSET($GD$3,0,0,'Données projet'!$E$17+1,1))-AVERAGE(OFFSET($H$3,0,0,'Données projet'!$E$17+1,1))</f>
        <v>336.2911850338175</v>
      </c>
      <c r="GF11" s="59">
        <f t="shared" si="50"/>
        <v>225.01415116995503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2.9235042735042733</v>
      </c>
      <c r="GU11" s="12">
        <f>IF('Données projet'!$A$270&gt;35,GU10+GT11-HC10,IF(A11&lt;'Données projet'!$A$270,$GR$205^A11,IF(A11='Données projet'!$A$270,'Données projet'!$B$270,GU10+GT11-HC10)))</f>
        <v>3.2971598043944974</v>
      </c>
      <c r="GV11" s="17">
        <f>GU11*VLOOKUP('Données projet'!$B$18,Paramètres!$A$1:$I$89,3,0)*VLOOKUP('Données projet'!$B$18,Paramètres!$A$1:$I$89,5,0)</f>
        <v>2.2117347967878289</v>
      </c>
      <c r="GW11" s="13">
        <f t="shared" si="51"/>
        <v>0.92930481729597847</v>
      </c>
      <c r="GX11" s="20">
        <f t="shared" si="28"/>
        <v>5.4706439945292979</v>
      </c>
      <c r="GY11" s="59">
        <f t="shared" si="29"/>
        <v>271.91508843897378</v>
      </c>
      <c r="GZ11" s="59">
        <f ca="1">AVERAGE(OFFSET($GY$3,0,0,'Données projet'!$E$18+1,1))-AVERAGE(OFFSET($H$3,0,0,'Données projet'!$E$18+1,1))</f>
        <v>266.37807768393191</v>
      </c>
      <c r="HA11" s="59">
        <f t="shared" si="52"/>
        <v>168.52019826233425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2.4666666666666668</v>
      </c>
      <c r="N12" s="13">
        <f>IF('Données projet'!$A$36&gt;35,N11+M12-V11,IF(A12&lt;'Données projet'!$A$36,$K$205^A12,IF(A12='Données projet'!$A$36,'Données projet'!$B$36,N11+M12-V11)))</f>
        <v>8.7281265486761299</v>
      </c>
      <c r="O12" s="13">
        <f>N12*VLOOKUP('Données projet'!$B$9,Paramètres!$A$1:$I$89,3,0)*VLOOKUP('Données projet'!$B$9,Paramètres!$A$1:$I$89,5,0)</f>
        <v>7.6248913529234681</v>
      </c>
      <c r="P12" s="13">
        <f t="shared" si="33"/>
        <v>2.7739186895259813</v>
      </c>
      <c r="Q12" s="20">
        <f t="shared" si="2"/>
        <v>18.111260823932788</v>
      </c>
      <c r="R12" s="59">
        <f t="shared" si="0"/>
        <v>285.7779274905995</v>
      </c>
      <c r="S12" s="59">
        <f ca="1">AVERAGE(OFFSET($R$3,0,0,'Données projet'!$E$9+1,1))-AVERAGE(OFFSET($H$3,0,0,'Données projet'!$E$9+1,1))</f>
        <v>324.86930206492627</v>
      </c>
      <c r="T12" s="59">
        <f t="shared" si="34"/>
        <v>317.03005098025352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4.0628205128205126</v>
      </c>
      <c r="AI12" s="13">
        <f>IF('Données projet'!$A$62&gt;35,AI11+AH12-AQ11,IF(A12&lt;'Données projet'!$A$62,$AF$205^A12,IF(A12='Données projet'!$A$62,'Données projet'!$B$62,AI11+AH12-AQ11)))</f>
        <v>4.2245909793472531</v>
      </c>
      <c r="AJ12" s="13">
        <f>AI12*VLOOKUP('Données projet'!$B$10,Paramètres!$A$1:$I$89,3,0)*VLOOKUP('Données projet'!$B$10,Paramètres!$A$1:$I$89,5,0)</f>
        <v>4.0201207759468467</v>
      </c>
      <c r="AK12" s="13">
        <f t="shared" si="35"/>
        <v>1.5756426730640929</v>
      </c>
      <c r="AL12" s="20">
        <f t="shared" si="4"/>
        <v>9.7459546736940528</v>
      </c>
      <c r="AM12" s="59">
        <f t="shared" si="5"/>
        <v>277.41262134036072</v>
      </c>
      <c r="AN12" s="59">
        <f ca="1">AVERAGE(OFFSET($AM$3,0,0,'Données projet'!$E$10+1,1))-AVERAGE(OFFSET($H$3,0,0,'Données projet'!$E$10+1,1))</f>
        <v>401.81944956556271</v>
      </c>
      <c r="AO12" s="59">
        <f t="shared" si="36"/>
        <v>292.20785523952651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2.6666666666666665</v>
      </c>
      <c r="BD12" s="12">
        <f>IF('Données projet'!$A$88&gt;35,BD11+BC12-BL11,IF(A12&lt;'Données projet'!$A$88,$BA$205^A12,IF(A12='Données projet'!$A$88,'Données projet'!$B$88,BD11+BC12-BL11)))</f>
        <v>9.1461010385465205</v>
      </c>
      <c r="BE12" s="13">
        <f>BD12*VLOOKUP('Données projet'!$B$11,Paramètres!$A$1:$I$89,3,0)*VLOOKUP('Données projet'!$B$11,Paramètres!$A$1:$I$89,5,0)</f>
        <v>7.1339588100662858</v>
      </c>
      <c r="BF12" s="13">
        <f t="shared" si="37"/>
        <v>2.6155015444227643</v>
      </c>
      <c r="BG12" s="20">
        <f t="shared" si="7"/>
        <v>16.980310117401761</v>
      </c>
      <c r="BH12" s="59">
        <f t="shared" si="8"/>
        <v>284.64697678406844</v>
      </c>
      <c r="BI12" s="59">
        <f ca="1">AVERAGE(OFFSET($BH$3,0,0,'Données projet'!$E$11+1,1))-AVERAGE(OFFSET($H$3,0,0,'Données projet'!$E$11+1,1))</f>
        <v>288.80569134263209</v>
      </c>
      <c r="BJ12" s="59">
        <f t="shared" si="38"/>
        <v>283.48738729114024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</v>
      </c>
      <c r="BY12" s="12">
        <f>IF('Données projet'!$A$114&gt;35,BY11+BX12-CG11,IF(A12&lt;'Données projet'!$A$114,$BV$205^A12,IF(A12='Données projet'!$A$114,'Données projet'!$B$114,BY11+BX12-CG11)))</f>
        <v>13.48171849440139</v>
      </c>
      <c r="BZ12" s="13">
        <f>BY12*VLOOKUP('Données projet'!$B$12,Paramètres!$A$1:$I$89,3,0)*VLOOKUP('Données projet'!$B$12,Paramètres!$A$1:$I$89,5,0)</f>
        <v>14.091092170348333</v>
      </c>
      <c r="CA12" s="13">
        <f t="shared" si="39"/>
        <v>4.7726497345394394</v>
      </c>
      <c r="CB12" s="20">
        <f t="shared" si="10"/>
        <v>32.854350484346199</v>
      </c>
      <c r="CC12" s="59">
        <f t="shared" si="11"/>
        <v>300.52101715101287</v>
      </c>
      <c r="CD12" s="59">
        <f ca="1">AVERAGE(OFFSET($CC$3,0,0,'Données projet'!$E$12+1,1))-AVERAGE(OFFSET($H$3,0,0,'Données projet'!$E$12+1,1))</f>
        <v>352.22281362023102</v>
      </c>
      <c r="CE12" s="59">
        <f t="shared" si="40"/>
        <v>310.2353747925161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2.9235042735042733</v>
      </c>
      <c r="CT12" s="12">
        <f>IF('Données projet'!$A$140&gt;35,CT11+CS12-DB11,IF(A12&lt;'Données projet'!$A$140,$CQ$205^A12,IF(A12='Données projet'!$A$140,'Données projet'!$B$140,CT11+CS12-DB11)))</f>
        <v>3.8274321125090722</v>
      </c>
      <c r="CU12" s="17">
        <f>CT12*VLOOKUP('Données projet'!$B$13,Paramètres!$A$1:$I$89,3,0)*VLOOKUP('Données projet'!$B$13,Paramètres!$A$1:$I$89,5,0)</f>
        <v>3.4630605753982087</v>
      </c>
      <c r="CV12" s="13">
        <f t="shared" si="41"/>
        <v>1.3810805174752749</v>
      </c>
      <c r="CW12" s="20">
        <f t="shared" si="13"/>
        <v>8.4368790700879845</v>
      </c>
      <c r="CX12" s="59">
        <f t="shared" si="14"/>
        <v>276.10354573675465</v>
      </c>
      <c r="CY12" s="59">
        <f ca="1">AVERAGE(OFFSET($CX$3,0,0,'Données projet'!$E$13+1,1))-AVERAGE(OFFSET($H$3,0,0,'Données projet'!$E$13+1,1))</f>
        <v>345.49688858037996</v>
      </c>
      <c r="CZ12" s="59">
        <f t="shared" si="42"/>
        <v>213.15872113755023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2.9235042735042733</v>
      </c>
      <c r="DO12" s="12">
        <f>IF('Données projet'!$A$166&gt;35,DO11+DN12-DW11,IF(A12&lt;'Données projet'!$A$166,$DL$205^A12,IF(A12='Données projet'!$A$166,'Données projet'!$B$166,DO11+DN12-DW11)))</f>
        <v>3.8274321125090722</v>
      </c>
      <c r="DP12" s="17">
        <f>DO12*VLOOKUP('Données projet'!$B$14,Paramètres!$A$1:$I$89,3,0)*VLOOKUP('Données projet'!$B$14,Paramètres!$A$1:$I$89,5,0)</f>
        <v>3.8810161620841996</v>
      </c>
      <c r="DQ12" s="13">
        <f t="shared" si="43"/>
        <v>1.5273700335672085</v>
      </c>
      <c r="DR12" s="20">
        <f t="shared" si="16"/>
        <v>9.4196059574262012</v>
      </c>
      <c r="DS12" s="59">
        <f t="shared" si="17"/>
        <v>277.08627262409289</v>
      </c>
      <c r="DT12" s="59">
        <f ca="1">AVERAGE(OFFSET($DS$3,0,0,'Données projet'!$E$14+1,1))-AVERAGE(OFFSET($H$3,0,0,'Données projet'!$E$14+1,1))</f>
        <v>382.26108489744581</v>
      </c>
      <c r="DU12" s="59">
        <f t="shared" si="44"/>
        <v>233.89423996158826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3.9732905982905979</v>
      </c>
      <c r="EJ12" s="12">
        <f>IF('Données projet'!$A$192&gt;35,EJ11+EI12-ER11,IF(A12&lt;'Données projet'!$A$192,$EG$205^A12,IF(A12='Données projet'!$A$192,'Données projet'!$B$192,EJ11+EI12-ER11)))</f>
        <v>4.1964444185319181</v>
      </c>
      <c r="EK12" s="17">
        <f>EJ12*VLOOKUP('Données projet'!$B$15,Paramètres!$A$1:$I$89,3,0)*VLOOKUP('Données projet'!$B$15,Paramètres!$A$1:$I$89,5,0)</f>
        <v>3.5350847781712882</v>
      </c>
      <c r="EL12" s="13">
        <f t="shared" si="45"/>
        <v>1.4064301170380715</v>
      </c>
      <c r="EM12" s="20">
        <f t="shared" si="19"/>
        <v>8.6064717758229676</v>
      </c>
      <c r="EN12" s="59">
        <f t="shared" si="20"/>
        <v>276.27313844248965</v>
      </c>
      <c r="EO12" s="59">
        <f ca="1">AVERAGE(OFFSET($EN$3,0,0,'Données projet'!$E$15+1,1))-AVERAGE(OFFSET($H$3,0,0,'Données projet'!$E$15+1,1))</f>
        <v>312.48716825299158</v>
      </c>
      <c r="EP12" s="59">
        <f t="shared" si="46"/>
        <v>258.68277822755357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2.9235042735042733</v>
      </c>
      <c r="FE12" s="12">
        <f>IF('Données projet'!$A$218&gt;35,FE11+FD12-FM11,IF(A12&lt;'Données projet'!$A$218,$FB$205^A12,IF(A12='Données projet'!$A$218,'Données projet'!$B$218,FE11+FD12-FM11)))</f>
        <v>3.8274321125090722</v>
      </c>
      <c r="FF12" s="17">
        <f>FE12*VLOOKUP('Données projet'!$B$16,Paramètres!$A$1:$I$89,3,0)*VLOOKUP('Données projet'!$B$16,Paramètres!$A$1:$I$89,5,0)</f>
        <v>4.1198479259047653</v>
      </c>
      <c r="FG12" s="13">
        <f t="shared" si="47"/>
        <v>1.6101305132130899</v>
      </c>
      <c r="FH12" s="20">
        <f t="shared" si="22"/>
        <v>9.9797124481302628</v>
      </c>
      <c r="FI12" s="59">
        <f t="shared" si="23"/>
        <v>277.64637911479696</v>
      </c>
      <c r="FJ12" s="59">
        <f ca="1">AVERAGE(OFFSET($FI$3,0,0,'Données projet'!$E$16+1,1))-AVERAGE(OFFSET($H$3,0,0,'Données projet'!$E$16+1,1))</f>
        <v>403.23110963096246</v>
      </c>
      <c r="FK12" s="59">
        <f t="shared" si="48"/>
        <v>245.72000393124898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2.9235042735042733</v>
      </c>
      <c r="FZ12" s="12">
        <f>IF('Données projet'!$A$244&gt;35,FZ11+FY12-GH11,IF(A12&lt;'Données projet'!$A$244,$FW$205^A12,IF(A12='Données projet'!$A$244,'Données projet'!$B$244,FZ11+FY12-GH11)))</f>
        <v>3.8274321125090722</v>
      </c>
      <c r="GA12" s="17">
        <f>FZ12*VLOOKUP('Données projet'!$B$17,Paramètres!$A$1:$I$89,3,0)*VLOOKUP('Données projet'!$B$17,Paramètres!$A$1:$I$89,5,0)</f>
        <v>3.7018923392187748</v>
      </c>
      <c r="GB12" s="13">
        <f t="shared" si="49"/>
        <v>1.4649112713186636</v>
      </c>
      <c r="GC12" s="20">
        <f t="shared" si="25"/>
        <v>8.9988496216860376</v>
      </c>
      <c r="GD12" s="59">
        <f t="shared" si="26"/>
        <v>276.66551628835271</v>
      </c>
      <c r="GE12" s="59">
        <f ca="1">AVERAGE(OFFSET($GD$3,0,0,'Données projet'!$E$17+1,1))-AVERAGE(OFFSET($H$3,0,0,'Données projet'!$E$17+1,1))</f>
        <v>336.2911850338175</v>
      </c>
      <c r="GF12" s="59">
        <f t="shared" si="50"/>
        <v>225.01415116995503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2.9235042735042733</v>
      </c>
      <c r="GU12" s="12">
        <f>IF('Données projet'!$A$270&gt;35,GU11+GT12-HC11,IF(A12&lt;'Données projet'!$A$270,$GR$205^A12,IF(A12='Données projet'!$A$270,'Données projet'!$B$270,GU11+GT12-HC11)))</f>
        <v>3.8274321125090722</v>
      </c>
      <c r="GV12" s="17">
        <f>GU12*VLOOKUP('Données projet'!$B$18,Paramètres!$A$1:$I$89,3,0)*VLOOKUP('Données projet'!$B$18,Paramètres!$A$1:$I$89,5,0)</f>
        <v>2.5674414610710858</v>
      </c>
      <c r="GW12" s="13">
        <f t="shared" si="51"/>
        <v>1.0601974396322715</v>
      </c>
      <c r="GX12" s="20">
        <f t="shared" si="28"/>
        <v>6.3181377520583473</v>
      </c>
      <c r="GY12" s="59">
        <f t="shared" si="29"/>
        <v>273.98480441872505</v>
      </c>
      <c r="GZ12" s="59">
        <f ca="1">AVERAGE(OFFSET($GY$3,0,0,'Données projet'!$E$18+1,1))-AVERAGE(OFFSET($H$3,0,0,'Données projet'!$E$18+1,1))</f>
        <v>266.37807768393191</v>
      </c>
      <c r="HA12" s="59">
        <f t="shared" si="52"/>
        <v>168.52019826233425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2.4666666666666668</v>
      </c>
      <c r="N13" s="13">
        <f>IF('Données projet'!$A$36&gt;35,N12+M13-V12,IF(A13&lt;'Données projet'!$A$36,$K$205^A13,IF(A13='Données projet'!$A$36,'Données projet'!$B$36,N12+M13-V12)))</f>
        <v>11.103702468586782</v>
      </c>
      <c r="O13" s="13">
        <f>N13*VLOOKUP('Données projet'!$B$9,Paramètres!$A$1:$I$89,3,0)*VLOOKUP('Données projet'!$B$9,Paramètres!$A$1:$I$89,5,0)</f>
        <v>9.7001944765574137</v>
      </c>
      <c r="P13" s="13">
        <f t="shared" si="33"/>
        <v>3.4313993360317685</v>
      </c>
      <c r="Q13" s="20">
        <f t="shared" si="2"/>
        <v>22.870859223592827</v>
      </c>
      <c r="R13" s="59">
        <f t="shared" si="0"/>
        <v>291.7597481124817</v>
      </c>
      <c r="S13" s="59">
        <f ca="1">AVERAGE(OFFSET($R$3,0,0,'Données projet'!$E$9+1,1))-AVERAGE(OFFSET($H$3,0,0,'Données projet'!$E$9+1,1))</f>
        <v>324.86930206492627</v>
      </c>
      <c r="T13" s="59">
        <f t="shared" si="34"/>
        <v>317.03005098025352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4.0628205128205126</v>
      </c>
      <c r="AI13" s="13">
        <f>IF('Données projet'!$A$62&gt;35,AI12+AH13-AQ12,IF(A13&lt;'Données projet'!$A$62,$AF$205^A13,IF(A13='Données projet'!$A$62,'Données projet'!$B$62,AI12+AH13-AQ12)))</f>
        <v>4.9581115906815549</v>
      </c>
      <c r="AJ13" s="13">
        <f>AI13*VLOOKUP('Données projet'!$B$10,Paramètres!$A$1:$I$89,3,0)*VLOOKUP('Données projet'!$B$10,Paramètres!$A$1:$I$89,5,0)</f>
        <v>4.7181389896925676</v>
      </c>
      <c r="AK13" s="13">
        <f t="shared" si="35"/>
        <v>1.8150804634015034</v>
      </c>
      <c r="AL13" s="20">
        <f t="shared" si="4"/>
        <v>11.378690547472175</v>
      </c>
      <c r="AM13" s="59">
        <f t="shared" si="5"/>
        <v>280.26757943636102</v>
      </c>
      <c r="AN13" s="59">
        <f ca="1">AVERAGE(OFFSET($AM$3,0,0,'Données projet'!$E$10+1,1))-AVERAGE(OFFSET($H$3,0,0,'Données projet'!$E$10+1,1))</f>
        <v>401.81944956556271</v>
      </c>
      <c r="AO13" s="59">
        <f t="shared" si="36"/>
        <v>292.20785523952651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2.6666666666666665</v>
      </c>
      <c r="BD13" s="12">
        <f>IF('Données projet'!$A$88&gt;35,BD12+BC13-BL12,IF(A13&lt;'Données projet'!$A$88,$BA$205^A13,IF(A13='Données projet'!$A$88,'Données projet'!$B$88,BD12+BC13-BL12)))</f>
        <v>11.696070952851455</v>
      </c>
      <c r="BE13" s="13">
        <f>BD13*VLOOKUP('Données projet'!$B$11,Paramètres!$A$1:$I$89,3,0)*VLOOKUP('Données projet'!$B$11,Paramètres!$A$1:$I$89,5,0)</f>
        <v>9.1229353432241354</v>
      </c>
      <c r="BF13" s="13">
        <f t="shared" si="37"/>
        <v>3.2503265450485803</v>
      </c>
      <c r="BG13" s="20">
        <f t="shared" si="7"/>
        <v>21.550097788741649</v>
      </c>
      <c r="BH13" s="59">
        <f t="shared" si="8"/>
        <v>290.43898667763051</v>
      </c>
      <c r="BI13" s="59">
        <f ca="1">AVERAGE(OFFSET($BH$3,0,0,'Données projet'!$E$11+1,1))-AVERAGE(OFFSET($H$3,0,0,'Données projet'!$E$11+1,1))</f>
        <v>288.80569134263209</v>
      </c>
      <c r="BJ13" s="59">
        <f t="shared" si="38"/>
        <v>283.48738729114024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18</v>
      </c>
      <c r="BW13" s="12">
        <f>VLOOKUP(A13,'Données projet'!$A$113:$I$133,9,0)</f>
        <v>1.8</v>
      </c>
      <c r="BX13" s="12">
        <f t="array" ref="BX13">INDEX(BW:BW,MIN(IF(ISNUMBER(BW13:BW209),ROW(BW13:BW209),"")))</f>
        <v>1.8</v>
      </c>
      <c r="BY13" s="12">
        <f>IF('Données projet'!$A$114&gt;35,BY12+BX13-CG12,IF(A13&lt;'Données projet'!$A$114,$BV$205^A13,IF(A13='Données projet'!$A$114,'Données projet'!$B$114,BY12+BX13-CG12)))</f>
        <v>18</v>
      </c>
      <c r="BZ13" s="13">
        <f>BY13*VLOOKUP('Données projet'!$B$12,Paramètres!$A$1:$I$89,3,0)*VLOOKUP('Données projet'!$B$12,Paramètres!$A$1:$I$89,5,0)</f>
        <v>18.813600000000001</v>
      </c>
      <c r="CA13" s="13">
        <f t="shared" si="39"/>
        <v>6.1613437753144318</v>
      </c>
      <c r="CB13" s="20">
        <f t="shared" si="10"/>
        <v>43.498027075339301</v>
      </c>
      <c r="CC13" s="59">
        <f t="shared" si="11"/>
        <v>312.38691596422814</v>
      </c>
      <c r="CD13" s="59">
        <f ca="1">AVERAGE(OFFSET($CC$3,0,0,'Données projet'!$E$12+1,1))-AVERAGE(OFFSET($H$3,0,0,'Données projet'!$E$12+1,1))</f>
        <v>352.22281362023102</v>
      </c>
      <c r="CE13" s="59">
        <f t="shared" si="40"/>
        <v>310.2353747925161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2.9235042735042733</v>
      </c>
      <c r="CT13" s="12">
        <f>IF('Données projet'!$A$140&gt;35,CT12+CS13-DB12,IF(A13&lt;'Données projet'!$A$140,$CQ$205^A13,IF(A13='Données projet'!$A$140,'Données projet'!$B$140,CT12+CS13-DB12)))</f>
        <v>4.4429865232315908</v>
      </c>
      <c r="CU13" s="17">
        <f>CT13*VLOOKUP('Données projet'!$B$13,Paramètres!$A$1:$I$89,3,0)*VLOOKUP('Données projet'!$B$13,Paramètres!$A$1:$I$89,5,0)</f>
        <v>4.0200142062199431</v>
      </c>
      <c r="CV13" s="13">
        <f t="shared" si="41"/>
        <v>1.5756057660539962</v>
      </c>
      <c r="CW13" s="20">
        <f t="shared" si="13"/>
        <v>9.7457047850437757</v>
      </c>
      <c r="CX13" s="59">
        <f t="shared" si="14"/>
        <v>278.63459367393261</v>
      </c>
      <c r="CY13" s="59">
        <f ca="1">AVERAGE(OFFSET($CX$3,0,0,'Données projet'!$E$13+1,1))-AVERAGE(OFFSET($H$3,0,0,'Données projet'!$E$13+1,1))</f>
        <v>345.49688858037996</v>
      </c>
      <c r="CZ13" s="59">
        <f t="shared" si="42"/>
        <v>213.15872113755023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2.9235042735042733</v>
      </c>
      <c r="DO13" s="12">
        <f>IF('Données projet'!$A$166&gt;35,DO12+DN13-DW12,IF(A13&lt;'Données projet'!$A$166,$DL$205^A13,IF(A13='Données projet'!$A$166,'Données projet'!$B$166,DO12+DN13-DW12)))</f>
        <v>4.4429865232315908</v>
      </c>
      <c r="DP13" s="17">
        <f>DO13*VLOOKUP('Données projet'!$B$14,Paramètres!$A$1:$I$89,3,0)*VLOOKUP('Données projet'!$B$14,Paramètres!$A$1:$I$89,5,0)</f>
        <v>4.5051883345568333</v>
      </c>
      <c r="DQ13" s="13">
        <f t="shared" si="43"/>
        <v>1.7425001665984783</v>
      </c>
      <c r="DR13" s="20">
        <f t="shared" si="16"/>
        <v>10.881390806178834</v>
      </c>
      <c r="DS13" s="59">
        <f t="shared" si="17"/>
        <v>279.7702796950677</v>
      </c>
      <c r="DT13" s="59">
        <f ca="1">AVERAGE(OFFSET($DS$3,0,0,'Données projet'!$E$14+1,1))-AVERAGE(OFFSET($H$3,0,0,'Données projet'!$E$14+1,1))</f>
        <v>382.26108489744581</v>
      </c>
      <c r="DU13" s="59">
        <f t="shared" si="44"/>
        <v>233.89423996158826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3.9732905982905979</v>
      </c>
      <c r="EJ13" s="12">
        <f>IF('Données projet'!$A$192&gt;35,EJ12+EI13-ER12,IF(A13&lt;'Données projet'!$A$192,$EG$205^A13,IF(A13='Données projet'!$A$192,'Données projet'!$B$192,EJ12+EI13-ER12)))</f>
        <v>4.9214211136597843</v>
      </c>
      <c r="EK13" s="17">
        <f>EJ13*VLOOKUP('Données projet'!$B$15,Paramètres!$A$1:$I$89,3,0)*VLOOKUP('Données projet'!$B$15,Paramètres!$A$1:$I$89,5,0)</f>
        <v>4.1458051461470022</v>
      </c>
      <c r="EL13" s="13">
        <f t="shared" si="45"/>
        <v>1.619091067502155</v>
      </c>
      <c r="EM13" s="20">
        <f t="shared" si="19"/>
        <v>10.040527572105615</v>
      </c>
      <c r="EN13" s="59">
        <f t="shared" si="20"/>
        <v>278.92941646099445</v>
      </c>
      <c r="EO13" s="59">
        <f ca="1">AVERAGE(OFFSET($EN$3,0,0,'Données projet'!$E$15+1,1))-AVERAGE(OFFSET($H$3,0,0,'Données projet'!$E$15+1,1))</f>
        <v>312.48716825299158</v>
      </c>
      <c r="EP13" s="59">
        <f t="shared" si="46"/>
        <v>258.68277822755357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2.9235042735042733</v>
      </c>
      <c r="FE13" s="12">
        <f>IF('Données projet'!$A$218&gt;35,FE12+FD13-FM12,IF(A13&lt;'Données projet'!$A$218,$FB$205^A13,IF(A13='Données projet'!$A$218,'Données projet'!$B$218,FE12+FD13-FM12)))</f>
        <v>4.4429865232315908</v>
      </c>
      <c r="FF13" s="17">
        <f>FE13*VLOOKUP('Données projet'!$B$16,Paramètres!$A$1:$I$89,3,0)*VLOOKUP('Données projet'!$B$16,Paramètres!$A$1:$I$89,5,0)</f>
        <v>4.782430693606484</v>
      </c>
      <c r="FG13" s="13">
        <f t="shared" si="47"/>
        <v>1.836917463259663</v>
      </c>
      <c r="FH13" s="20">
        <f t="shared" si="22"/>
        <v>11.528698039875204</v>
      </c>
      <c r="FI13" s="59">
        <f t="shared" si="23"/>
        <v>280.41758692876408</v>
      </c>
      <c r="FJ13" s="59">
        <f ca="1">AVERAGE(OFFSET($FI$3,0,0,'Données projet'!$E$16+1,1))-AVERAGE(OFFSET($H$3,0,0,'Données projet'!$E$16+1,1))</f>
        <v>403.23110963096246</v>
      </c>
      <c r="FK13" s="59">
        <f t="shared" si="48"/>
        <v>245.72000393124898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2.9235042735042733</v>
      </c>
      <c r="FZ13" s="12">
        <f>IF('Données projet'!$A$244&gt;35,FZ12+FY13-GH12,IF(A13&lt;'Données projet'!$A$244,$FW$205^A13,IF(A13='Données projet'!$A$244,'Données projet'!$B$244,FZ12+FY13-GH12)))</f>
        <v>4.4429865232315908</v>
      </c>
      <c r="GA13" s="17">
        <f>FZ13*VLOOKUP('Données projet'!$B$17,Paramètres!$A$1:$I$89,3,0)*VLOOKUP('Données projet'!$B$17,Paramètres!$A$1:$I$89,5,0)</f>
        <v>4.2972565652695947</v>
      </c>
      <c r="GB13" s="13">
        <f t="shared" si="49"/>
        <v>1.6712440850781161</v>
      </c>
      <c r="GC13" s="20">
        <f t="shared" si="25"/>
        <v>10.395138632688928</v>
      </c>
      <c r="GD13" s="59">
        <f t="shared" si="26"/>
        <v>279.2840275215778</v>
      </c>
      <c r="GE13" s="59">
        <f ca="1">AVERAGE(OFFSET($GD$3,0,0,'Données projet'!$E$17+1,1))-AVERAGE(OFFSET($H$3,0,0,'Données projet'!$E$17+1,1))</f>
        <v>336.2911850338175</v>
      </c>
      <c r="GF13" s="59">
        <f t="shared" si="50"/>
        <v>225.01415116995503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2.9235042735042733</v>
      </c>
      <c r="GU13" s="12">
        <f>IF('Données projet'!$A$270&gt;35,GU12+GT13-HC12,IF(A13&lt;'Données projet'!$A$270,$GR$205^A13,IF(A13='Données projet'!$A$270,'Données projet'!$B$270,GU12+GT13-HC12)))</f>
        <v>4.4429865232315908</v>
      </c>
      <c r="GV13" s="17">
        <f>GU13*VLOOKUP('Données projet'!$B$18,Paramètres!$A$1:$I$89,3,0)*VLOOKUP('Données projet'!$B$18,Paramètres!$A$1:$I$89,5,0)</f>
        <v>2.9803553597837511</v>
      </c>
      <c r="GW13" s="13">
        <f t="shared" si="51"/>
        <v>1.209526293292452</v>
      </c>
      <c r="GX13" s="20">
        <f t="shared" si="28"/>
        <v>7.2973772124410523</v>
      </c>
      <c r="GY13" s="59">
        <f t="shared" si="29"/>
        <v>276.18626610132992</v>
      </c>
      <c r="GZ13" s="59">
        <f ca="1">AVERAGE(OFFSET($GY$3,0,0,'Données projet'!$E$18+1,1))-AVERAGE(OFFSET($H$3,0,0,'Données projet'!$E$18+1,1))</f>
        <v>266.37807768393191</v>
      </c>
      <c r="HA13" s="59">
        <f t="shared" si="52"/>
        <v>168.52019826233425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2.4666666666666668</v>
      </c>
      <c r="N14" s="13">
        <f>IF('Données projet'!$A$36&gt;35,N13+M14-V13,IF(A14&lt;'Données projet'!$A$36,$K$205^A14,IF(A14='Données projet'!$A$36,'Données projet'!$B$36,N13+M14-V13)))</f>
        <v>14.125850240977657</v>
      </c>
      <c r="O14" s="13">
        <f>N14*VLOOKUP('Données projet'!$B$9,Paramètres!$A$1:$I$89,3,0)*VLOOKUP('Données projet'!$B$9,Paramètres!$A$1:$I$89,5,0)</f>
        <v>12.340342770518083</v>
      </c>
      <c r="P14" s="13">
        <f t="shared" si="33"/>
        <v>4.2447175714913801</v>
      </c>
      <c r="Q14" s="20">
        <f t="shared" si="2"/>
        <v>28.885646762333149</v>
      </c>
      <c r="R14" s="59">
        <f t="shared" si="0"/>
        <v>298.99675787344427</v>
      </c>
      <c r="S14" s="59">
        <f ca="1">AVERAGE(OFFSET($R$3,0,0,'Données projet'!$E$9+1,1))-AVERAGE(OFFSET($H$3,0,0,'Données projet'!$E$9+1,1))</f>
        <v>324.86930206492627</v>
      </c>
      <c r="T14" s="59">
        <f t="shared" si="34"/>
        <v>317.03005098025352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4.0628205128205126</v>
      </c>
      <c r="AI14" s="13">
        <f>IF('Données projet'!$A$62&gt;35,AI13+AH14-AQ13,IF(A14&lt;'Données projet'!$A$62,$AF$205^A14,IF(A14='Données projet'!$A$62,'Données projet'!$B$62,AI13+AH14-AQ13)))</f>
        <v>5.8189942330107201</v>
      </c>
      <c r="AJ14" s="13">
        <f>AI14*VLOOKUP('Données projet'!$B$10,Paramètres!$A$1:$I$89,3,0)*VLOOKUP('Données projet'!$B$10,Paramètres!$A$1:$I$89,5,0)</f>
        <v>5.5373549121330017</v>
      </c>
      <c r="AK14" s="13">
        <f t="shared" si="35"/>
        <v>2.0909036959598799</v>
      </c>
      <c r="AL14" s="20">
        <f t="shared" si="4"/>
        <v>13.285883742428437</v>
      </c>
      <c r="AM14" s="59">
        <f t="shared" si="5"/>
        <v>283.39699485353958</v>
      </c>
      <c r="AN14" s="59">
        <f ca="1">AVERAGE(OFFSET($AM$3,0,0,'Données projet'!$E$10+1,1))-AVERAGE(OFFSET($H$3,0,0,'Données projet'!$E$10+1,1))</f>
        <v>401.81944956556271</v>
      </c>
      <c r="AO14" s="59">
        <f t="shared" si="36"/>
        <v>292.20785523952651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2.6666666666666665</v>
      </c>
      <c r="BD14" s="12">
        <f>IF('Données projet'!$A$88&gt;35,BD13+BC14-BL13,IF(A14&lt;'Données projet'!$A$88,$BA$205^A14,IF(A14='Données projet'!$A$88,'Données projet'!$B$88,BD13+BC14-BL13)))</f>
        <v>14.956982779612416</v>
      </c>
      <c r="BE14" s="13">
        <f>BD14*VLOOKUP('Données projet'!$B$11,Paramètres!$A$1:$I$89,3,0)*VLOOKUP('Données projet'!$B$11,Paramètres!$A$1:$I$89,5,0)</f>
        <v>11.666446568097685</v>
      </c>
      <c r="BF14" s="13">
        <f t="shared" si="37"/>
        <v>4.0392339557111736</v>
      </c>
      <c r="BG14" s="20">
        <f t="shared" si="7"/>
        <v>27.354060245633761</v>
      </c>
      <c r="BH14" s="59">
        <f t="shared" si="8"/>
        <v>297.46517135674492</v>
      </c>
      <c r="BI14" s="59">
        <f ca="1">AVERAGE(OFFSET($BH$3,0,0,'Données projet'!$E$11+1,1))-AVERAGE(OFFSET($H$3,0,0,'Données projet'!$E$11+1,1))</f>
        <v>288.80569134263209</v>
      </c>
      <c r="BJ14" s="59">
        <f t="shared" si="38"/>
        <v>283.48738729114024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</v>
      </c>
      <c r="BY14" s="12">
        <f>IF('Données projet'!$A$114&gt;35,BY13+BX14-CG13,IF(A14&lt;'Données projet'!$A$114,$BV$205^A14,IF(A14='Données projet'!$A$114,'Données projet'!$B$114,BY13+BX14-CG13)))</f>
        <v>23.8</v>
      </c>
      <c r="BZ14" s="13">
        <f>BY14*VLOOKUP('Données projet'!$B$12,Paramètres!$A$1:$I$89,3,0)*VLOOKUP('Données projet'!$B$12,Paramètres!$A$1:$I$89,5,0)</f>
        <v>24.875760000000003</v>
      </c>
      <c r="CA14" s="13">
        <f t="shared" si="39"/>
        <v>7.8860595982958923</v>
      </c>
      <c r="CB14" s="20">
        <f t="shared" si="10"/>
        <v>57.060169133698679</v>
      </c>
      <c r="CC14" s="59">
        <f t="shared" si="11"/>
        <v>327.17128024480985</v>
      </c>
      <c r="CD14" s="59">
        <f ca="1">AVERAGE(OFFSET($CC$3,0,0,'Données projet'!$E$12+1,1))-AVERAGE(OFFSET($H$3,0,0,'Données projet'!$E$12+1,1))</f>
        <v>352.22281362023102</v>
      </c>
      <c r="CE14" s="59">
        <f t="shared" si="40"/>
        <v>310.2353747925161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2.9235042735042733</v>
      </c>
      <c r="CT14" s="12">
        <f>IF('Données projet'!$A$140&gt;35,CT13+CS14-DB13,IF(A14&lt;'Données projet'!$A$140,$CQ$205^A14,IF(A14='Données projet'!$A$140,'Données projet'!$B$140,CT13+CS14-DB13)))</f>
        <v>5.1575387009743459</v>
      </c>
      <c r="CU14" s="17">
        <f>CT14*VLOOKUP('Données projet'!$B$13,Paramètres!$A$1:$I$89,3,0)*VLOOKUP('Données projet'!$B$13,Paramètres!$A$1:$I$89,5,0)</f>
        <v>4.6665410166415882</v>
      </c>
      <c r="CV14" s="13">
        <f t="shared" si="41"/>
        <v>1.7975299040209971</v>
      </c>
      <c r="CW14" s="20">
        <f t="shared" si="13"/>
        <v>11.258256853487337</v>
      </c>
      <c r="CX14" s="59">
        <f t="shared" si="14"/>
        <v>281.3693679645985</v>
      </c>
      <c r="CY14" s="59">
        <f ca="1">AVERAGE(OFFSET($CX$3,0,0,'Données projet'!$E$13+1,1))-AVERAGE(OFFSET($H$3,0,0,'Données projet'!$E$13+1,1))</f>
        <v>345.49688858037996</v>
      </c>
      <c r="CZ14" s="59">
        <f t="shared" si="42"/>
        <v>213.15872113755023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2.9235042735042733</v>
      </c>
      <c r="DO14" s="12">
        <f>IF('Données projet'!$A$166&gt;35,DO13+DN14-DW13,IF(A14&lt;'Données projet'!$A$166,$DL$205^A14,IF(A14='Données projet'!$A$166,'Données projet'!$B$166,DO13+DN14-DW13)))</f>
        <v>5.1575387009743459</v>
      </c>
      <c r="DP14" s="17">
        <f>DO14*VLOOKUP('Données projet'!$B$14,Paramètres!$A$1:$I$89,3,0)*VLOOKUP('Données projet'!$B$14,Paramètres!$A$1:$I$89,5,0)</f>
        <v>5.2297442427879863</v>
      </c>
      <c r="DQ14" s="13">
        <f t="shared" si="43"/>
        <v>1.9879313878539038</v>
      </c>
      <c r="DR14" s="20">
        <f t="shared" si="16"/>
        <v>12.570785056701292</v>
      </c>
      <c r="DS14" s="59">
        <f t="shared" si="17"/>
        <v>282.68189616781245</v>
      </c>
      <c r="DT14" s="59">
        <f ca="1">AVERAGE(OFFSET($DS$3,0,0,'Données projet'!$E$14+1,1))-AVERAGE(OFFSET($H$3,0,0,'Données projet'!$E$14+1,1))</f>
        <v>382.26108489744581</v>
      </c>
      <c r="DU14" s="59">
        <f t="shared" si="44"/>
        <v>233.89423996158826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3.9732905982905979</v>
      </c>
      <c r="EJ14" s="12">
        <f>IF('Données projet'!$A$192&gt;35,EJ13+EI14-ER13,IF(A14&lt;'Données projet'!$A$192,$EG$205^A14,IF(A14='Données projet'!$A$192,'Données projet'!$B$192,EJ13+EI14-ER13)))</f>
        <v>5.7716446025155648</v>
      </c>
      <c r="EK14" s="17">
        <f>EJ14*VLOOKUP('Données projet'!$B$15,Paramètres!$A$1:$I$89,3,0)*VLOOKUP('Données projet'!$B$15,Paramètres!$A$1:$I$89,5,0)</f>
        <v>4.8620334131591125</v>
      </c>
      <c r="EL14" s="13">
        <f t="shared" si="45"/>
        <v>1.8639076717057437</v>
      </c>
      <c r="EM14" s="20">
        <f t="shared" si="19"/>
        <v>11.714347389472957</v>
      </c>
      <c r="EN14" s="59">
        <f t="shared" si="20"/>
        <v>281.82545850058409</v>
      </c>
      <c r="EO14" s="59">
        <f ca="1">AVERAGE(OFFSET($EN$3,0,0,'Données projet'!$E$15+1,1))-AVERAGE(OFFSET($H$3,0,0,'Données projet'!$E$15+1,1))</f>
        <v>312.48716825299158</v>
      </c>
      <c r="EP14" s="59">
        <f t="shared" si="46"/>
        <v>258.68277822755357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2.9235042735042733</v>
      </c>
      <c r="FE14" s="12">
        <f>IF('Données projet'!$A$218&gt;35,FE13+FD14-FM13,IF(A14&lt;'Données projet'!$A$218,$FB$205^A14,IF(A14='Données projet'!$A$218,'Données projet'!$B$218,FE13+FD14-FM13)))</f>
        <v>5.1575387009743459</v>
      </c>
      <c r="FF14" s="17">
        <f>FE14*VLOOKUP('Données projet'!$B$16,Paramètres!$A$1:$I$89,3,0)*VLOOKUP('Données projet'!$B$16,Paramètres!$A$1:$I$89,5,0)</f>
        <v>5.5515746577287857</v>
      </c>
      <c r="FG14" s="13">
        <f t="shared" si="47"/>
        <v>2.0956473646939413</v>
      </c>
      <c r="FH14" s="20">
        <f t="shared" si="22"/>
        <v>13.318911689052916</v>
      </c>
      <c r="FI14" s="59">
        <f t="shared" si="23"/>
        <v>283.43002280016407</v>
      </c>
      <c r="FJ14" s="59">
        <f ca="1">AVERAGE(OFFSET($FI$3,0,0,'Données projet'!$E$16+1,1))-AVERAGE(OFFSET($H$3,0,0,'Données projet'!$E$16+1,1))</f>
        <v>403.23110963096246</v>
      </c>
      <c r="FK14" s="59">
        <f t="shared" si="48"/>
        <v>245.72000393124898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2.9235042735042733</v>
      </c>
      <c r="FZ14" s="12">
        <f>IF('Données projet'!$A$244&gt;35,FZ13+FY14-GH13,IF(A14&lt;'Données projet'!$A$244,$FW$205^A14,IF(A14='Données projet'!$A$244,'Données projet'!$B$244,FZ13+FY14-GH13)))</f>
        <v>5.1575387009743459</v>
      </c>
      <c r="GA14" s="17">
        <f>FZ14*VLOOKUP('Données projet'!$B$17,Paramètres!$A$1:$I$89,3,0)*VLOOKUP('Données projet'!$B$17,Paramètres!$A$1:$I$89,5,0)</f>
        <v>4.9883714315823875</v>
      </c>
      <c r="GB14" s="13">
        <f t="shared" si="49"/>
        <v>1.9066388842747952</v>
      </c>
      <c r="GC14" s="20">
        <f t="shared" si="25"/>
        <v>12.008809633451259</v>
      </c>
      <c r="GD14" s="59">
        <f t="shared" si="26"/>
        <v>282.11992074456242</v>
      </c>
      <c r="GE14" s="59">
        <f ca="1">AVERAGE(OFFSET($GD$3,0,0,'Données projet'!$E$17+1,1))-AVERAGE(OFFSET($H$3,0,0,'Données projet'!$E$17+1,1))</f>
        <v>336.2911850338175</v>
      </c>
      <c r="GF14" s="59">
        <f t="shared" si="50"/>
        <v>225.01415116995503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2.9235042735042733</v>
      </c>
      <c r="GU14" s="12">
        <f>IF('Données projet'!$A$270&gt;35,GU13+GT14-HC13,IF(A14&lt;'Données projet'!$A$270,$GR$205^A14,IF(A14='Données projet'!$A$270,'Données projet'!$B$270,GU13+GT14-HC13)))</f>
        <v>5.1575387009743459</v>
      </c>
      <c r="GV14" s="17">
        <f>GU14*VLOOKUP('Données projet'!$B$18,Paramètres!$A$1:$I$89,3,0)*VLOOKUP('Données projet'!$B$18,Paramètres!$A$1:$I$89,5,0)</f>
        <v>3.4596769606135913</v>
      </c>
      <c r="GW14" s="13">
        <f t="shared" si="51"/>
        <v>1.3798881222286317</v>
      </c>
      <c r="GX14" s="20">
        <f t="shared" si="28"/>
        <v>8.4289091859502054</v>
      </c>
      <c r="GY14" s="59">
        <f t="shared" si="29"/>
        <v>278.54002029706135</v>
      </c>
      <c r="GZ14" s="59">
        <f ca="1">AVERAGE(OFFSET($GY$3,0,0,'Données projet'!$E$18+1,1))-AVERAGE(OFFSET($H$3,0,0,'Données projet'!$E$18+1,1))</f>
        <v>266.37807768393191</v>
      </c>
      <c r="HA14" s="59">
        <f t="shared" si="52"/>
        <v>168.52019826233425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2.4666666666666668</v>
      </c>
      <c r="N15" s="13">
        <f>IF('Données projet'!$A$36&gt;35,N14+M15-V14,IF(A15&lt;'Données projet'!$A$36,$K$205^A15,IF(A15='Données projet'!$A$36,'Données projet'!$B$36,N14+M15-V14)))</f>
        <v>17.970550417308221</v>
      </c>
      <c r="O15" s="13">
        <f>N15*VLOOKUP('Données projet'!$B$9,Paramètres!$A$1:$I$89,3,0)*VLOOKUP('Données projet'!$B$9,Paramètres!$A$1:$I$89,5,0)</f>
        <v>15.699072844560465</v>
      </c>
      <c r="P15" s="13">
        <f t="shared" si="33"/>
        <v>5.250810382962916</v>
      </c>
      <c r="Q15" s="20">
        <f t="shared" si="2"/>
        <v>36.48771328793655</v>
      </c>
      <c r="R15" s="59">
        <f t="shared" si="0"/>
        <v>307.82104662126989</v>
      </c>
      <c r="S15" s="59">
        <f ca="1">AVERAGE(OFFSET($R$3,0,0,'Données projet'!$E$9+1,1))-AVERAGE(OFFSET($H$3,0,0,'Données projet'!$E$9+1,1))</f>
        <v>324.86930206492627</v>
      </c>
      <c r="T15" s="59">
        <f t="shared" si="34"/>
        <v>317.03005098025352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4.0628205128205126</v>
      </c>
      <c r="AI15" s="13">
        <f>IF('Données projet'!$A$62&gt;35,AI14+AH15-AQ14,IF(A15&lt;'Données projet'!$A$62,$AF$205^A15,IF(A15='Données projet'!$A$62,'Données projet'!$B$62,AI14+AH15-AQ14)))</f>
        <v>6.8293529228851897</v>
      </c>
      <c r="AJ15" s="13">
        <f>AI15*VLOOKUP('Données projet'!$B$10,Paramètres!$A$1:$I$89,3,0)*VLOOKUP('Données projet'!$B$10,Paramètres!$A$1:$I$89,5,0)</f>
        <v>6.4988122414175455</v>
      </c>
      <c r="AK15" s="13">
        <f t="shared" si="35"/>
        <v>2.408641574812437</v>
      </c>
      <c r="AL15" s="20">
        <f t="shared" si="4"/>
        <v>15.513815396600551</v>
      </c>
      <c r="AM15" s="59">
        <f t="shared" si="5"/>
        <v>286.84714872993385</v>
      </c>
      <c r="AN15" s="59">
        <f ca="1">AVERAGE(OFFSET($AM$3,0,0,'Données projet'!$E$10+1,1))-AVERAGE(OFFSET($H$3,0,0,'Données projet'!$E$10+1,1))</f>
        <v>401.81944956556271</v>
      </c>
      <c r="AO15" s="59">
        <f t="shared" si="36"/>
        <v>292.20785523952651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2.6666666666666665</v>
      </c>
      <c r="BD15" s="12">
        <f>IF('Données projet'!$A$88&gt;35,BD14+BC15-BL14,IF(A15&lt;'Données projet'!$A$88,$BA$205^A15,IF(A15='Données projet'!$A$88,'Données projet'!$B$88,BD14+BC15-BL14)))</f>
        <v>19.127049995800721</v>
      </c>
      <c r="BE15" s="13">
        <f>BD15*VLOOKUP('Données projet'!$B$11,Paramètres!$A$1:$I$89,3,0)*VLOOKUP('Données projet'!$B$11,Paramètres!$A$1:$I$89,5,0)</f>
        <v>14.919098996724562</v>
      </c>
      <c r="BF15" s="13">
        <f t="shared" si="37"/>
        <v>5.019622097301081</v>
      </c>
      <c r="BG15" s="20">
        <f t="shared" si="7"/>
        <v>34.726605905427995</v>
      </c>
      <c r="BH15" s="59">
        <f t="shared" si="8"/>
        <v>306.05993923876133</v>
      </c>
      <c r="BI15" s="59">
        <f ca="1">AVERAGE(OFFSET($BH$3,0,0,'Données projet'!$E$11+1,1))-AVERAGE(OFFSET($H$3,0,0,'Données projet'!$E$11+1,1))</f>
        <v>288.80569134263209</v>
      </c>
      <c r="BJ15" s="59">
        <f t="shared" si="38"/>
        <v>283.48738729114024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</v>
      </c>
      <c r="BY15" s="12">
        <f>IF('Données projet'!$A$114&gt;35,BY14+BX15-CG14,IF(A15&lt;'Données projet'!$A$114,$BV$205^A15,IF(A15='Données projet'!$A$114,'Données projet'!$B$114,BY14+BX15-CG14)))</f>
        <v>29.6</v>
      </c>
      <c r="BZ15" s="13">
        <f>BY15*VLOOKUP('Données projet'!$B$12,Paramètres!$A$1:$I$89,3,0)*VLOOKUP('Données projet'!$B$12,Paramètres!$A$1:$I$89,5,0)</f>
        <v>30.937920000000002</v>
      </c>
      <c r="CA15" s="13">
        <f t="shared" si="39"/>
        <v>9.562028009899409</v>
      </c>
      <c r="CB15" s="20">
        <f t="shared" si="10"/>
        <v>70.537409450574799</v>
      </c>
      <c r="CC15" s="59">
        <f t="shared" si="11"/>
        <v>341.8707427839081</v>
      </c>
      <c r="CD15" s="59">
        <f ca="1">AVERAGE(OFFSET($CC$3,0,0,'Données projet'!$E$12+1,1))-AVERAGE(OFFSET($H$3,0,0,'Données projet'!$E$12+1,1))</f>
        <v>352.22281362023102</v>
      </c>
      <c r="CE15" s="59">
        <f t="shared" si="40"/>
        <v>310.2353747925161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2.9235042735042733</v>
      </c>
      <c r="CT15" s="12">
        <f>IF('Données projet'!$A$140&gt;35,CT14+CS15-DB14,IF(A15&lt;'Données projet'!$A$140,$CQ$205^A15,IF(A15='Données projet'!$A$140,'Données projet'!$B$140,CT14+CS15-DB14)))</f>
        <v>5.9870101592612031</v>
      </c>
      <c r="CU15" s="17">
        <f>CT15*VLOOKUP('Données projet'!$B$13,Paramètres!$A$1:$I$89,3,0)*VLOOKUP('Données projet'!$B$13,Paramètres!$A$1:$I$89,5,0)</f>
        <v>5.4170467920995362</v>
      </c>
      <c r="CV15" s="13">
        <f t="shared" si="41"/>
        <v>2.05071206609116</v>
      </c>
      <c r="CW15" s="20">
        <f t="shared" si="13"/>
        <v>13.006346678015461</v>
      </c>
      <c r="CX15" s="59">
        <f t="shared" si="14"/>
        <v>284.33968001134878</v>
      </c>
      <c r="CY15" s="59">
        <f ca="1">AVERAGE(OFFSET($CX$3,0,0,'Données projet'!$E$13+1,1))-AVERAGE(OFFSET($H$3,0,0,'Données projet'!$E$13+1,1))</f>
        <v>345.49688858037996</v>
      </c>
      <c r="CZ15" s="59">
        <f t="shared" si="42"/>
        <v>213.15872113755023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2.9235042735042733</v>
      </c>
      <c r="DO15" s="12">
        <f>IF('Données projet'!$A$166&gt;35,DO14+DN15-DW14,IF(A15&lt;'Données projet'!$A$166,$DL$205^A15,IF(A15='Données projet'!$A$166,'Données projet'!$B$166,DO14+DN15-DW14)))</f>
        <v>5.9870101592612031</v>
      </c>
      <c r="DP15" s="17">
        <f>DO15*VLOOKUP('Données projet'!$B$14,Paramètres!$A$1:$I$89,3,0)*VLOOKUP('Données projet'!$B$14,Paramètres!$A$1:$I$89,5,0)</f>
        <v>6.0708283014908604</v>
      </c>
      <c r="DQ15" s="13">
        <f t="shared" si="43"/>
        <v>2.2679316068756354</v>
      </c>
      <c r="DR15" s="20">
        <f t="shared" si="16"/>
        <v>14.523340173738314</v>
      </c>
      <c r="DS15" s="59">
        <f t="shared" si="17"/>
        <v>285.8566735070716</v>
      </c>
      <c r="DT15" s="59">
        <f ca="1">AVERAGE(OFFSET($DS$3,0,0,'Données projet'!$E$14+1,1))-AVERAGE(OFFSET($H$3,0,0,'Données projet'!$E$14+1,1))</f>
        <v>382.26108489744581</v>
      </c>
      <c r="DU15" s="59">
        <f t="shared" si="44"/>
        <v>233.89423996158826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3.9732905982905979</v>
      </c>
      <c r="EJ15" s="12">
        <f>IF('Données projet'!$A$192&gt;35,EJ14+EI15-ER14,IF(A15&lt;'Données projet'!$A$192,$EG$205^A15,IF(A15='Données projet'!$A$192,'Données projet'!$B$192,EJ14+EI15-ER14)))</f>
        <v>6.7687524900657969</v>
      </c>
      <c r="EK15" s="17">
        <f>EJ15*VLOOKUP('Données projet'!$B$15,Paramètres!$A$1:$I$89,3,0)*VLOOKUP('Données projet'!$B$15,Paramètres!$A$1:$I$89,5,0)</f>
        <v>5.7019970976314278</v>
      </c>
      <c r="EL15" s="13">
        <f t="shared" si="45"/>
        <v>2.1457420637884543</v>
      </c>
      <c r="EM15" s="20">
        <f t="shared" si="19"/>
        <v>13.668145706139628</v>
      </c>
      <c r="EN15" s="59">
        <f t="shared" si="20"/>
        <v>285.00147903947294</v>
      </c>
      <c r="EO15" s="59">
        <f ca="1">AVERAGE(OFFSET($EN$3,0,0,'Données projet'!$E$15+1,1))-AVERAGE(OFFSET($H$3,0,0,'Données projet'!$E$15+1,1))</f>
        <v>312.48716825299158</v>
      </c>
      <c r="EP15" s="59">
        <f t="shared" si="46"/>
        <v>258.68277822755357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2.9235042735042733</v>
      </c>
      <c r="FE15" s="12">
        <f>IF('Données projet'!$A$218&gt;35,FE14+FD15-FM14,IF(A15&lt;'Données projet'!$A$218,$FB$205^A15,IF(A15='Données projet'!$A$218,'Données projet'!$B$218,FE14+FD15-FM14)))</f>
        <v>5.9870101592612031</v>
      </c>
      <c r="FF15" s="17">
        <f>FE15*VLOOKUP('Données projet'!$B$16,Paramètres!$A$1:$I$89,3,0)*VLOOKUP('Données projet'!$B$16,Paramètres!$A$1:$I$89,5,0)</f>
        <v>6.4444177354287593</v>
      </c>
      <c r="FG15" s="13">
        <f t="shared" si="47"/>
        <v>2.390819383553247</v>
      </c>
      <c r="FH15" s="20">
        <f t="shared" si="22"/>
        <v>15.38803798222699</v>
      </c>
      <c r="FI15" s="59">
        <f t="shared" si="23"/>
        <v>286.7213713155603</v>
      </c>
      <c r="FJ15" s="59">
        <f ca="1">AVERAGE(OFFSET($FI$3,0,0,'Données projet'!$E$16+1,1))-AVERAGE(OFFSET($H$3,0,0,'Données projet'!$E$16+1,1))</f>
        <v>403.23110963096246</v>
      </c>
      <c r="FK15" s="59">
        <f t="shared" si="48"/>
        <v>245.72000393124898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2.9235042735042733</v>
      </c>
      <c r="FZ15" s="12">
        <f>IF('Données projet'!$A$244&gt;35,FZ14+FY15-GH14,IF(A15&lt;'Données projet'!$A$244,$FW$205^A15,IF(A15='Données projet'!$A$244,'Données projet'!$B$244,FZ14+FY15-GH14)))</f>
        <v>5.9870101592612031</v>
      </c>
      <c r="GA15" s="17">
        <f>FZ15*VLOOKUP('Données projet'!$B$17,Paramètres!$A$1:$I$89,3,0)*VLOOKUP('Données projet'!$B$17,Paramètres!$A$1:$I$89,5,0)</f>
        <v>5.790636226037436</v>
      </c>
      <c r="GB15" s="13">
        <f t="shared" si="49"/>
        <v>2.175189050771551</v>
      </c>
      <c r="GC15" s="20">
        <f t="shared" si="25"/>
        <v>13.873812357108987</v>
      </c>
      <c r="GD15" s="59">
        <f t="shared" si="26"/>
        <v>285.2071456904423</v>
      </c>
      <c r="GE15" s="59">
        <f ca="1">AVERAGE(OFFSET($GD$3,0,0,'Données projet'!$E$17+1,1))-AVERAGE(OFFSET($H$3,0,0,'Données projet'!$E$17+1,1))</f>
        <v>336.2911850338175</v>
      </c>
      <c r="GF15" s="59">
        <f t="shared" si="50"/>
        <v>225.01415116995503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2.9235042735042733</v>
      </c>
      <c r="GU15" s="12">
        <f>IF('Données projet'!$A$270&gt;35,GU14+GT15-HC14,IF(A15&lt;'Données projet'!$A$270,$GR$205^A15,IF(A15='Données projet'!$A$270,'Données projet'!$B$270,GU14+GT15-HC14)))</f>
        <v>5.9870101592612031</v>
      </c>
      <c r="GV15" s="17">
        <f>GU15*VLOOKUP('Données projet'!$B$18,Paramètres!$A$1:$I$89,3,0)*VLOOKUP('Données projet'!$B$18,Paramètres!$A$1:$I$89,5,0)</f>
        <v>4.0160864148324151</v>
      </c>
      <c r="GW15" s="13">
        <f t="shared" si="51"/>
        <v>1.5742454218870527</v>
      </c>
      <c r="GX15" s="20">
        <f t="shared" si="28"/>
        <v>9.7364946156197405</v>
      </c>
      <c r="GY15" s="59">
        <f t="shared" si="29"/>
        <v>281.06982794895305</v>
      </c>
      <c r="GZ15" s="59">
        <f ca="1">AVERAGE(OFFSET($GY$3,0,0,'Données projet'!$E$18+1,1))-AVERAGE(OFFSET($H$3,0,0,'Données projet'!$E$18+1,1))</f>
        <v>266.37807768393191</v>
      </c>
      <c r="HA15" s="59">
        <f t="shared" si="52"/>
        <v>168.52019826233425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2.4666666666666668</v>
      </c>
      <c r="N16" s="13">
        <f>IF('Données projet'!$A$36&gt;35,N15+M16-V15,IF(A16&lt;'Données projet'!$A$36,$K$205^A16,IF(A16='Données projet'!$A$36,'Données projet'!$B$36,N15+M16-V15)))</f>
        <v>22.86168101684942</v>
      </c>
      <c r="O16" s="13">
        <f>N16*VLOOKUP('Données projet'!$B$9,Paramètres!$A$1:$I$89,3,0)*VLOOKUP('Données projet'!$B$9,Paramètres!$A$1:$I$89,5,0)</f>
        <v>19.971964536319657</v>
      </c>
      <c r="P16" s="13">
        <f t="shared" si="33"/>
        <v>6.4953696479137237</v>
      </c>
      <c r="Q16" s="20">
        <f t="shared" si="2"/>
        <v>46.097273704206465</v>
      </c>
      <c r="R16" s="59">
        <f t="shared" si="0"/>
        <v>318.65282925976203</v>
      </c>
      <c r="S16" s="59">
        <f ca="1">AVERAGE(OFFSET($R$3,0,0,'Données projet'!$E$9+1,1))-AVERAGE(OFFSET($H$3,0,0,'Données projet'!$E$9+1,1))</f>
        <v>324.86930206492627</v>
      </c>
      <c r="T16" s="59">
        <f t="shared" si="34"/>
        <v>317.03005098025352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4.0628205128205126</v>
      </c>
      <c r="AI16" s="13">
        <f>IF('Données projet'!$A$62&gt;35,AI15+AH16-AQ15,IF(A16&lt;'Données projet'!$A$62,$AF$205^A16,IF(A16='Données projet'!$A$62,'Données projet'!$B$62,AI15+AH16-AQ15)))</f>
        <v>8.0151413590917304</v>
      </c>
      <c r="AJ16" s="13">
        <f>AI16*VLOOKUP('Données projet'!$B$10,Paramètres!$A$1:$I$89,3,0)*VLOOKUP('Données projet'!$B$10,Paramètres!$A$1:$I$89,5,0)</f>
        <v>7.6272085173116917</v>
      </c>
      <c r="AK16" s="13">
        <f t="shared" si="35"/>
        <v>2.7746635328661533</v>
      </c>
      <c r="AL16" s="20">
        <f t="shared" si="4"/>
        <v>18.116593820726411</v>
      </c>
      <c r="AM16" s="59">
        <f t="shared" si="5"/>
        <v>290.67214937628194</v>
      </c>
      <c r="AN16" s="59">
        <f ca="1">AVERAGE(OFFSET($AM$3,0,0,'Données projet'!$E$10+1,1))-AVERAGE(OFFSET($H$3,0,0,'Données projet'!$E$10+1,1))</f>
        <v>401.81944956556271</v>
      </c>
      <c r="AO16" s="59">
        <f t="shared" si="36"/>
        <v>292.20785523952651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2.6666666666666665</v>
      </c>
      <c r="BD16" s="12">
        <f>IF('Données projet'!$A$88&gt;35,BD15+BC16-BL15,IF(A16&lt;'Données projet'!$A$88,$BA$205^A16,IF(A16='Données projet'!$A$88,'Données projet'!$B$88,BD15+BC16-BL15)))</f>
        <v>24.459748796430759</v>
      </c>
      <c r="BE16" s="13">
        <f>BD16*VLOOKUP('Données projet'!$B$11,Paramètres!$A$1:$I$89,3,0)*VLOOKUP('Données projet'!$B$11,Paramètres!$A$1:$I$89,5,0)</f>
        <v>19.078604061215994</v>
      </c>
      <c r="BF16" s="13">
        <f t="shared" si="37"/>
        <v>6.2379664748280286</v>
      </c>
      <c r="BG16" s="20">
        <f t="shared" si="7"/>
        <v>44.093027016943331</v>
      </c>
      <c r="BH16" s="59">
        <f t="shared" si="8"/>
        <v>316.64858257249887</v>
      </c>
      <c r="BI16" s="59">
        <f ca="1">AVERAGE(OFFSET($BH$3,0,0,'Données projet'!$E$11+1,1))-AVERAGE(OFFSET($H$3,0,0,'Données projet'!$E$11+1,1))</f>
        <v>288.80569134263209</v>
      </c>
      <c r="BJ16" s="59">
        <f t="shared" si="38"/>
        <v>283.48738729114024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</v>
      </c>
      <c r="BY16" s="12">
        <f>IF('Données projet'!$A$114&gt;35,BY15+BX16-CG15,IF(A16&lt;'Données projet'!$A$114,$BV$205^A16,IF(A16='Données projet'!$A$114,'Données projet'!$B$114,BY15+BX16-CG15)))</f>
        <v>35.4</v>
      </c>
      <c r="BZ16" s="13">
        <f>BY16*VLOOKUP('Données projet'!$B$12,Paramètres!$A$1:$I$89,3,0)*VLOOKUP('Données projet'!$B$12,Paramètres!$A$1:$I$89,5,0)</f>
        <v>37.000080000000004</v>
      </c>
      <c r="CA16" s="13">
        <f t="shared" si="39"/>
        <v>11.199946237842099</v>
      </c>
      <c r="CB16" s="20">
        <f t="shared" si="10"/>
        <v>83.948379030908328</v>
      </c>
      <c r="CC16" s="59">
        <f t="shared" si="11"/>
        <v>356.50393458646386</v>
      </c>
      <c r="CD16" s="59">
        <f ca="1">AVERAGE(OFFSET($CC$3,0,0,'Données projet'!$E$12+1,1))-AVERAGE(OFFSET($H$3,0,0,'Données projet'!$E$12+1,1))</f>
        <v>352.22281362023102</v>
      </c>
      <c r="CE16" s="59">
        <f t="shared" si="40"/>
        <v>310.2353747925161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2.9235042735042733</v>
      </c>
      <c r="CT16" s="12">
        <f>IF('Données projet'!$A$140&gt;35,CT15+CS16-DB15,IF(A16&lt;'Données projet'!$A$140,$CQ$205^A16,IF(A16='Données projet'!$A$140,'Données projet'!$B$140,CT15+CS16-DB15)))</f>
        <v>6.9498830208148057</v>
      </c>
      <c r="CU16" s="17">
        <f>CT16*VLOOKUP('Données projet'!$B$13,Paramètres!$A$1:$I$89,3,0)*VLOOKUP('Données projet'!$B$13,Paramètres!$A$1:$I$89,5,0)</f>
        <v>6.2882541572332364</v>
      </c>
      <c r="CV16" s="13">
        <f t="shared" si="41"/>
        <v>2.3395549462651668</v>
      </c>
      <c r="CW16" s="20">
        <f t="shared" si="13"/>
        <v>15.026767521926386</v>
      </c>
      <c r="CX16" s="59">
        <f t="shared" si="14"/>
        <v>287.58232307748193</v>
      </c>
      <c r="CY16" s="59">
        <f ca="1">AVERAGE(OFFSET($CX$3,0,0,'Données projet'!$E$13+1,1))-AVERAGE(OFFSET($H$3,0,0,'Données projet'!$E$13+1,1))</f>
        <v>345.49688858037996</v>
      </c>
      <c r="CZ16" s="59">
        <f t="shared" si="42"/>
        <v>213.15872113755023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2.9235042735042733</v>
      </c>
      <c r="DO16" s="12">
        <f>IF('Données projet'!$A$166&gt;35,DO15+DN16-DW15,IF(A16&lt;'Données projet'!$A$166,$DL$205^A16,IF(A16='Données projet'!$A$166,'Données projet'!$B$166,DO15+DN16-DW15)))</f>
        <v>6.9498830208148057</v>
      </c>
      <c r="DP16" s="17">
        <f>DO16*VLOOKUP('Données projet'!$B$14,Paramètres!$A$1:$I$89,3,0)*VLOOKUP('Données projet'!$B$14,Paramètres!$A$1:$I$89,5,0)</f>
        <v>7.0471813831062136</v>
      </c>
      <c r="DQ16" s="13">
        <f t="shared" si="43"/>
        <v>2.5873698684431186</v>
      </c>
      <c r="DR16" s="20">
        <f t="shared" si="16"/>
        <v>16.780176763115087</v>
      </c>
      <c r="DS16" s="59">
        <f t="shared" si="17"/>
        <v>289.33573231867064</v>
      </c>
      <c r="DT16" s="59">
        <f ca="1">AVERAGE(OFFSET($DS$3,0,0,'Données projet'!$E$14+1,1))-AVERAGE(OFFSET($H$3,0,0,'Données projet'!$E$14+1,1))</f>
        <v>382.26108489744581</v>
      </c>
      <c r="DU16" s="59">
        <f t="shared" si="44"/>
        <v>233.89423996158826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3.9732905982905979</v>
      </c>
      <c r="EJ16" s="12">
        <f>IF('Données projet'!$A$192&gt;35,EJ15+EI16-ER15,IF(A16&lt;'Données projet'!$A$192,$EG$205^A16,IF(A16='Données projet'!$A$192,'Données projet'!$B$192,EJ15+EI16-ER15)))</f>
        <v>7.9381204885351178</v>
      </c>
      <c r="EK16" s="17">
        <f>EJ16*VLOOKUP('Données projet'!$B$15,Paramètres!$A$1:$I$89,3,0)*VLOOKUP('Données projet'!$B$15,Paramètres!$A$1:$I$89,5,0)</f>
        <v>6.687072699541984</v>
      </c>
      <c r="EL16" s="13">
        <f t="shared" si="45"/>
        <v>2.4701915627063342</v>
      </c>
      <c r="EM16" s="20">
        <f t="shared" si="19"/>
        <v>15.94890192341582</v>
      </c>
      <c r="EN16" s="59">
        <f t="shared" si="20"/>
        <v>288.50445747897135</v>
      </c>
      <c r="EO16" s="59">
        <f ca="1">AVERAGE(OFFSET($EN$3,0,0,'Données projet'!$E$15+1,1))-AVERAGE(OFFSET($H$3,0,0,'Données projet'!$E$15+1,1))</f>
        <v>312.48716825299158</v>
      </c>
      <c r="EP16" s="59">
        <f t="shared" si="46"/>
        <v>258.68277822755357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2.9235042735042733</v>
      </c>
      <c r="FE16" s="12">
        <f>IF('Données projet'!$A$218&gt;35,FE15+FD16-FM15,IF(A16&lt;'Données projet'!$A$218,$FB$205^A16,IF(A16='Données projet'!$A$218,'Données projet'!$B$218,FE15+FD16-FM15)))</f>
        <v>6.9498830208148057</v>
      </c>
      <c r="FF16" s="17">
        <f>FE16*VLOOKUP('Données projet'!$B$16,Paramètres!$A$1:$I$89,3,0)*VLOOKUP('Données projet'!$B$16,Paramètres!$A$1:$I$89,5,0)</f>
        <v>7.4808540836050561</v>
      </c>
      <c r="FG16" s="13">
        <f t="shared" si="47"/>
        <v>2.7275663935992016</v>
      </c>
      <c r="FH16" s="20">
        <f t="shared" si="22"/>
        <v>17.77966566446408</v>
      </c>
      <c r="FI16" s="59">
        <f t="shared" si="23"/>
        <v>290.3352212200196</v>
      </c>
      <c r="FJ16" s="59">
        <f ca="1">AVERAGE(OFFSET($FI$3,0,0,'Données projet'!$E$16+1,1))-AVERAGE(OFFSET($H$3,0,0,'Données projet'!$E$16+1,1))</f>
        <v>403.23110963096246</v>
      </c>
      <c r="FK16" s="59">
        <f t="shared" si="48"/>
        <v>245.72000393124898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2.9235042735042733</v>
      </c>
      <c r="FZ16" s="12">
        <f>IF('Données projet'!$A$244&gt;35,FZ15+FY16-GH15,IF(A16&lt;'Données projet'!$A$244,$FW$205^A16,IF(A16='Données projet'!$A$244,'Données projet'!$B$244,FZ15+FY16-GH15)))</f>
        <v>6.9498830208148057</v>
      </c>
      <c r="GA16" s="17">
        <f>FZ16*VLOOKUP('Données projet'!$B$17,Paramètres!$A$1:$I$89,3,0)*VLOOKUP('Données projet'!$B$17,Paramètres!$A$1:$I$89,5,0)</f>
        <v>6.7219268577320808</v>
      </c>
      <c r="GB16" s="13">
        <f t="shared" si="49"/>
        <v>2.4815645194376086</v>
      </c>
      <c r="GC16" s="20">
        <f t="shared" si="25"/>
        <v>16.029414148570542</v>
      </c>
      <c r="GD16" s="59">
        <f t="shared" si="26"/>
        <v>288.58496970412608</v>
      </c>
      <c r="GE16" s="59">
        <f ca="1">AVERAGE(OFFSET($GD$3,0,0,'Données projet'!$E$17+1,1))-AVERAGE(OFFSET($H$3,0,0,'Données projet'!$E$17+1,1))</f>
        <v>336.2911850338175</v>
      </c>
      <c r="GF16" s="59">
        <f t="shared" si="50"/>
        <v>225.01415116995503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2.9235042735042733</v>
      </c>
      <c r="GU16" s="12">
        <f>IF('Données projet'!$A$270&gt;35,GU15+GT16-HC15,IF(A16&lt;'Données projet'!$A$270,$GR$205^A16,IF(A16='Données projet'!$A$270,'Données projet'!$B$270,GU15+GT16-HC15)))</f>
        <v>6.9498830208148057</v>
      </c>
      <c r="GV16" s="17">
        <f>GU16*VLOOKUP('Données projet'!$B$18,Paramètres!$A$1:$I$89,3,0)*VLOOKUP('Données projet'!$B$18,Paramètres!$A$1:$I$89,5,0)</f>
        <v>4.6619815303625725</v>
      </c>
      <c r="GW16" s="13">
        <f t="shared" si="51"/>
        <v>1.7959779553213142</v>
      </c>
      <c r="GX16" s="20">
        <f t="shared" si="28"/>
        <v>11.247612770899435</v>
      </c>
      <c r="GY16" s="59">
        <f t="shared" si="29"/>
        <v>283.80316832645497</v>
      </c>
      <c r="GZ16" s="59">
        <f ca="1">AVERAGE(OFFSET($GY$3,0,0,'Données projet'!$E$18+1,1))-AVERAGE(OFFSET($H$3,0,0,'Données projet'!$E$18+1,1))</f>
        <v>266.37807768393191</v>
      </c>
      <c r="HA16" s="59">
        <f t="shared" si="52"/>
        <v>168.52019826233425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2.4666666666666668</v>
      </c>
      <c r="N17" s="13">
        <f>IF('Données projet'!$A$36&gt;35,N16+M17-V16,IF(A17&lt;'Données projet'!$A$36,$K$205^A17,IF(A17='Données projet'!$A$36,'Données projet'!$B$36,N16+M17-V16)))</f>
        <v>29.084054009429774</v>
      </c>
      <c r="O17" s="13">
        <f>N17*VLOOKUP('Données projet'!$B$9,Paramètres!$A$1:$I$89,3,0)*VLOOKUP('Données projet'!$B$9,Paramètres!$A$1:$I$89,5,0)</f>
        <v>25.407829582637852</v>
      </c>
      <c r="P17" s="13">
        <f t="shared" si="33"/>
        <v>8.0349172386667025</v>
      </c>
      <c r="Q17" s="20">
        <f t="shared" si="2"/>
        <v>58.246117380438761</v>
      </c>
      <c r="R17" s="59">
        <f t="shared" si="0"/>
        <v>332.02389515821653</v>
      </c>
      <c r="S17" s="59">
        <f ca="1">AVERAGE(OFFSET($R$3,0,0,'Données projet'!$E$9+1,1))-AVERAGE(OFFSET($H$3,0,0,'Données projet'!$E$9+1,1))</f>
        <v>324.86930206492627</v>
      </c>
      <c r="T17" s="59">
        <f t="shared" si="34"/>
        <v>317.03005098025352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4.0628205128205126</v>
      </c>
      <c r="AI17" s="13">
        <f>IF('Données projet'!$A$62&gt;35,AI16+AH17-AQ16,IF(A17&lt;'Données projet'!$A$62,$AF$205^A17,IF(A17='Données projet'!$A$62,'Données projet'!$B$62,AI16+AH17-AQ16)))</f>
        <v>9.4068196111151305</v>
      </c>
      <c r="AJ17" s="13">
        <f>AI17*VLOOKUP('Données projet'!$B$10,Paramètres!$A$1:$I$89,3,0)*VLOOKUP('Données projet'!$B$10,Paramètres!$A$1:$I$89,5,0)</f>
        <v>8.9515295419371572</v>
      </c>
      <c r="AK17" s="13">
        <f t="shared" si="35"/>
        <v>3.1963069147043139</v>
      </c>
      <c r="AL17" s="20">
        <f t="shared" si="4"/>
        <v>21.15748182865056</v>
      </c>
      <c r="AM17" s="59">
        <f t="shared" si="5"/>
        <v>294.9352596064283</v>
      </c>
      <c r="AN17" s="59">
        <f ca="1">AVERAGE(OFFSET($AM$3,0,0,'Données projet'!$E$10+1,1))-AVERAGE(OFFSET($H$3,0,0,'Données projet'!$E$10+1,1))</f>
        <v>401.81944956556271</v>
      </c>
      <c r="AO17" s="59">
        <f t="shared" si="36"/>
        <v>292.20785523952651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2.6666666666666665</v>
      </c>
      <c r="BD17" s="12">
        <f>IF('Données projet'!$A$88&gt;35,BD16+BC17-BL16,IF(A17&lt;'Données projet'!$A$88,$BA$205^A17,IF(A17='Données projet'!$A$88,'Données projet'!$B$88,BD16+BC17-BL16)))</f>
        <v>31.279225563578599</v>
      </c>
      <c r="BE17" s="13">
        <f>BD17*VLOOKUP('Données projet'!$B$11,Paramètres!$A$1:$I$89,3,0)*VLOOKUP('Données projet'!$B$11,Paramètres!$A$1:$I$89,5,0)</f>
        <v>24.397795939591308</v>
      </c>
      <c r="BF17" s="13">
        <f t="shared" si="37"/>
        <v>7.75202295846145</v>
      </c>
      <c r="BG17" s="20">
        <f t="shared" si="7"/>
        <v>55.994267914108548</v>
      </c>
      <c r="BH17" s="59">
        <f t="shared" si="8"/>
        <v>329.77204569188632</v>
      </c>
      <c r="BI17" s="59">
        <f ca="1">AVERAGE(OFFSET($BH$3,0,0,'Données projet'!$E$11+1,1))-AVERAGE(OFFSET($H$3,0,0,'Données projet'!$E$11+1,1))</f>
        <v>288.80569134263209</v>
      </c>
      <c r="BJ17" s="59">
        <f t="shared" si="38"/>
        <v>283.48738729114024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</v>
      </c>
      <c r="BY17" s="12">
        <f>IF('Données projet'!$A$114&gt;35,BY16+BX17-CG16,IF(A17&lt;'Données projet'!$A$114,$BV$205^A17,IF(A17='Données projet'!$A$114,'Données projet'!$B$114,BY16+BX17-CG16)))</f>
        <v>41.199999999999996</v>
      </c>
      <c r="BZ17" s="13">
        <f>BY17*VLOOKUP('Données projet'!$B$12,Paramètres!$A$1:$I$89,3,0)*VLOOKUP('Données projet'!$B$12,Paramètres!$A$1:$I$89,5,0)</f>
        <v>43.062240000000003</v>
      </c>
      <c r="CA17" s="13">
        <f t="shared" si="39"/>
        <v>12.806776656744804</v>
      </c>
      <c r="CB17" s="20">
        <f t="shared" si="10"/>
        <v>97.305204010497206</v>
      </c>
      <c r="CC17" s="59">
        <f t="shared" si="11"/>
        <v>371.08298178827499</v>
      </c>
      <c r="CD17" s="59">
        <f ca="1">AVERAGE(OFFSET($CC$3,0,0,'Données projet'!$E$12+1,1))-AVERAGE(OFFSET($H$3,0,0,'Données projet'!$E$12+1,1))</f>
        <v>352.22281362023102</v>
      </c>
      <c r="CE17" s="59">
        <f t="shared" si="40"/>
        <v>310.2353747925161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2.9235042735042733</v>
      </c>
      <c r="CT17" s="12">
        <f>IF('Données projet'!$A$140&gt;35,CT16+CS17-DB16,IF(A17&lt;'Données projet'!$A$140,$CQ$205^A17,IF(A17='Données projet'!$A$140,'Données projet'!$B$140,CT16+CS17-DB16)))</f>
        <v>8.0676118326430668</v>
      </c>
      <c r="CU17" s="17">
        <f>CT17*VLOOKUP('Données projet'!$B$13,Paramètres!$A$1:$I$89,3,0)*VLOOKUP('Données projet'!$B$13,Paramètres!$A$1:$I$89,5,0)</f>
        <v>7.2995751861754465</v>
      </c>
      <c r="CV17" s="13">
        <f t="shared" si="41"/>
        <v>2.6690813581776105</v>
      </c>
      <c r="CW17" s="20">
        <f t="shared" si="13"/>
        <v>17.362076814748239</v>
      </c>
      <c r="CX17" s="59">
        <f t="shared" si="14"/>
        <v>291.13985459252604</v>
      </c>
      <c r="CY17" s="59">
        <f ca="1">AVERAGE(OFFSET($CX$3,0,0,'Données projet'!$E$13+1,1))-AVERAGE(OFFSET($H$3,0,0,'Données projet'!$E$13+1,1))</f>
        <v>345.49688858037996</v>
      </c>
      <c r="CZ17" s="59">
        <f t="shared" si="42"/>
        <v>213.15872113755023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2.9235042735042733</v>
      </c>
      <c r="DO17" s="12">
        <f>IF('Données projet'!$A$166&gt;35,DO16+DN17-DW16,IF(A17&lt;'Données projet'!$A$166,$DL$205^A17,IF(A17='Données projet'!$A$166,'Données projet'!$B$166,DO16+DN17-DW16)))</f>
        <v>8.0676118326430668</v>
      </c>
      <c r="DP17" s="17">
        <f>DO17*VLOOKUP('Données projet'!$B$14,Paramètres!$A$1:$I$89,3,0)*VLOOKUP('Données projet'!$B$14,Paramètres!$A$1:$I$89,5,0)</f>
        <v>8.1805583983000698</v>
      </c>
      <c r="DQ17" s="13">
        <f t="shared" si="43"/>
        <v>2.9518010224963804</v>
      </c>
      <c r="DR17" s="20">
        <f t="shared" si="16"/>
        <v>19.388859324553817</v>
      </c>
      <c r="DS17" s="59">
        <f t="shared" si="17"/>
        <v>293.16663710233161</v>
      </c>
      <c r="DT17" s="59">
        <f ca="1">AVERAGE(OFFSET($DS$3,0,0,'Données projet'!$E$14+1,1))-AVERAGE(OFFSET($H$3,0,0,'Données projet'!$E$14+1,1))</f>
        <v>382.26108489744581</v>
      </c>
      <c r="DU17" s="59">
        <f t="shared" si="44"/>
        <v>233.89423996158826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3.9732905982905979</v>
      </c>
      <c r="EJ17" s="12">
        <f>IF('Données projet'!$A$192&gt;35,EJ16+EI17-ER16,IF(A17&lt;'Données projet'!$A$192,$EG$205^A17,IF(A17='Données projet'!$A$192,'Données projet'!$B$192,EJ16+EI17-ER16)))</f>
        <v>9.3095082118874259</v>
      </c>
      <c r="EK17" s="17">
        <f>EJ17*VLOOKUP('Données projet'!$B$15,Paramètres!$A$1:$I$89,3,0)*VLOOKUP('Données projet'!$B$15,Paramètres!$A$1:$I$89,5,0)</f>
        <v>7.8423297176939677</v>
      </c>
      <c r="EL17" s="13">
        <f t="shared" si="45"/>
        <v>2.8436998367326272</v>
      </c>
      <c r="EM17" s="20">
        <f t="shared" si="19"/>
        <v>18.611501473959652</v>
      </c>
      <c r="EN17" s="59">
        <f t="shared" si="20"/>
        <v>292.38927925173743</v>
      </c>
      <c r="EO17" s="59">
        <f ca="1">AVERAGE(OFFSET($EN$3,0,0,'Données projet'!$E$15+1,1))-AVERAGE(OFFSET($H$3,0,0,'Données projet'!$E$15+1,1))</f>
        <v>312.48716825299158</v>
      </c>
      <c r="EP17" s="59">
        <f t="shared" si="46"/>
        <v>258.68277822755357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2.9235042735042733</v>
      </c>
      <c r="FE17" s="12">
        <f>IF('Données projet'!$A$218&gt;35,FE16+FD17-FM16,IF(A17&lt;'Données projet'!$A$218,$FB$205^A17,IF(A17='Données projet'!$A$218,'Données projet'!$B$218,FE16+FD17-FM16)))</f>
        <v>8.0676118326430668</v>
      </c>
      <c r="FF17" s="17">
        <f>FE17*VLOOKUP('Données projet'!$B$16,Paramètres!$A$1:$I$89,3,0)*VLOOKUP('Données projet'!$B$16,Paramètres!$A$1:$I$89,5,0)</f>
        <v>8.6839773766569976</v>
      </c>
      <c r="FG17" s="13">
        <f t="shared" si="47"/>
        <v>3.1117442340771748</v>
      </c>
      <c r="FH17" s="20">
        <f t="shared" si="22"/>
        <v>20.54421513869535</v>
      </c>
      <c r="FI17" s="59">
        <f t="shared" si="23"/>
        <v>294.32199291647311</v>
      </c>
      <c r="FJ17" s="59">
        <f ca="1">AVERAGE(OFFSET($FI$3,0,0,'Données projet'!$E$16+1,1))-AVERAGE(OFFSET($H$3,0,0,'Données projet'!$E$16+1,1))</f>
        <v>403.23110963096246</v>
      </c>
      <c r="FK17" s="59">
        <f t="shared" si="48"/>
        <v>245.72000393124898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2.9235042735042733</v>
      </c>
      <c r="FZ17" s="12">
        <f>IF('Données projet'!$A$244&gt;35,FZ16+FY17-GH16,IF(A17&lt;'Données projet'!$A$244,$FW$205^A17,IF(A17='Données projet'!$A$244,'Données projet'!$B$244,FZ16+FY17-GH16)))</f>
        <v>8.0676118326430668</v>
      </c>
      <c r="GA17" s="17">
        <f>FZ17*VLOOKUP('Données projet'!$B$17,Paramètres!$A$1:$I$89,3,0)*VLOOKUP('Données projet'!$B$17,Paramètres!$A$1:$I$89,5,0)</f>
        <v>7.8029941645323753</v>
      </c>
      <c r="GB17" s="13">
        <f t="shared" si="49"/>
        <v>2.8310929856636031</v>
      </c>
      <c r="GC17" s="20">
        <f t="shared" si="25"/>
        <v>18.521035119924662</v>
      </c>
      <c r="GD17" s="59">
        <f t="shared" si="26"/>
        <v>292.29881289770242</v>
      </c>
      <c r="GE17" s="59">
        <f ca="1">AVERAGE(OFFSET($GD$3,0,0,'Données projet'!$E$17+1,1))-AVERAGE(OFFSET($H$3,0,0,'Données projet'!$E$17+1,1))</f>
        <v>336.2911850338175</v>
      </c>
      <c r="GF17" s="59">
        <f t="shared" si="50"/>
        <v>225.01415116995503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2.9235042735042733</v>
      </c>
      <c r="GU17" s="12">
        <f>IF('Données projet'!$A$270&gt;35,GU16+GT17-HC16,IF(A17&lt;'Données projet'!$A$270,$GR$205^A17,IF(A17='Données projet'!$A$270,'Données projet'!$B$270,GU16+GT17-HC16)))</f>
        <v>8.0676118326430668</v>
      </c>
      <c r="GV17" s="17">
        <f>GU17*VLOOKUP('Données projet'!$B$18,Paramètres!$A$1:$I$89,3,0)*VLOOKUP('Données projet'!$B$18,Paramètres!$A$1:$I$89,5,0)</f>
        <v>5.4117540173369694</v>
      </c>
      <c r="GW17" s="13">
        <f t="shared" si="51"/>
        <v>2.0489415253522965</v>
      </c>
      <c r="GX17" s="20">
        <f t="shared" si="28"/>
        <v>12.994044736850469</v>
      </c>
      <c r="GY17" s="59">
        <f t="shared" si="29"/>
        <v>286.77182251462824</v>
      </c>
      <c r="GZ17" s="59">
        <f ca="1">AVERAGE(OFFSET($GY$3,0,0,'Données projet'!$E$18+1,1))-AVERAGE(OFFSET($H$3,0,0,'Données projet'!$E$18+1,1))</f>
        <v>266.37807768393191</v>
      </c>
      <c r="HA17" s="59">
        <f t="shared" si="52"/>
        <v>168.52019826233425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37</v>
      </c>
      <c r="L18" s="12">
        <f>VLOOKUP(A18,'Données projet'!$A$35:$I$55,9,0)</f>
        <v>2.4666666666666668</v>
      </c>
      <c r="M18" s="12">
        <f t="array" ref="M18">INDEX(L:L,MIN(IF(ISNUMBER(L18:L214),ROW(L18:L214),"")))</f>
        <v>2.4666666666666668</v>
      </c>
      <c r="N18" s="13">
        <f>IF('Données projet'!$A$36&gt;35,N17+M18-V17,IF(A18&lt;'Données projet'!$A$36,$K$205^A18,IF(A18='Données projet'!$A$36,'Données projet'!$B$36,N17+M18-V17)))</f>
        <v>37</v>
      </c>
      <c r="O18" s="13">
        <f>N18*VLOOKUP('Données projet'!$B$9,Paramètres!$A$1:$I$89,3,0)*VLOOKUP('Données projet'!$B$9,Paramètres!$A$1:$I$89,5,0)</f>
        <v>32.323200000000007</v>
      </c>
      <c r="P18" s="13">
        <f t="shared" si="33"/>
        <v>9.9393719729191545</v>
      </c>
      <c r="Q18" s="20">
        <f t="shared" si="2"/>
        <v>73.607312852834198</v>
      </c>
      <c r="R18" s="59">
        <f t="shared" si="0"/>
        <v>348.60731285283418</v>
      </c>
      <c r="S18" s="59">
        <f ca="1">AVERAGE(OFFSET($R$3,0,0,'Données projet'!$E$9+1,1))-AVERAGE(OFFSET($H$3,0,0,'Données projet'!$E$9+1,1))</f>
        <v>324.86930206492627</v>
      </c>
      <c r="T18" s="59">
        <f t="shared" si="34"/>
        <v>317.03005098025352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15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4.0628205128205126</v>
      </c>
      <c r="AI18" s="13">
        <f>IF('Données projet'!$A$62&gt;35,AI17+AH18-AQ17,IF(A18&lt;'Données projet'!$A$62,$AF$205^A18,IF(A18='Données projet'!$A$62,'Données projet'!$B$62,AI17+AH18-AQ17)))</f>
        <v>11.040136565487554</v>
      </c>
      <c r="AJ18" s="13">
        <f>AI18*VLOOKUP('Données projet'!$B$10,Paramètres!$A$1:$I$89,3,0)*VLOOKUP('Données projet'!$B$10,Paramètres!$A$1:$I$89,5,0)</f>
        <v>10.505793955717957</v>
      </c>
      <c r="AK18" s="13">
        <f t="shared" si="35"/>
        <v>3.6820240623674367</v>
      </c>
      <c r="AL18" s="20">
        <f t="shared" si="4"/>
        <v>24.710449714832063</v>
      </c>
      <c r="AM18" s="59">
        <f t="shared" si="5"/>
        <v>299.71044971483207</v>
      </c>
      <c r="AN18" s="59">
        <f ca="1">AVERAGE(OFFSET($AM$3,0,0,'Données projet'!$E$10+1,1))-AVERAGE(OFFSET($H$3,0,0,'Données projet'!$E$10+1,1))</f>
        <v>401.81944956556271</v>
      </c>
      <c r="AO18" s="59">
        <f t="shared" si="36"/>
        <v>292.20785523952651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40</v>
      </c>
      <c r="BB18" s="12">
        <f>VLOOKUP(A18,'Données projet'!$A$87:$I$107,9,0)</f>
        <v>2.6666666666666665</v>
      </c>
      <c r="BC18" s="12">
        <f t="array" ref="BC18">INDEX(BB:BB,MIN(IF(ISNUMBER(BB18:BB214),ROW(BB18:BB214),"")))</f>
        <v>2.6666666666666665</v>
      </c>
      <c r="BD18" s="12">
        <f>IF('Données projet'!$A$88&gt;35,BD17+BC18-BL17,IF(A18&lt;'Données projet'!$A$88,$BA$205^A18,IF(A18='Données projet'!$A$88,'Données projet'!$B$88,BD17+BC18-BL17)))</f>
        <v>40</v>
      </c>
      <c r="BE18" s="13">
        <f>BD18*VLOOKUP('Données projet'!$B$11,Paramètres!$A$1:$I$89,3,0)*VLOOKUP('Données projet'!$B$11,Paramètres!$A$1:$I$89,5,0)</f>
        <v>31.200000000000003</v>
      </c>
      <c r="BF18" s="13">
        <f t="shared" si="37"/>
        <v>9.6335657126419925</v>
      </c>
      <c r="BG18" s="20">
        <f t="shared" si="7"/>
        <v>71.118460282851473</v>
      </c>
      <c r="BH18" s="59">
        <f t="shared" si="8"/>
        <v>346.11846028285146</v>
      </c>
      <c r="BI18" s="59">
        <f ca="1">AVERAGE(OFFSET($BH$3,0,0,'Données projet'!$E$11+1,1))-AVERAGE(OFFSET($H$3,0,0,'Données projet'!$E$11+1,1))</f>
        <v>288.80569134263209</v>
      </c>
      <c r="BJ18" s="59">
        <f t="shared" si="38"/>
        <v>283.48738729114024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47</v>
      </c>
      <c r="BW18" s="12">
        <f>VLOOKUP(A18,'Données projet'!$A$113:$I$133,9,0)</f>
        <v>5.8</v>
      </c>
      <c r="BX18" s="12">
        <f t="array" ref="BX18">INDEX(BW:BW,MIN(IF(ISNUMBER(BW18:BW214),ROW(BW18:BW214),"")))</f>
        <v>5.8</v>
      </c>
      <c r="BY18" s="12">
        <f>IF('Données projet'!$A$114&gt;35,BY17+BX18-CG17,IF(A18&lt;'Données projet'!$A$114,$BV$205^A18,IF(A18='Données projet'!$A$114,'Données projet'!$B$114,BY17+BX18-CG17)))</f>
        <v>46.999999999999993</v>
      </c>
      <c r="BZ18" s="13">
        <f>BY18*VLOOKUP('Données projet'!$B$12,Paramètres!$A$1:$I$89,3,0)*VLOOKUP('Données projet'!$B$12,Paramètres!$A$1:$I$89,5,0)</f>
        <v>49.124400000000001</v>
      </c>
      <c r="CA18" s="13">
        <f t="shared" si="39"/>
        <v>14.38740016036772</v>
      </c>
      <c r="CB18" s="20">
        <f t="shared" si="10"/>
        <v>110.61638527930711</v>
      </c>
      <c r="CC18" s="59">
        <f t="shared" si="11"/>
        <v>385.61638527930711</v>
      </c>
      <c r="CD18" s="59">
        <f ca="1">AVERAGE(OFFSET($CC$3,0,0,'Données projet'!$E$12+1,1))-AVERAGE(OFFSET($H$3,0,0,'Données projet'!$E$12+1,1))</f>
        <v>352.22281362023102</v>
      </c>
      <c r="CE18" s="59">
        <f t="shared" si="40"/>
        <v>310.2353747925161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2.9235042735042733</v>
      </c>
      <c r="CT18" s="12">
        <f>IF('Données projet'!$A$140&gt;35,CT17+CS18-DB17,IF(A18&lt;'Données projet'!$A$140,$CQ$205^A18,IF(A18='Données projet'!$A$140,'Données projet'!$B$140,CT17+CS18-DB17)))</f>
        <v>9.3651016121091022</v>
      </c>
      <c r="CU18" s="17">
        <f>CT18*VLOOKUP('Données projet'!$B$13,Paramètres!$A$1:$I$89,3,0)*VLOOKUP('Données projet'!$B$13,Paramètres!$A$1:$I$89,5,0)</f>
        <v>8.4735439386363147</v>
      </c>
      <c r="CV18" s="13">
        <f t="shared" si="41"/>
        <v>3.045021578973337</v>
      </c>
      <c r="CW18" s="20">
        <f t="shared" si="13"/>
        <v>20.06150160983681</v>
      </c>
      <c r="CX18" s="59">
        <f t="shared" si="14"/>
        <v>295.0615016098368</v>
      </c>
      <c r="CY18" s="59">
        <f ca="1">AVERAGE(OFFSET($CX$3,0,0,'Données projet'!$E$13+1,1))-AVERAGE(OFFSET($H$3,0,0,'Données projet'!$E$13+1,1))</f>
        <v>345.49688858037996</v>
      </c>
      <c r="CZ18" s="59">
        <f t="shared" si="42"/>
        <v>213.15872113755023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2.9235042735042733</v>
      </c>
      <c r="DO18" s="12">
        <f>IF('Données projet'!$A$166&gt;35,DO17+DN18-DW17,IF(A18&lt;'Données projet'!$A$166,$DL$205^A18,IF(A18='Données projet'!$A$166,'Données projet'!$B$166,DO17+DN18-DW17)))</f>
        <v>9.3651016121091022</v>
      </c>
      <c r="DP18" s="17">
        <f>DO18*VLOOKUP('Données projet'!$B$14,Paramètres!$A$1:$I$89,3,0)*VLOOKUP('Données projet'!$B$14,Paramètres!$A$1:$I$89,5,0)</f>
        <v>9.4962130346786306</v>
      </c>
      <c r="DQ18" s="13">
        <f t="shared" si="43"/>
        <v>3.3675623198215465</v>
      </c>
      <c r="DR18" s="20">
        <f t="shared" si="16"/>
        <v>22.40440874242114</v>
      </c>
      <c r="DS18" s="59">
        <f t="shared" si="17"/>
        <v>297.40440874242114</v>
      </c>
      <c r="DT18" s="59">
        <f ca="1">AVERAGE(OFFSET($DS$3,0,0,'Données projet'!$E$14+1,1))-AVERAGE(OFFSET($H$3,0,0,'Données projet'!$E$14+1,1))</f>
        <v>382.26108489744581</v>
      </c>
      <c r="DU18" s="59">
        <f t="shared" si="44"/>
        <v>233.89423996158826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3.9732905982905979</v>
      </c>
      <c r="EJ18" s="12">
        <f>IF('Données projet'!$A$192&gt;35,EJ17+EI18-ER17,IF(A18&lt;'Données projet'!$A$192,$EG$205^A18,IF(A18='Données projet'!$A$192,'Données projet'!$B$192,EJ17+EI18-ER17)))</f>
        <v>10.917816537601178</v>
      </c>
      <c r="EK18" s="17">
        <f>EJ18*VLOOKUP('Données projet'!$B$15,Paramètres!$A$1:$I$89,3,0)*VLOOKUP('Données projet'!$B$15,Paramètres!$A$1:$I$89,5,0)</f>
        <v>9.1971686512752324</v>
      </c>
      <c r="EL18" s="13">
        <f t="shared" si="45"/>
        <v>3.2736848767200426</v>
      </c>
      <c r="EM18" s="20">
        <f t="shared" si="19"/>
        <v>21.720069894591763</v>
      </c>
      <c r="EN18" s="59">
        <f t="shared" si="20"/>
        <v>296.72006989459175</v>
      </c>
      <c r="EO18" s="59">
        <f ca="1">AVERAGE(OFFSET($EN$3,0,0,'Données projet'!$E$15+1,1))-AVERAGE(OFFSET($H$3,0,0,'Données projet'!$E$15+1,1))</f>
        <v>312.48716825299158</v>
      </c>
      <c r="EP18" s="59">
        <f t="shared" si="46"/>
        <v>258.68277822755357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2.9235042735042733</v>
      </c>
      <c r="FE18" s="12">
        <f>IF('Données projet'!$A$218&gt;35,FE17+FD18-FM17,IF(A18&lt;'Données projet'!$A$218,$FB$205^A18,IF(A18='Données projet'!$A$218,'Données projet'!$B$218,FE17+FD18-FM17)))</f>
        <v>9.3651016121091022</v>
      </c>
      <c r="FF18" s="17">
        <f>FE18*VLOOKUP('Données projet'!$B$16,Paramètres!$A$1:$I$89,3,0)*VLOOKUP('Données projet'!$B$16,Paramètres!$A$1:$I$89,5,0)</f>
        <v>10.080595375274237</v>
      </c>
      <c r="FG18" s="13">
        <f t="shared" si="47"/>
        <v>3.5500335394348563</v>
      </c>
      <c r="FH18" s="20">
        <f t="shared" si="22"/>
        <v>23.740012026451669</v>
      </c>
      <c r="FI18" s="59">
        <f t="shared" si="23"/>
        <v>298.74001202645167</v>
      </c>
      <c r="FJ18" s="59">
        <f ca="1">AVERAGE(OFFSET($FI$3,0,0,'Données projet'!$E$16+1,1))-AVERAGE(OFFSET($H$3,0,0,'Données projet'!$E$16+1,1))</f>
        <v>403.23110963096246</v>
      </c>
      <c r="FK18" s="59">
        <f t="shared" si="48"/>
        <v>245.72000393124898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2.9235042735042733</v>
      </c>
      <c r="FZ18" s="12">
        <f>IF('Données projet'!$A$244&gt;35,FZ17+FY18-GH17,IF(A18&lt;'Données projet'!$A$244,$FW$205^A18,IF(A18='Données projet'!$A$244,'Données projet'!$B$244,FZ17+FY18-GH17)))</f>
        <v>9.3651016121091022</v>
      </c>
      <c r="GA18" s="17">
        <f>FZ18*VLOOKUP('Données projet'!$B$17,Paramètres!$A$1:$I$89,3,0)*VLOOKUP('Données projet'!$B$17,Paramètres!$A$1:$I$89,5,0)</f>
        <v>9.0579262792319231</v>
      </c>
      <c r="GB18" s="13">
        <f t="shared" si="49"/>
        <v>3.2298525509584954</v>
      </c>
      <c r="GC18" s="20">
        <f t="shared" si="25"/>
        <v>21.401214795914981</v>
      </c>
      <c r="GD18" s="59">
        <f t="shared" si="26"/>
        <v>296.401214795915</v>
      </c>
      <c r="GE18" s="59">
        <f ca="1">AVERAGE(OFFSET($GD$3,0,0,'Données projet'!$E$17+1,1))-AVERAGE(OFFSET($H$3,0,0,'Données projet'!$E$17+1,1))</f>
        <v>336.2911850338175</v>
      </c>
      <c r="GF18" s="59">
        <f t="shared" si="50"/>
        <v>225.01415116995503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2.9235042735042733</v>
      </c>
      <c r="GU18" s="12">
        <f>IF('Données projet'!$A$270&gt;35,GU17+GT18-HC17,IF(A18&lt;'Données projet'!$A$270,$GR$205^A18,IF(A18='Données projet'!$A$270,'Données projet'!$B$270,GU17+GT18-HC17)))</f>
        <v>9.3651016121091022</v>
      </c>
      <c r="GV18" s="17">
        <f>GU18*VLOOKUP('Données projet'!$B$18,Paramètres!$A$1:$I$89,3,0)*VLOOKUP('Données projet'!$B$18,Paramètres!$A$1:$I$89,5,0)</f>
        <v>6.2821101614027866</v>
      </c>
      <c r="GW18" s="13">
        <f t="shared" si="51"/>
        <v>2.3375350247892728</v>
      </c>
      <c r="GX18" s="20">
        <f t="shared" si="28"/>
        <v>15.012548699284503</v>
      </c>
      <c r="GY18" s="59">
        <f t="shared" si="29"/>
        <v>290.01254869928448</v>
      </c>
      <c r="GZ18" s="59">
        <f ca="1">AVERAGE(OFFSET($GY$3,0,0,'Données projet'!$E$18+1,1))-AVERAGE(OFFSET($H$3,0,0,'Données projet'!$E$18+1,1))</f>
        <v>266.37807768393191</v>
      </c>
      <c r="HA18" s="59">
        <f t="shared" si="52"/>
        <v>168.52019826233425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11.6</v>
      </c>
      <c r="N19" s="13">
        <f>IF('Données projet'!$A$36&gt;35,N18+M19-V18,IF(A19&lt;'Données projet'!$A$36,$K$205^A19,IF(A19='Données projet'!$A$36,'Données projet'!$B$36,N18+M19-V18)))</f>
        <v>33.6</v>
      </c>
      <c r="O19" s="13">
        <f>N19*VLOOKUP('Données projet'!$B$9,Paramètres!$A$1:$I$89,3,0)*VLOOKUP('Données projet'!$B$9,Paramètres!$A$1:$I$89,5,0)</f>
        <v>29.352960000000007</v>
      </c>
      <c r="P19" s="13">
        <f t="shared" si="33"/>
        <v>9.1278666361046881</v>
      </c>
      <c r="Q19" s="20">
        <f t="shared" si="2"/>
        <v>67.020773057882352</v>
      </c>
      <c r="R19" s="59">
        <f t="shared" si="0"/>
        <v>343.24299528010459</v>
      </c>
      <c r="S19" s="59">
        <f ca="1">AVERAGE(OFFSET($R$3,0,0,'Données projet'!$E$9+1,1))-AVERAGE(OFFSET($H$3,0,0,'Données projet'!$E$9+1,1))</f>
        <v>324.86930206492627</v>
      </c>
      <c r="T19" s="59">
        <f t="shared" si="34"/>
        <v>317.03005098025352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4.0628205128205126</v>
      </c>
      <c r="AI19" s="13">
        <f>IF('Données projet'!$A$62&gt;35,AI18+AH19-AQ18,IF(A19&lt;'Données projet'!$A$62,$AF$205^A19,IF(A19='Données projet'!$A$62,'Données projet'!$B$62,AI18+AH19-AQ18)))</f>
        <v>12.957048229201293</v>
      </c>
      <c r="AJ19" s="13">
        <f>AI19*VLOOKUP('Données projet'!$B$10,Paramètres!$A$1:$I$89,3,0)*VLOOKUP('Données projet'!$B$10,Paramètres!$A$1:$I$89,5,0)</f>
        <v>12.32992709490795</v>
      </c>
      <c r="AK19" s="13">
        <f t="shared" si="35"/>
        <v>4.2415517525816071</v>
      </c>
      <c r="AL19" s="20">
        <f t="shared" si="4"/>
        <v>28.861992326044312</v>
      </c>
      <c r="AM19" s="59">
        <f t="shared" si="5"/>
        <v>305.08421454826652</v>
      </c>
      <c r="AN19" s="59">
        <f ca="1">AVERAGE(OFFSET($AM$3,0,0,'Données projet'!$E$10+1,1))-AVERAGE(OFFSET($H$3,0,0,'Données projet'!$E$10+1,1))</f>
        <v>401.81944956556271</v>
      </c>
      <c r="AO19" s="59">
        <f t="shared" si="36"/>
        <v>292.20785523952651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9.6</v>
      </c>
      <c r="BD19" s="12">
        <f>IF('Données projet'!$A$88&gt;35,BD18+BC19-BL18,IF(A19&lt;'Données projet'!$A$88,$BA$205^A19,IF(A19='Données projet'!$A$88,'Données projet'!$B$88,BD18+BC19-BL18)))</f>
        <v>46.6</v>
      </c>
      <c r="BE19" s="13">
        <f>BD19*VLOOKUP('Données projet'!$B$11,Paramètres!$A$1:$I$89,3,0)*VLOOKUP('Données projet'!$B$11,Paramètres!$A$1:$I$89,5,0)</f>
        <v>36.347999999999999</v>
      </c>
      <c r="BF19" s="13">
        <f t="shared" si="37"/>
        <v>11.025356771848859</v>
      </c>
      <c r="BG19" s="20">
        <f t="shared" si="7"/>
        <v>82.508596377636763</v>
      </c>
      <c r="BH19" s="59">
        <f t="shared" si="8"/>
        <v>358.73081859985899</v>
      </c>
      <c r="BI19" s="59">
        <f ca="1">AVERAGE(OFFSET($BH$3,0,0,'Données projet'!$E$11+1,1))-AVERAGE(OFFSET($H$3,0,0,'Données projet'!$E$11+1,1))</f>
        <v>288.80569134263209</v>
      </c>
      <c r="BJ19" s="59">
        <f t="shared" si="38"/>
        <v>283.48738729114024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8</v>
      </c>
      <c r="BY19" s="12">
        <f>IF('Données projet'!$A$114&gt;35,BY18+BX19-CG18,IF(A19&lt;'Données projet'!$A$114,$BV$205^A19,IF(A19='Données projet'!$A$114,'Données projet'!$B$114,BY18+BX19-CG18)))</f>
        <v>54.999999999999993</v>
      </c>
      <c r="BZ19" s="13">
        <f>BY19*VLOOKUP('Données projet'!$B$12,Paramètres!$A$1:$I$89,3,0)*VLOOKUP('Données projet'!$B$12,Paramètres!$A$1:$I$89,5,0)</f>
        <v>57.48599999999999</v>
      </c>
      <c r="CA19" s="13">
        <f t="shared" si="39"/>
        <v>16.531076211754396</v>
      </c>
      <c r="CB19" s="20">
        <f t="shared" si="10"/>
        <v>128.9130744021389</v>
      </c>
      <c r="CC19" s="59">
        <f t="shared" si="11"/>
        <v>405.1352966243611</v>
      </c>
      <c r="CD19" s="59">
        <f ca="1">AVERAGE(OFFSET($CC$3,0,0,'Données projet'!$E$12+1,1))-AVERAGE(OFFSET($H$3,0,0,'Données projet'!$E$12+1,1))</f>
        <v>352.22281362023102</v>
      </c>
      <c r="CE19" s="59">
        <f t="shared" si="40"/>
        <v>310.2353747925161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2.9235042735042733</v>
      </c>
      <c r="CT19" s="12">
        <f>IF('Données projet'!$A$140&gt;35,CT18+CS19-DB18,IF(A19&lt;'Données projet'!$A$140,$CQ$205^A19,IF(A19='Données projet'!$A$140,'Données projet'!$B$140,CT18+CS19-DB18)))</f>
        <v>10.87126277571476</v>
      </c>
      <c r="CU19" s="17">
        <f>CT19*VLOOKUP('Données projet'!$B$13,Paramètres!$A$1:$I$89,3,0)*VLOOKUP('Données projet'!$B$13,Paramètres!$A$1:$I$89,5,0)</f>
        <v>9.8363185594667133</v>
      </c>
      <c r="CV19" s="13">
        <f t="shared" si="41"/>
        <v>3.4739129955724146</v>
      </c>
      <c r="CW19" s="20">
        <f t="shared" si="13"/>
        <v>23.181986625026479</v>
      </c>
      <c r="CX19" s="59">
        <f t="shared" si="14"/>
        <v>299.4042088472487</v>
      </c>
      <c r="CY19" s="59">
        <f ca="1">AVERAGE(OFFSET($CX$3,0,0,'Données projet'!$E$13+1,1))-AVERAGE(OFFSET($H$3,0,0,'Données projet'!$E$13+1,1))</f>
        <v>345.49688858037996</v>
      </c>
      <c r="CZ19" s="59">
        <f t="shared" si="42"/>
        <v>213.15872113755023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2.9235042735042733</v>
      </c>
      <c r="DO19" s="12">
        <f>IF('Données projet'!$A$166&gt;35,DO18+DN19-DW18,IF(A19&lt;'Données projet'!$A$166,$DL$205^A19,IF(A19='Données projet'!$A$166,'Données projet'!$B$166,DO18+DN19-DW18)))</f>
        <v>10.87126277571476</v>
      </c>
      <c r="DP19" s="17">
        <f>DO19*VLOOKUP('Données projet'!$B$14,Paramètres!$A$1:$I$89,3,0)*VLOOKUP('Données projet'!$B$14,Paramètres!$A$1:$I$89,5,0)</f>
        <v>11.023460454574767</v>
      </c>
      <c r="DQ19" s="13">
        <f t="shared" si="43"/>
        <v>3.8418836132426954</v>
      </c>
      <c r="DR19" s="20">
        <f t="shared" si="16"/>
        <v>25.890474251448747</v>
      </c>
      <c r="DS19" s="59">
        <f t="shared" si="17"/>
        <v>302.11269647367095</v>
      </c>
      <c r="DT19" s="59">
        <f ca="1">AVERAGE(OFFSET($DS$3,0,0,'Données projet'!$E$14+1,1))-AVERAGE(OFFSET($H$3,0,0,'Données projet'!$E$14+1,1))</f>
        <v>382.26108489744581</v>
      </c>
      <c r="DU19" s="59">
        <f t="shared" si="44"/>
        <v>233.89423996158826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3.9732905982905979</v>
      </c>
      <c r="EJ19" s="12">
        <f>IF('Données projet'!$A$192&gt;35,EJ18+EI19-ER18,IF(A19&lt;'Données projet'!$A$192,$EG$205^A19,IF(A19='Données projet'!$A$192,'Données projet'!$B$192,EJ18+EI19-ER18)))</f>
        <v>12.803975810076782</v>
      </c>
      <c r="EK19" s="17">
        <f>EJ19*VLOOKUP('Données projet'!$B$15,Paramètres!$A$1:$I$89,3,0)*VLOOKUP('Données projet'!$B$15,Paramètres!$A$1:$I$89,5,0)</f>
        <v>10.786069222408683</v>
      </c>
      <c r="EL19" s="13">
        <f t="shared" si="45"/>
        <v>3.7686863197134151</v>
      </c>
      <c r="EM19" s="20">
        <f t="shared" si="19"/>
        <v>25.349532569195986</v>
      </c>
      <c r="EN19" s="59">
        <f t="shared" si="20"/>
        <v>301.57175479141824</v>
      </c>
      <c r="EO19" s="59">
        <f ca="1">AVERAGE(OFFSET($EN$3,0,0,'Données projet'!$E$15+1,1))-AVERAGE(OFFSET($H$3,0,0,'Données projet'!$E$15+1,1))</f>
        <v>312.48716825299158</v>
      </c>
      <c r="EP19" s="59">
        <f t="shared" si="46"/>
        <v>258.68277822755357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2.9235042735042733</v>
      </c>
      <c r="FE19" s="12">
        <f>IF('Données projet'!$A$218&gt;35,FE18+FD19-FM18,IF(A19&lt;'Données projet'!$A$218,$FB$205^A19,IF(A19='Données projet'!$A$218,'Données projet'!$B$218,FE18+FD19-FM18)))</f>
        <v>10.87126277571476</v>
      </c>
      <c r="FF19" s="17">
        <f>FE19*VLOOKUP('Données projet'!$B$16,Paramètres!$A$1:$I$89,3,0)*VLOOKUP('Données projet'!$B$16,Paramètres!$A$1:$I$89,5,0)</f>
        <v>11.701827251779367</v>
      </c>
      <c r="FG19" s="13">
        <f t="shared" si="47"/>
        <v>4.0500559117609676</v>
      </c>
      <c r="FH19" s="20">
        <f t="shared" si="22"/>
        <v>27.434529843166086</v>
      </c>
      <c r="FI19" s="59">
        <f t="shared" si="23"/>
        <v>303.65675206538833</v>
      </c>
      <c r="FJ19" s="59">
        <f ca="1">AVERAGE(OFFSET($FI$3,0,0,'Données projet'!$E$16+1,1))-AVERAGE(OFFSET($H$3,0,0,'Données projet'!$E$16+1,1))</f>
        <v>403.23110963096246</v>
      </c>
      <c r="FK19" s="59">
        <f t="shared" si="48"/>
        <v>245.72000393124898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2.9235042735042733</v>
      </c>
      <c r="FZ19" s="12">
        <f>IF('Données projet'!$A$244&gt;35,FZ18+FY19-GH18,IF(A19&lt;'Données projet'!$A$244,$FW$205^A19,IF(A19='Données projet'!$A$244,'Données projet'!$B$244,FZ18+FY19-GH18)))</f>
        <v>10.87126277571476</v>
      </c>
      <c r="GA19" s="17">
        <f>FZ19*VLOOKUP('Données projet'!$B$17,Paramètres!$A$1:$I$89,3,0)*VLOOKUP('Données projet'!$B$17,Paramètres!$A$1:$I$89,5,0)</f>
        <v>10.514685356671317</v>
      </c>
      <c r="GB19" s="13">
        <f t="shared" si="49"/>
        <v>3.6847774176826884</v>
      </c>
      <c r="GC19" s="20">
        <f t="shared" si="25"/>
        <v>24.730730998666559</v>
      </c>
      <c r="GD19" s="59">
        <f t="shared" si="26"/>
        <v>300.95295322088879</v>
      </c>
      <c r="GE19" s="59">
        <f ca="1">AVERAGE(OFFSET($GD$3,0,0,'Données projet'!$E$17+1,1))-AVERAGE(OFFSET($H$3,0,0,'Données projet'!$E$17+1,1))</f>
        <v>336.2911850338175</v>
      </c>
      <c r="GF19" s="59">
        <f t="shared" si="50"/>
        <v>225.01415116995503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2.9235042735042733</v>
      </c>
      <c r="GU19" s="12">
        <f>IF('Données projet'!$A$270&gt;35,GU18+GT19-HC18,IF(A19&lt;'Données projet'!$A$270,$GR$205^A19,IF(A19='Données projet'!$A$270,'Données projet'!$B$270,GU18+GT19-HC18)))</f>
        <v>10.87126277571476</v>
      </c>
      <c r="GV19" s="17">
        <f>GU19*VLOOKUP('Données projet'!$B$18,Paramètres!$A$1:$I$89,3,0)*VLOOKUP('Données projet'!$B$18,Paramètres!$A$1:$I$89,5,0)</f>
        <v>7.2924430699494618</v>
      </c>
      <c r="GW19" s="13">
        <f t="shared" si="51"/>
        <v>2.6667769306774582</v>
      </c>
      <c r="GX19" s="20">
        <f t="shared" si="28"/>
        <v>17.345641501091887</v>
      </c>
      <c r="GY19" s="59">
        <f t="shared" si="29"/>
        <v>293.56786372331413</v>
      </c>
      <c r="GZ19" s="59">
        <f ca="1">AVERAGE(OFFSET($GY$3,0,0,'Données projet'!$E$18+1,1))-AVERAGE(OFFSET($H$3,0,0,'Données projet'!$E$18+1,1))</f>
        <v>266.37807768393191</v>
      </c>
      <c r="HA19" s="59">
        <f t="shared" si="52"/>
        <v>168.52019826233425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11.6</v>
      </c>
      <c r="N20" s="13">
        <f>IF('Données projet'!$A$36&gt;35,N19+M20-V19,IF(A20&lt;'Données projet'!$A$36,$K$205^A20,IF(A20='Données projet'!$A$36,'Données projet'!$B$36,N19+M20-V19)))</f>
        <v>45.2</v>
      </c>
      <c r="O20" s="13">
        <f>N20*VLOOKUP('Données projet'!$B$9,Paramètres!$A$1:$I$89,3,0)*VLOOKUP('Données projet'!$B$9,Paramètres!$A$1:$I$89,5,0)</f>
        <v>39.486720000000005</v>
      </c>
      <c r="P20" s="13">
        <f t="shared" si="33"/>
        <v>11.862499896265861</v>
      </c>
      <c r="Q20" s="20">
        <f t="shared" si="2"/>
        <v>89.433224652663043</v>
      </c>
      <c r="R20" s="59">
        <f t="shared" si="0"/>
        <v>366.87766909710751</v>
      </c>
      <c r="S20" s="59">
        <f ca="1">AVERAGE(OFFSET($R$3,0,0,'Données projet'!$E$9+1,1))-AVERAGE(OFFSET($H$3,0,0,'Données projet'!$E$9+1,1))</f>
        <v>324.86930206492627</v>
      </c>
      <c r="T20" s="59">
        <f t="shared" si="34"/>
        <v>317.03005098025352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4.0628205128205126</v>
      </c>
      <c r="AI20" s="13">
        <f>IF('Données projet'!$A$62&gt;35,AI19+AH20-AQ19,IF(A20&lt;'Données projet'!$A$62,$AF$205^A20,IF(A20='Données projet'!$A$62,'Données projet'!$B$62,AI19+AH20-AQ19)))</f>
        <v>15.206795479203771</v>
      </c>
      <c r="AJ20" s="13">
        <f>AI20*VLOOKUP('Données projet'!$B$10,Paramètres!$A$1:$I$89,3,0)*VLOOKUP('Données projet'!$B$10,Paramètres!$A$1:$I$89,5,0)</f>
        <v>14.470786578010308</v>
      </c>
      <c r="AK20" s="13">
        <f t="shared" si="35"/>
        <v>4.8861063820046198</v>
      </c>
      <c r="AL20" s="20">
        <f t="shared" si="4"/>
        <v>33.713255238692668</v>
      </c>
      <c r="AM20" s="59">
        <f t="shared" si="5"/>
        <v>311.15769968313714</v>
      </c>
      <c r="AN20" s="59">
        <f ca="1">AVERAGE(OFFSET($AM$3,0,0,'Données projet'!$E$10+1,1))-AVERAGE(OFFSET($H$3,0,0,'Données projet'!$E$10+1,1))</f>
        <v>401.81944956556271</v>
      </c>
      <c r="AO20" s="59">
        <f t="shared" si="36"/>
        <v>292.20785523952651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9.6</v>
      </c>
      <c r="BD20" s="12">
        <f>IF('Données projet'!$A$88&gt;35,BD19+BC20-BL19,IF(A20&lt;'Données projet'!$A$88,$BA$205^A20,IF(A20='Données projet'!$A$88,'Données projet'!$B$88,BD19+BC20-BL19)))</f>
        <v>56.2</v>
      </c>
      <c r="BE20" s="13">
        <f>BD20*VLOOKUP('Données projet'!$B$11,Paramètres!$A$1:$I$89,3,0)*VLOOKUP('Données projet'!$B$11,Paramètres!$A$1:$I$89,5,0)</f>
        <v>43.836000000000006</v>
      </c>
      <c r="BF20" s="13">
        <f t="shared" si="37"/>
        <v>13.009897179721728</v>
      </c>
      <c r="BG20" s="20">
        <f t="shared" si="7"/>
        <v>99.006604254682017</v>
      </c>
      <c r="BH20" s="59">
        <f t="shared" si="8"/>
        <v>376.45104869912649</v>
      </c>
      <c r="BI20" s="59">
        <f ca="1">AVERAGE(OFFSET($BH$3,0,0,'Données projet'!$E$11+1,1))-AVERAGE(OFFSET($H$3,0,0,'Données projet'!$E$11+1,1))</f>
        <v>288.80569134263209</v>
      </c>
      <c r="BJ20" s="59">
        <f t="shared" si="38"/>
        <v>283.48738729114024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8</v>
      </c>
      <c r="BY20" s="12">
        <f>IF('Données projet'!$A$114&gt;35,BY19+BX20-CG19,IF(A20&lt;'Données projet'!$A$114,$BV$205^A20,IF(A20='Données projet'!$A$114,'Données projet'!$B$114,BY19+BX20-CG19)))</f>
        <v>62.999999999999993</v>
      </c>
      <c r="BZ20" s="13">
        <f>BY20*VLOOKUP('Données projet'!$B$12,Paramètres!$A$1:$I$89,3,0)*VLOOKUP('Données projet'!$B$12,Paramètres!$A$1:$I$89,5,0)</f>
        <v>65.8476</v>
      </c>
      <c r="CA20" s="13">
        <f t="shared" si="39"/>
        <v>18.63862905611526</v>
      </c>
      <c r="CB20" s="20">
        <f t="shared" si="10"/>
        <v>147.14684893940074</v>
      </c>
      <c r="CC20" s="59">
        <f t="shared" si="11"/>
        <v>424.5912933838452</v>
      </c>
      <c r="CD20" s="59">
        <f ca="1">AVERAGE(OFFSET($CC$3,0,0,'Données projet'!$E$12+1,1))-AVERAGE(OFFSET($H$3,0,0,'Données projet'!$E$12+1,1))</f>
        <v>352.22281362023102</v>
      </c>
      <c r="CE20" s="59">
        <f t="shared" si="40"/>
        <v>310.2353747925161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2.9235042735042733</v>
      </c>
      <c r="CT20" s="12">
        <f>IF('Données projet'!$A$140&gt;35,CT19+CS20-DB19,IF(A20&lt;'Données projet'!$A$140,$CQ$205^A20,IF(A20='Données projet'!$A$140,'Données projet'!$B$140,CT19+CS20-DB19)))</f>
        <v>12.619655315413629</v>
      </c>
      <c r="CU20" s="17">
        <f>CT20*VLOOKUP('Données projet'!$B$13,Paramètres!$A$1:$I$89,3,0)*VLOOKUP('Données projet'!$B$13,Paramètres!$A$1:$I$89,5,0)</f>
        <v>11.418264129386252</v>
      </c>
      <c r="CV20" s="13">
        <f t="shared" si="41"/>
        <v>3.9632137861156949</v>
      </c>
      <c r="CW20" s="20">
        <f t="shared" si="13"/>
        <v>26.789407369499227</v>
      </c>
      <c r="CX20" s="59">
        <f t="shared" si="14"/>
        <v>304.23385181394366</v>
      </c>
      <c r="CY20" s="59">
        <f ca="1">AVERAGE(OFFSET($CX$3,0,0,'Données projet'!$E$13+1,1))-AVERAGE(OFFSET($H$3,0,0,'Données projet'!$E$13+1,1))</f>
        <v>345.49688858037996</v>
      </c>
      <c r="CZ20" s="59">
        <f t="shared" si="42"/>
        <v>213.15872113755023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2.9235042735042733</v>
      </c>
      <c r="DO20" s="12">
        <f>IF('Données projet'!$A$166&gt;35,DO19+DN20-DW19,IF(A20&lt;'Données projet'!$A$166,$DL$205^A20,IF(A20='Données projet'!$A$166,'Données projet'!$B$166,DO19+DN20-DW19)))</f>
        <v>12.619655315413629</v>
      </c>
      <c r="DP20" s="17">
        <f>DO20*VLOOKUP('Données projet'!$B$14,Paramètres!$A$1:$I$89,3,0)*VLOOKUP('Données projet'!$B$14,Paramètres!$A$1:$I$89,5,0)</f>
        <v>12.796330489829421</v>
      </c>
      <c r="DQ20" s="13">
        <f t="shared" si="43"/>
        <v>4.383013080656192</v>
      </c>
      <c r="DR20" s="20">
        <f t="shared" si="16"/>
        <v>29.92069005192911</v>
      </c>
      <c r="DS20" s="59">
        <f t="shared" si="17"/>
        <v>307.36513449637357</v>
      </c>
      <c r="DT20" s="59">
        <f ca="1">AVERAGE(OFFSET($DS$3,0,0,'Données projet'!$E$14+1,1))-AVERAGE(OFFSET($H$3,0,0,'Données projet'!$E$14+1,1))</f>
        <v>382.26108489744581</v>
      </c>
      <c r="DU20" s="59">
        <f t="shared" si="44"/>
        <v>233.89423996158826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3.9732905982905979</v>
      </c>
      <c r="EJ20" s="12">
        <f>IF('Données projet'!$A$192&gt;35,EJ19+EI20-ER19,IF(A20&lt;'Données projet'!$A$192,$EG$205^A20,IF(A20='Données projet'!$A$192,'Données projet'!$B$192,EJ19+EI20-ER19)))</f>
        <v>15.015987489844015</v>
      </c>
      <c r="EK20" s="17">
        <f>EJ20*VLOOKUP('Données projet'!$B$15,Paramètres!$A$1:$I$89,3,0)*VLOOKUP('Données projet'!$B$15,Paramètres!$A$1:$I$89,5,0)</f>
        <v>12.649467861444599</v>
      </c>
      <c r="EL20" s="13">
        <f t="shared" si="45"/>
        <v>4.3385350488056895</v>
      </c>
      <c r="EM20" s="20">
        <f t="shared" si="19"/>
        <v>29.587438402019249</v>
      </c>
      <c r="EN20" s="59">
        <f t="shared" si="20"/>
        <v>307.0318828464637</v>
      </c>
      <c r="EO20" s="59">
        <f ca="1">AVERAGE(OFFSET($EN$3,0,0,'Données projet'!$E$15+1,1))-AVERAGE(OFFSET($H$3,0,0,'Données projet'!$E$15+1,1))</f>
        <v>312.48716825299158</v>
      </c>
      <c r="EP20" s="59">
        <f t="shared" si="46"/>
        <v>258.68277822755357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2.9235042735042733</v>
      </c>
      <c r="FE20" s="12">
        <f>IF('Données projet'!$A$218&gt;35,FE19+FD20-FM19,IF(A20&lt;'Données projet'!$A$218,$FB$205^A20,IF(A20='Données projet'!$A$218,'Données projet'!$B$218,FE19+FD20-FM19)))</f>
        <v>12.619655315413629</v>
      </c>
      <c r="FF20" s="17">
        <f>FE20*VLOOKUP('Données projet'!$B$16,Paramètres!$A$1:$I$89,3,0)*VLOOKUP('Données projet'!$B$16,Paramètres!$A$1:$I$89,5,0)</f>
        <v>13.583796981511231</v>
      </c>
      <c r="FG20" s="13">
        <f t="shared" si="47"/>
        <v>4.6205064561168125</v>
      </c>
      <c r="FH20" s="20">
        <f t="shared" si="22"/>
        <v>31.705828487202169</v>
      </c>
      <c r="FI20" s="59">
        <f t="shared" si="23"/>
        <v>309.15027293164661</v>
      </c>
      <c r="FJ20" s="59">
        <f ca="1">AVERAGE(OFFSET($FI$3,0,0,'Données projet'!$E$16+1,1))-AVERAGE(OFFSET($H$3,0,0,'Données projet'!$E$16+1,1))</f>
        <v>403.23110963096246</v>
      </c>
      <c r="FK20" s="59">
        <f t="shared" si="48"/>
        <v>245.72000393124898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2.9235042735042733</v>
      </c>
      <c r="FZ20" s="12">
        <f>IF('Données projet'!$A$244&gt;35,FZ19+FY20-GH19,IF(A20&lt;'Données projet'!$A$244,$FW$205^A20,IF(A20='Données projet'!$A$244,'Données projet'!$B$244,FZ19+FY20-GH19)))</f>
        <v>12.619655315413629</v>
      </c>
      <c r="GA20" s="17">
        <f>FZ20*VLOOKUP('Données projet'!$B$17,Paramètres!$A$1:$I$89,3,0)*VLOOKUP('Données projet'!$B$17,Paramètres!$A$1:$I$89,5,0)</f>
        <v>12.205730621068064</v>
      </c>
      <c r="GB20" s="13">
        <f t="shared" si="49"/>
        <v>4.2037784708887092</v>
      </c>
      <c r="GC20" s="20">
        <f t="shared" si="25"/>
        <v>28.57989500182471</v>
      </c>
      <c r="GD20" s="59">
        <f t="shared" si="26"/>
        <v>306.02433944626915</v>
      </c>
      <c r="GE20" s="59">
        <f ca="1">AVERAGE(OFFSET($GD$3,0,0,'Données projet'!$E$17+1,1))-AVERAGE(OFFSET($H$3,0,0,'Données projet'!$E$17+1,1))</f>
        <v>336.2911850338175</v>
      </c>
      <c r="GF20" s="59">
        <f t="shared" si="50"/>
        <v>225.01415116995503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2.9235042735042733</v>
      </c>
      <c r="GU20" s="12">
        <f>IF('Données projet'!$A$270&gt;35,GU19+GT20-HC19,IF(A20&lt;'Données projet'!$A$270,$GR$205^A20,IF(A20='Données projet'!$A$270,'Données projet'!$B$270,GU19+GT20-HC19)))</f>
        <v>12.619655315413629</v>
      </c>
      <c r="GV20" s="17">
        <f>GU20*VLOOKUP('Données projet'!$B$18,Paramètres!$A$1:$I$89,3,0)*VLOOKUP('Données projet'!$B$18,Paramètres!$A$1:$I$89,5,0)</f>
        <v>8.4652647855794623</v>
      </c>
      <c r="GW20" s="13">
        <f t="shared" si="51"/>
        <v>3.0423925727635242</v>
      </c>
      <c r="GX20" s="20">
        <f t="shared" si="28"/>
        <v>20.042503232447366</v>
      </c>
      <c r="GY20" s="59">
        <f t="shared" si="29"/>
        <v>297.48694767689182</v>
      </c>
      <c r="GZ20" s="59">
        <f ca="1">AVERAGE(OFFSET($GY$3,0,0,'Données projet'!$E$18+1,1))-AVERAGE(OFFSET($H$3,0,0,'Données projet'!$E$18+1,1))</f>
        <v>266.37807768393191</v>
      </c>
      <c r="HA20" s="59">
        <f t="shared" si="52"/>
        <v>168.52019826233425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11.6</v>
      </c>
      <c r="N21" s="13">
        <f>IF('Données projet'!$A$36&gt;35,N20+M21-V20,IF(A21&lt;'Données projet'!$A$36,$K$205^A21,IF(A21='Données projet'!$A$36,'Données projet'!$B$36,N20+M21-V20)))</f>
        <v>56.800000000000004</v>
      </c>
      <c r="O21" s="13">
        <f>N21*VLOOKUP('Données projet'!$B$9,Paramètres!$A$1:$I$89,3,0)*VLOOKUP('Données projet'!$B$9,Paramètres!$A$1:$I$89,5,0)</f>
        <v>49.620480000000015</v>
      </c>
      <c r="P21" s="13">
        <f t="shared" si="33"/>
        <v>14.515703547444382</v>
      </c>
      <c r="Q21" s="20">
        <f t="shared" si="2"/>
        <v>111.70385301179901</v>
      </c>
      <c r="R21" s="59">
        <f t="shared" si="0"/>
        <v>390.37051967846571</v>
      </c>
      <c r="S21" s="59">
        <f ca="1">AVERAGE(OFFSET($R$3,0,0,'Données projet'!$E$9+1,1))-AVERAGE(OFFSET($H$3,0,0,'Données projet'!$E$9+1,1))</f>
        <v>324.86930206492627</v>
      </c>
      <c r="T21" s="59">
        <f t="shared" si="34"/>
        <v>317.03005098025352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4.0628205128205126</v>
      </c>
      <c r="AI21" s="13">
        <f>IF('Données projet'!$A$62&gt;35,AI20+AH21-AQ20,IF(A21&lt;'Données projet'!$A$62,$AF$205^A21,IF(A21='Données projet'!$A$62,'Données projet'!$B$62,AI20+AH21-AQ20)))</f>
        <v>17.847168942782186</v>
      </c>
      <c r="AJ21" s="13">
        <f>AI21*VLOOKUP('Données projet'!$B$10,Paramètres!$A$1:$I$89,3,0)*VLOOKUP('Données projet'!$B$10,Paramètres!$A$1:$I$89,5,0)</f>
        <v>16.983365965951528</v>
      </c>
      <c r="AK21" s="13">
        <f t="shared" si="35"/>
        <v>5.6286088132097909</v>
      </c>
      <c r="AL21" s="20">
        <f t="shared" si="4"/>
        <v>39.382522740372629</v>
      </c>
      <c r="AM21" s="59">
        <f t="shared" si="5"/>
        <v>318.04918940703931</v>
      </c>
      <c r="AN21" s="59">
        <f ca="1">AVERAGE(OFFSET($AM$3,0,0,'Données projet'!$E$10+1,1))-AVERAGE(OFFSET($H$3,0,0,'Données projet'!$E$10+1,1))</f>
        <v>401.81944956556271</v>
      </c>
      <c r="AO21" s="59">
        <f t="shared" si="36"/>
        <v>292.20785523952651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9.6</v>
      </c>
      <c r="BD21" s="12">
        <f>IF('Données projet'!$A$88&gt;35,BD20+BC21-BL20,IF(A21&lt;'Données projet'!$A$88,$BA$205^A21,IF(A21='Données projet'!$A$88,'Données projet'!$B$88,BD20+BC21-BL20)))</f>
        <v>65.8</v>
      </c>
      <c r="BE21" s="13">
        <f>BD21*VLOOKUP('Données projet'!$B$11,Paramètres!$A$1:$I$89,3,0)*VLOOKUP('Données projet'!$B$11,Paramètres!$A$1:$I$89,5,0)</f>
        <v>51.323999999999998</v>
      </c>
      <c r="BF21" s="13">
        <f t="shared" si="37"/>
        <v>14.95516659950003</v>
      </c>
      <c r="BG21" s="20">
        <f t="shared" si="7"/>
        <v>115.43621516079588</v>
      </c>
      <c r="BH21" s="59">
        <f t="shared" si="8"/>
        <v>394.10288182746257</v>
      </c>
      <c r="BI21" s="59">
        <f ca="1">AVERAGE(OFFSET($BH$3,0,0,'Données projet'!$E$11+1,1))-AVERAGE(OFFSET($H$3,0,0,'Données projet'!$E$11+1,1))</f>
        <v>288.80569134263209</v>
      </c>
      <c r="BJ21" s="59">
        <f t="shared" si="38"/>
        <v>283.48738729114024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8</v>
      </c>
      <c r="BY21" s="12">
        <f>IF('Données projet'!$A$114&gt;35,BY20+BX21-CG20,IF(A21&lt;'Données projet'!$A$114,$BV$205^A21,IF(A21='Données projet'!$A$114,'Données projet'!$B$114,BY20+BX21-CG20)))</f>
        <v>71</v>
      </c>
      <c r="BZ21" s="13">
        <f>BY21*VLOOKUP('Données projet'!$B$12,Paramètres!$A$1:$I$89,3,0)*VLOOKUP('Données projet'!$B$12,Paramètres!$A$1:$I$89,5,0)</f>
        <v>74.20920000000001</v>
      </c>
      <c r="CA21" s="13">
        <f t="shared" si="39"/>
        <v>20.71517147214108</v>
      </c>
      <c r="CB21" s="20">
        <f t="shared" si="10"/>
        <v>165.3266136473124</v>
      </c>
      <c r="CC21" s="59">
        <f t="shared" si="11"/>
        <v>443.99328031397908</v>
      </c>
      <c r="CD21" s="59">
        <f ca="1">AVERAGE(OFFSET($CC$3,0,0,'Données projet'!$E$12+1,1))-AVERAGE(OFFSET($H$3,0,0,'Données projet'!$E$12+1,1))</f>
        <v>352.22281362023102</v>
      </c>
      <c r="CE21" s="59">
        <f t="shared" si="40"/>
        <v>310.2353747925161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2.9235042735042733</v>
      </c>
      <c r="CT21" s="12">
        <f>IF('Données projet'!$A$140&gt;35,CT20+CS21-DB20,IF(A21&lt;'Données projet'!$A$140,$CQ$205^A21,IF(A21='Données projet'!$A$140,'Données projet'!$B$140,CT20+CS21-DB20)))</f>
        <v>14.649236575865659</v>
      </c>
      <c r="CU21" s="17">
        <f>CT21*VLOOKUP('Données projet'!$B$13,Paramètres!$A$1:$I$89,3,0)*VLOOKUP('Données projet'!$B$13,Paramètres!$A$1:$I$89,5,0)</f>
        <v>13.254629253843246</v>
      </c>
      <c r="CV21" s="13">
        <f t="shared" si="41"/>
        <v>4.5214326134467182</v>
      </c>
      <c r="CW21" s="20">
        <f t="shared" si="13"/>
        <v>30.959974418863357</v>
      </c>
      <c r="CX21" s="59">
        <f t="shared" si="14"/>
        <v>309.62664108553003</v>
      </c>
      <c r="CY21" s="59">
        <f ca="1">AVERAGE(OFFSET($CX$3,0,0,'Données projet'!$E$13+1,1))-AVERAGE(OFFSET($H$3,0,0,'Données projet'!$E$13+1,1))</f>
        <v>345.49688858037996</v>
      </c>
      <c r="CZ21" s="59">
        <f t="shared" si="42"/>
        <v>213.15872113755023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2.9235042735042733</v>
      </c>
      <c r="DO21" s="12">
        <f>IF('Données projet'!$A$166&gt;35,DO20+DN21-DW20,IF(A21&lt;'Données projet'!$A$166,$DL$205^A21,IF(A21='Données projet'!$A$166,'Données projet'!$B$166,DO20+DN21-DW20)))</f>
        <v>14.649236575865659</v>
      </c>
      <c r="DP21" s="17">
        <f>DO21*VLOOKUP('Données projet'!$B$14,Paramètres!$A$1:$I$89,3,0)*VLOOKUP('Données projet'!$B$14,Paramètres!$A$1:$I$89,5,0)</f>
        <v>14.85432588792778</v>
      </c>
      <c r="DQ21" s="13">
        <f t="shared" si="43"/>
        <v>5.000360656159657</v>
      </c>
      <c r="DR21" s="20">
        <f t="shared" si="16"/>
        <v>34.580245730952278</v>
      </c>
      <c r="DS21" s="59">
        <f t="shared" si="17"/>
        <v>313.24691239761898</v>
      </c>
      <c r="DT21" s="59">
        <f ca="1">AVERAGE(OFFSET($DS$3,0,0,'Données projet'!$E$14+1,1))-AVERAGE(OFFSET($H$3,0,0,'Données projet'!$E$14+1,1))</f>
        <v>382.26108489744581</v>
      </c>
      <c r="DU21" s="59">
        <f t="shared" si="44"/>
        <v>233.89423996158826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3.9732905982905979</v>
      </c>
      <c r="EJ21" s="12">
        <f>IF('Données projet'!$A$192&gt;35,EJ20+EI21-ER20,IF(A21&lt;'Données projet'!$A$192,$EG$205^A21,IF(A21='Données projet'!$A$192,'Données projet'!$B$192,EJ20+EI21-ER20)))</f>
        <v>17.610145757827684</v>
      </c>
      <c r="EK21" s="17">
        <f>EJ21*VLOOKUP('Données projet'!$B$15,Paramètres!$A$1:$I$89,3,0)*VLOOKUP('Données projet'!$B$15,Paramètres!$A$1:$I$89,5,0)</f>
        <v>14.834786786394043</v>
      </c>
      <c r="EL21" s="13">
        <f t="shared" si="45"/>
        <v>4.9945484375432834</v>
      </c>
      <c r="EM21" s="20">
        <f t="shared" si="19"/>
        <v>34.53609218169084</v>
      </c>
      <c r="EN21" s="59">
        <f t="shared" si="20"/>
        <v>313.20275884835752</v>
      </c>
      <c r="EO21" s="59">
        <f ca="1">AVERAGE(OFFSET($EN$3,0,0,'Données projet'!$E$15+1,1))-AVERAGE(OFFSET($H$3,0,0,'Données projet'!$E$15+1,1))</f>
        <v>312.48716825299158</v>
      </c>
      <c r="EP21" s="59">
        <f t="shared" si="46"/>
        <v>258.68277822755357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2.9235042735042733</v>
      </c>
      <c r="FE21" s="12">
        <f>IF('Données projet'!$A$218&gt;35,FE20+FD21-FM20,IF(A21&lt;'Données projet'!$A$218,$FB$205^A21,IF(A21='Données projet'!$A$218,'Données projet'!$B$218,FE20+FD21-FM20)))</f>
        <v>14.649236575865659</v>
      </c>
      <c r="FF21" s="17">
        <f>FE21*VLOOKUP('Données projet'!$B$16,Paramètres!$A$1:$I$89,3,0)*VLOOKUP('Données projet'!$B$16,Paramètres!$A$1:$I$89,5,0)</f>
        <v>15.768438250261795</v>
      </c>
      <c r="FG21" s="13">
        <f t="shared" si="47"/>
        <v>5.2713049834747956</v>
      </c>
      <c r="FH21" s="20">
        <f t="shared" si="22"/>
        <v>36.644219465424563</v>
      </c>
      <c r="FI21" s="59">
        <f t="shared" si="23"/>
        <v>315.31088613209124</v>
      </c>
      <c r="FJ21" s="59">
        <f ca="1">AVERAGE(OFFSET($FI$3,0,0,'Données projet'!$E$16+1,1))-AVERAGE(OFFSET($H$3,0,0,'Données projet'!$E$16+1,1))</f>
        <v>403.23110963096246</v>
      </c>
      <c r="FK21" s="59">
        <f t="shared" si="48"/>
        <v>245.72000393124898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2.9235042735042733</v>
      </c>
      <c r="FZ21" s="12">
        <f>IF('Données projet'!$A$244&gt;35,FZ20+FY21-GH20,IF(A21&lt;'Données projet'!$A$244,$FW$205^A21,IF(A21='Données projet'!$A$244,'Données projet'!$B$244,FZ20+FY21-GH20)))</f>
        <v>14.649236575865659</v>
      </c>
      <c r="GA21" s="17">
        <f>FZ21*VLOOKUP('Données projet'!$B$17,Paramètres!$A$1:$I$89,3,0)*VLOOKUP('Données projet'!$B$17,Paramètres!$A$1:$I$89,5,0)</f>
        <v>14.168741616177266</v>
      </c>
      <c r="GB21" s="13">
        <f t="shared" si="49"/>
        <v>4.7958808441191989</v>
      </c>
      <c r="GC21" s="20">
        <f t="shared" si="25"/>
        <v>33.030050785016336</v>
      </c>
      <c r="GD21" s="59">
        <f t="shared" si="26"/>
        <v>311.69671745168301</v>
      </c>
      <c r="GE21" s="59">
        <f ca="1">AVERAGE(OFFSET($GD$3,0,0,'Données projet'!$E$17+1,1))-AVERAGE(OFFSET($H$3,0,0,'Données projet'!$E$17+1,1))</f>
        <v>336.2911850338175</v>
      </c>
      <c r="GF21" s="59">
        <f t="shared" si="50"/>
        <v>225.01415116995503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2.9235042735042733</v>
      </c>
      <c r="GU21" s="12">
        <f>IF('Données projet'!$A$270&gt;35,GU20+GT21-HC20,IF(A21&lt;'Données projet'!$A$270,$GR$205^A21,IF(A21='Données projet'!$A$270,'Données projet'!$B$270,GU20+GT21-HC20)))</f>
        <v>14.649236575865659</v>
      </c>
      <c r="GV21" s="17">
        <f>GU21*VLOOKUP('Données projet'!$B$18,Paramètres!$A$1:$I$89,3,0)*VLOOKUP('Données projet'!$B$18,Paramètres!$A$1:$I$89,5,0)</f>
        <v>9.8267078950906832</v>
      </c>
      <c r="GW21" s="13">
        <f t="shared" si="51"/>
        <v>3.4709136937281282</v>
      </c>
      <c r="GX21" s="20">
        <f t="shared" si="28"/>
        <v>23.160024267192764</v>
      </c>
      <c r="GY21" s="59">
        <f t="shared" si="29"/>
        <v>301.82669093385942</v>
      </c>
      <c r="GZ21" s="59">
        <f ca="1">AVERAGE(OFFSET($GY$3,0,0,'Données projet'!$E$18+1,1))-AVERAGE(OFFSET($H$3,0,0,'Données projet'!$E$18+1,1))</f>
        <v>266.37807768393191</v>
      </c>
      <c r="HA21" s="59">
        <f t="shared" si="52"/>
        <v>168.52019826233425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11.6</v>
      </c>
      <c r="N22" s="13">
        <f>IF('Données projet'!$A$36&gt;35,N21+M22-V21,IF(A22&lt;'Données projet'!$A$36,$K$205^A22,IF(A22='Données projet'!$A$36,'Données projet'!$B$36,N21+M22-V21)))</f>
        <v>68.400000000000006</v>
      </c>
      <c r="O22" s="13">
        <f>N22*VLOOKUP('Données projet'!$B$9,Paramètres!$A$1:$I$89,3,0)*VLOOKUP('Données projet'!$B$9,Paramètres!$A$1:$I$89,5,0)</f>
        <v>59.754240000000017</v>
      </c>
      <c r="P22" s="13">
        <f t="shared" si="33"/>
        <v>17.106118338764027</v>
      </c>
      <c r="Q22" s="20">
        <f t="shared" si="2"/>
        <v>133.8651241066807</v>
      </c>
      <c r="R22" s="59">
        <f t="shared" si="0"/>
        <v>413.75401299556955</v>
      </c>
      <c r="S22" s="59">
        <f ca="1">AVERAGE(OFFSET($R$3,0,0,'Données projet'!$E$9+1,1))-AVERAGE(OFFSET($H$3,0,0,'Données projet'!$E$9+1,1))</f>
        <v>324.86930206492627</v>
      </c>
      <c r="T22" s="59">
        <f t="shared" si="34"/>
        <v>317.03005098025352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4.0628205128205126</v>
      </c>
      <c r="AI22" s="13">
        <f>IF('Données projet'!$A$62&gt;35,AI21+AH22-AQ21,IF(A22&lt;'Données projet'!$A$62,$AF$205^A22,IF(A22='Données projet'!$A$62,'Données projet'!$B$62,AI21+AH22-AQ21)))</f>
        <v>20.945993500590358</v>
      </c>
      <c r="AJ22" s="13">
        <f>AI22*VLOOKUP('Données projet'!$B$10,Paramètres!$A$1:$I$89,3,0)*VLOOKUP('Données projet'!$B$10,Paramètres!$A$1:$I$89,5,0)</f>
        <v>19.932207415161784</v>
      </c>
      <c r="AK22" s="13">
        <f t="shared" si="35"/>
        <v>6.4839433887121185</v>
      </c>
      <c r="AL22" s="20">
        <f t="shared" si="4"/>
        <v>46.008129316747045</v>
      </c>
      <c r="AM22" s="59">
        <f t="shared" si="5"/>
        <v>325.8970182056359</v>
      </c>
      <c r="AN22" s="59">
        <f ca="1">AVERAGE(OFFSET($AM$3,0,0,'Données projet'!$E$10+1,1))-AVERAGE(OFFSET($H$3,0,0,'Données projet'!$E$10+1,1))</f>
        <v>401.81944956556271</v>
      </c>
      <c r="AO22" s="59">
        <f t="shared" si="36"/>
        <v>292.20785523952651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9.6</v>
      </c>
      <c r="BD22" s="12">
        <f>IF('Données projet'!$A$88&gt;35,BD21+BC22-BL21,IF(A22&lt;'Données projet'!$A$88,$BA$205^A22,IF(A22='Données projet'!$A$88,'Données projet'!$B$88,BD21+BC22-BL21)))</f>
        <v>75.399999999999991</v>
      </c>
      <c r="BE22" s="13">
        <f>BD22*VLOOKUP('Données projet'!$B$11,Paramètres!$A$1:$I$89,3,0)*VLOOKUP('Données projet'!$B$11,Paramètres!$A$1:$I$89,5,0)</f>
        <v>58.811999999999998</v>
      </c>
      <c r="BF22" s="13">
        <f t="shared" si="37"/>
        <v>16.86755663452599</v>
      </c>
      <c r="BG22" s="20">
        <f t="shared" si="7"/>
        <v>131.8085611384661</v>
      </c>
      <c r="BH22" s="59">
        <f t="shared" si="8"/>
        <v>411.69745002735499</v>
      </c>
      <c r="BI22" s="59">
        <f ca="1">AVERAGE(OFFSET($BH$3,0,0,'Données projet'!$E$11+1,1))-AVERAGE(OFFSET($H$3,0,0,'Données projet'!$E$11+1,1))</f>
        <v>288.80569134263209</v>
      </c>
      <c r="BJ22" s="59">
        <f t="shared" si="38"/>
        <v>283.48738729114024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8</v>
      </c>
      <c r="BY22" s="12">
        <f>IF('Données projet'!$A$114&gt;35,BY21+BX22-CG21,IF(A22&lt;'Données projet'!$A$114,$BV$205^A22,IF(A22='Données projet'!$A$114,'Données projet'!$B$114,BY21+BX22-CG21)))</f>
        <v>79</v>
      </c>
      <c r="BZ22" s="13">
        <f>BY22*VLOOKUP('Données projet'!$B$12,Paramètres!$A$1:$I$89,3,0)*VLOOKUP('Données projet'!$B$12,Paramètres!$A$1:$I$89,5,0)</f>
        <v>82.570800000000006</v>
      </c>
      <c r="CA22" s="13">
        <f t="shared" si="39"/>
        <v>22.764596322636297</v>
      </c>
      <c r="CB22" s="20">
        <f t="shared" si="10"/>
        <v>183.4591485952582</v>
      </c>
      <c r="CC22" s="59">
        <f t="shared" si="11"/>
        <v>463.34803748414708</v>
      </c>
      <c r="CD22" s="59">
        <f ca="1">AVERAGE(OFFSET($CC$3,0,0,'Données projet'!$E$12+1,1))-AVERAGE(OFFSET($H$3,0,0,'Données projet'!$E$12+1,1))</f>
        <v>352.22281362023102</v>
      </c>
      <c r="CE22" s="59">
        <f t="shared" si="40"/>
        <v>310.2353747925161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2.9235042735042733</v>
      </c>
      <c r="CT22" s="12">
        <f>IF('Données projet'!$A$140&gt;35,CT21+CS22-DB21,IF(A22&lt;'Données projet'!$A$140,$CQ$205^A22,IF(A22='Données projet'!$A$140,'Données projet'!$B$140,CT21+CS22-DB21)))</f>
        <v>17.005229294461625</v>
      </c>
      <c r="CU22" s="17">
        <f>CT22*VLOOKUP('Données projet'!$B$13,Paramètres!$A$1:$I$89,3,0)*VLOOKUP('Données projet'!$B$13,Paramètres!$A$1:$I$89,5,0)</f>
        <v>15.386331465628878</v>
      </c>
      <c r="CV22" s="13">
        <f t="shared" si="41"/>
        <v>5.1582765859259734</v>
      </c>
      <c r="CW22" s="20">
        <f t="shared" si="13"/>
        <v>35.781859023124703</v>
      </c>
      <c r="CX22" s="59">
        <f t="shared" si="14"/>
        <v>315.67074791201355</v>
      </c>
      <c r="CY22" s="59">
        <f ca="1">AVERAGE(OFFSET($CX$3,0,0,'Données projet'!$E$13+1,1))-AVERAGE(OFFSET($H$3,0,0,'Données projet'!$E$13+1,1))</f>
        <v>345.49688858037996</v>
      </c>
      <c r="CZ22" s="59">
        <f t="shared" si="42"/>
        <v>213.15872113755023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2.9235042735042733</v>
      </c>
      <c r="DO22" s="12">
        <f>IF('Données projet'!$A$166&gt;35,DO21+DN22-DW21,IF(A22&lt;'Données projet'!$A$166,$DL$205^A22,IF(A22='Données projet'!$A$166,'Données projet'!$B$166,DO21+DN22-DW21)))</f>
        <v>17.005229294461625</v>
      </c>
      <c r="DP22" s="17">
        <f>DO22*VLOOKUP('Données projet'!$B$14,Paramètres!$A$1:$I$89,3,0)*VLOOKUP('Données projet'!$B$14,Paramètres!$A$1:$I$89,5,0)</f>
        <v>17.24330250458409</v>
      </c>
      <c r="DQ22" s="13">
        <f t="shared" si="43"/>
        <v>5.7046616634614491</v>
      </c>
      <c r="DR22" s="20">
        <f t="shared" si="16"/>
        <v>39.967704259345972</v>
      </c>
      <c r="DS22" s="59">
        <f t="shared" si="17"/>
        <v>319.85659314823482</v>
      </c>
      <c r="DT22" s="59">
        <f ca="1">AVERAGE(OFFSET($DS$3,0,0,'Données projet'!$E$14+1,1))-AVERAGE(OFFSET($H$3,0,0,'Données projet'!$E$14+1,1))</f>
        <v>382.26108489744581</v>
      </c>
      <c r="DU22" s="59">
        <f t="shared" si="44"/>
        <v>233.89423996158826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3.9732905982905979</v>
      </c>
      <c r="EJ22" s="12">
        <f>IF('Données projet'!$A$192&gt;35,EJ21+EI22-ER21,IF(A22&lt;'Données projet'!$A$192,$EG$205^A22,IF(A22='Données projet'!$A$192,'Données projet'!$B$192,EJ21+EI22-ER21)))</f>
        <v>20.652470163662738</v>
      </c>
      <c r="EK22" s="17">
        <f>EJ22*VLOOKUP('Données projet'!$B$15,Paramètres!$A$1:$I$89,3,0)*VLOOKUP('Données projet'!$B$15,Paramètres!$A$1:$I$89,5,0)</f>
        <v>17.397640865869491</v>
      </c>
      <c r="EL22" s="13">
        <f t="shared" si="45"/>
        <v>5.7497551164956144</v>
      </c>
      <c r="EM22" s="20">
        <f t="shared" si="19"/>
        <v>40.315048002619221</v>
      </c>
      <c r="EN22" s="59">
        <f t="shared" si="20"/>
        <v>320.20393689150808</v>
      </c>
      <c r="EO22" s="59">
        <f ca="1">AVERAGE(OFFSET($EN$3,0,0,'Données projet'!$E$15+1,1))-AVERAGE(OFFSET($H$3,0,0,'Données projet'!$E$15+1,1))</f>
        <v>312.48716825299158</v>
      </c>
      <c r="EP22" s="59">
        <f t="shared" si="46"/>
        <v>258.68277822755357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2.9235042735042733</v>
      </c>
      <c r="FE22" s="12">
        <f>IF('Données projet'!$A$218&gt;35,FE21+FD22-FM21,IF(A22&lt;'Données projet'!$A$218,$FB$205^A22,IF(A22='Données projet'!$A$218,'Données projet'!$B$218,FE21+FD22-FM21)))</f>
        <v>17.005229294461625</v>
      </c>
      <c r="FF22" s="17">
        <f>FE22*VLOOKUP('Données projet'!$B$16,Paramètres!$A$1:$I$89,3,0)*VLOOKUP('Données projet'!$B$16,Paramètres!$A$1:$I$89,5,0)</f>
        <v>18.304428812558491</v>
      </c>
      <c r="FG22" s="13">
        <f t="shared" si="47"/>
        <v>6.0137685105971697</v>
      </c>
      <c r="FH22" s="20">
        <f t="shared" si="22"/>
        <v>42.354193671162776</v>
      </c>
      <c r="FI22" s="59">
        <f t="shared" si="23"/>
        <v>322.24308256005162</v>
      </c>
      <c r="FJ22" s="59">
        <f ca="1">AVERAGE(OFFSET($FI$3,0,0,'Données projet'!$E$16+1,1))-AVERAGE(OFFSET($H$3,0,0,'Données projet'!$E$16+1,1))</f>
        <v>403.23110963096246</v>
      </c>
      <c r="FK22" s="59">
        <f t="shared" si="48"/>
        <v>245.72000393124898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2.9235042735042733</v>
      </c>
      <c r="FZ22" s="12">
        <f>IF('Données projet'!$A$244&gt;35,FZ21+FY22-GH21,IF(A22&lt;'Données projet'!$A$244,$FW$205^A22,IF(A22='Données projet'!$A$244,'Données projet'!$B$244,FZ21+FY22-GH21)))</f>
        <v>17.005229294461625</v>
      </c>
      <c r="GA22" s="17">
        <f>FZ22*VLOOKUP('Données projet'!$B$17,Paramètres!$A$1:$I$89,3,0)*VLOOKUP('Données projet'!$B$17,Paramètres!$A$1:$I$89,5,0)</f>
        <v>16.447457773603283</v>
      </c>
      <c r="GB22" s="13">
        <f t="shared" si="49"/>
        <v>5.4713808613532873</v>
      </c>
      <c r="GC22" s="20">
        <f t="shared" si="25"/>
        <v>38.175310622549354</v>
      </c>
      <c r="GD22" s="59">
        <f t="shared" si="26"/>
        <v>318.06419951143823</v>
      </c>
      <c r="GE22" s="59">
        <f ca="1">AVERAGE(OFFSET($GD$3,0,0,'Données projet'!$E$17+1,1))-AVERAGE(OFFSET($H$3,0,0,'Données projet'!$E$17+1,1))</f>
        <v>336.2911850338175</v>
      </c>
      <c r="GF22" s="59">
        <f t="shared" si="50"/>
        <v>225.01415116995503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2.9235042735042733</v>
      </c>
      <c r="GU22" s="12">
        <f>IF('Données projet'!$A$270&gt;35,GU21+GT22-HC21,IF(A22&lt;'Données projet'!$A$270,$GR$205^A22,IF(A22='Données projet'!$A$270,'Données projet'!$B$270,GU21+GT22-HC21)))</f>
        <v>17.005229294461625</v>
      </c>
      <c r="GV22" s="17">
        <f>GU22*VLOOKUP('Données projet'!$B$18,Paramètres!$A$1:$I$89,3,0)*VLOOKUP('Données projet'!$B$18,Paramètres!$A$1:$I$89,5,0)</f>
        <v>11.407107810724858</v>
      </c>
      <c r="GW22" s="13">
        <f t="shared" si="51"/>
        <v>3.9597920324813498</v>
      </c>
      <c r="GX22" s="20">
        <f t="shared" si="28"/>
        <v>26.764017226917478</v>
      </c>
      <c r="GY22" s="59">
        <f t="shared" si="29"/>
        <v>306.65290611580633</v>
      </c>
      <c r="GZ22" s="59">
        <f ca="1">AVERAGE(OFFSET($GY$3,0,0,'Données projet'!$E$18+1,1))-AVERAGE(OFFSET($H$3,0,0,'Données projet'!$E$18+1,1))</f>
        <v>266.37807768393191</v>
      </c>
      <c r="HA22" s="59">
        <f t="shared" si="52"/>
        <v>168.52019826233425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80</v>
      </c>
      <c r="L23" s="12">
        <f>VLOOKUP(A23,'Données projet'!$A$35:$I$55,9,0)</f>
        <v>11.6</v>
      </c>
      <c r="M23" s="12">
        <f t="array" ref="M23">INDEX(L:L,MIN(IF(ISNUMBER(L23:L219),ROW(L23:L219),"")))</f>
        <v>11.6</v>
      </c>
      <c r="N23" s="13">
        <f>IF('Données projet'!$A$36&gt;35,N22+M23-V22,IF(A23&lt;'Données projet'!$A$36,$K$205^A23,IF(A23='Données projet'!$A$36,'Données projet'!$B$36,N22+M23-V22)))</f>
        <v>80</v>
      </c>
      <c r="O23" s="13">
        <f>N23*VLOOKUP('Données projet'!$B$9,Paramètres!$A$1:$I$89,3,0)*VLOOKUP('Données projet'!$B$9,Paramètres!$A$1:$I$89,5,0)</f>
        <v>69.888000000000005</v>
      </c>
      <c r="P23" s="13">
        <f t="shared" si="33"/>
        <v>19.645641432461961</v>
      </c>
      <c r="Q23" s="20">
        <f t="shared" si="2"/>
        <v>155.93775882820458</v>
      </c>
      <c r="R23" s="59">
        <f t="shared" si="0"/>
        <v>437.04886993931575</v>
      </c>
      <c r="S23" s="59">
        <f ca="1">AVERAGE(OFFSET($R$3,0,0,'Données projet'!$E$9+1,1))-AVERAGE(OFFSET($H$3,0,0,'Données projet'!$E$9+1,1))</f>
        <v>324.86930206492627</v>
      </c>
      <c r="T23" s="59">
        <f t="shared" si="34"/>
        <v>317.03005098025352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28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4.0628205128205126</v>
      </c>
      <c r="AI23" s="13">
        <f>IF('Données projet'!$A$62&gt;35,AI22+AH23-AQ22,IF(A23&lt;'Données projet'!$A$62,$AF$205^A23,IF(A23='Données projet'!$A$62,'Données projet'!$B$62,AI22+AH23-AQ22)))</f>
        <v>24.582870545650774</v>
      </c>
      <c r="AJ23" s="13">
        <f>AI23*VLOOKUP('Données projet'!$B$10,Paramètres!$A$1:$I$89,3,0)*VLOOKUP('Données projet'!$B$10,Paramètres!$A$1:$I$89,5,0)</f>
        <v>23.393059611241277</v>
      </c>
      <c r="AK23" s="13">
        <f t="shared" si="35"/>
        <v>7.4692563052803118</v>
      </c>
      <c r="AL23" s="20">
        <f t="shared" si="4"/>
        <v>53.751866887941766</v>
      </c>
      <c r="AM23" s="59">
        <f t="shared" si="5"/>
        <v>334.86297799905293</v>
      </c>
      <c r="AN23" s="59">
        <f ca="1">AVERAGE(OFFSET($AM$3,0,0,'Données projet'!$E$10+1,1))-AVERAGE(OFFSET($H$3,0,0,'Données projet'!$E$10+1,1))</f>
        <v>401.81944956556271</v>
      </c>
      <c r="AO23" s="59">
        <f t="shared" si="36"/>
        <v>292.20785523952651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85</v>
      </c>
      <c r="BB23" s="12">
        <f>VLOOKUP(A23,'Données projet'!$A$87:$I$107,9,0)</f>
        <v>9.6</v>
      </c>
      <c r="BC23" s="12">
        <f t="array" ref="BC23">INDEX(BB:BB,MIN(IF(ISNUMBER(BB23:BB219),ROW(BB23:BB219),"")))</f>
        <v>9.6</v>
      </c>
      <c r="BD23" s="12">
        <f>IF('Données projet'!$A$88&gt;35,BD22+BC23-BL22,IF(A23&lt;'Données projet'!$A$88,$BA$205^A23,IF(A23='Données projet'!$A$88,'Données projet'!$B$88,BD22+BC23-BL22)))</f>
        <v>84.999999999999986</v>
      </c>
      <c r="BE23" s="13">
        <f>BD23*VLOOKUP('Données projet'!$B$11,Paramètres!$A$1:$I$89,3,0)*VLOOKUP('Données projet'!$B$11,Paramètres!$A$1:$I$89,5,0)</f>
        <v>66.3</v>
      </c>
      <c r="BF23" s="13">
        <f t="shared" si="37"/>
        <v>18.751733344032118</v>
      </c>
      <c r="BG23" s="20">
        <f t="shared" si="7"/>
        <v>148.13176890752257</v>
      </c>
      <c r="BH23" s="59">
        <f t="shared" si="8"/>
        <v>429.24288001863374</v>
      </c>
      <c r="BI23" s="59">
        <f ca="1">AVERAGE(OFFSET($BH$3,0,0,'Données projet'!$E$11+1,1))-AVERAGE(OFFSET($H$3,0,0,'Données projet'!$E$11+1,1))</f>
        <v>288.80569134263209</v>
      </c>
      <c r="BJ23" s="59">
        <f t="shared" si="38"/>
        <v>283.48738729114024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0.215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4.6164360471015273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4.6164360471015273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87</v>
      </c>
      <c r="BW23" s="12">
        <f>VLOOKUP(A23,'Données projet'!$A$113:$I$133,9,0)</f>
        <v>8</v>
      </c>
      <c r="BX23" s="12">
        <f t="array" ref="BX23">INDEX(BW:BW,MIN(IF(ISNUMBER(BW23:BW219),ROW(BW23:BW219),"")))</f>
        <v>8</v>
      </c>
      <c r="BY23" s="12">
        <f>IF('Données projet'!$A$114&gt;35,BY22+BX23-CG22,IF(A23&lt;'Données projet'!$A$114,$BV$205^A23,IF(A23='Données projet'!$A$114,'Données projet'!$B$114,BY22+BX23-CG22)))</f>
        <v>87</v>
      </c>
      <c r="BZ23" s="13">
        <f>BY23*VLOOKUP('Données projet'!$B$12,Paramètres!$A$1:$I$89,3,0)*VLOOKUP('Données projet'!$B$12,Paramètres!$A$1:$I$89,5,0)</f>
        <v>90.932400000000015</v>
      </c>
      <c r="CA23" s="13">
        <f t="shared" si="39"/>
        <v>24.78996235436804</v>
      </c>
      <c r="CB23" s="20">
        <f t="shared" si="10"/>
        <v>201.54978110052437</v>
      </c>
      <c r="CC23" s="59">
        <f t="shared" si="11"/>
        <v>482.66089221163554</v>
      </c>
      <c r="CD23" s="59">
        <f ca="1">AVERAGE(OFFSET($CC$3,0,0,'Données projet'!$E$12+1,1))-AVERAGE(OFFSET($H$3,0,0,'Données projet'!$E$12+1,1))</f>
        <v>352.22281362023102</v>
      </c>
      <c r="CE23" s="59">
        <f t="shared" si="40"/>
        <v>310.2353747925161</v>
      </c>
      <c r="CF23" s="15">
        <f>IF(ISNA(VLOOKUP(A23,'Données projet'!$A$113:$I$133,3,0)),0,VLOOKUP(A23,'Données projet'!$A$113:$I$133,3,0))</f>
        <v>1</v>
      </c>
      <c r="CG23" s="15" t="str">
        <f>IF(ISNA(VLOOKUP(A23,'Données projet'!$A$113:$I$133,4,0)),0,VLOOKUP(A23,'Données projet'!$A$113:$I$133,4,0))</f>
        <v>29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2.9235042735042733</v>
      </c>
      <c r="CT23" s="12">
        <f>IF('Données projet'!$A$140&gt;35,CT22+CS23-DB22,IF(A23&lt;'Données projet'!$A$140,$CQ$205^A23,IF(A23='Données projet'!$A$140,'Données projet'!$B$140,CT22+CS23-DB22)))</f>
        <v>19.740129245617538</v>
      </c>
      <c r="CU23" s="17">
        <f>CT23*VLOOKUP('Données projet'!$B$13,Paramètres!$A$1:$I$89,3,0)*VLOOKUP('Données projet'!$B$13,Paramètres!$A$1:$I$89,5,0)</f>
        <v>17.860868941434749</v>
      </c>
      <c r="CV23" s="13">
        <f t="shared" si="41"/>
        <v>5.8848200585320249</v>
      </c>
      <c r="CW23" s="20">
        <f t="shared" si="13"/>
        <v>41.357075008275459</v>
      </c>
      <c r="CX23" s="59">
        <f t="shared" si="14"/>
        <v>322.46818611938659</v>
      </c>
      <c r="CY23" s="59">
        <f ca="1">AVERAGE(OFFSET($CX$3,0,0,'Données projet'!$E$13+1,1))-AVERAGE(OFFSET($H$3,0,0,'Données projet'!$E$13+1,1))</f>
        <v>345.49688858037996</v>
      </c>
      <c r="CZ23" s="59">
        <f t="shared" si="42"/>
        <v>213.15872113755023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2.9235042735042733</v>
      </c>
      <c r="DO23" s="12">
        <f>IF('Données projet'!$A$166&gt;35,DO22+DN23-DW22,IF(A23&lt;'Données projet'!$A$166,$DL$205^A23,IF(A23='Données projet'!$A$166,'Données projet'!$B$166,DO22+DN23-DW22)))</f>
        <v>19.740129245617538</v>
      </c>
      <c r="DP23" s="17">
        <f>DO23*VLOOKUP('Données projet'!$B$14,Paramètres!$A$1:$I$89,3,0)*VLOOKUP('Données projet'!$B$14,Paramètres!$A$1:$I$89,5,0)</f>
        <v>20.016491055056186</v>
      </c>
      <c r="DQ23" s="13">
        <f t="shared" si="43"/>
        <v>6.5081634970626938</v>
      </c>
      <c r="DR23" s="20">
        <f t="shared" si="16"/>
        <v>46.197106678273713</v>
      </c>
      <c r="DS23" s="59">
        <f t="shared" si="17"/>
        <v>327.30821778938486</v>
      </c>
      <c r="DT23" s="59">
        <f ca="1">AVERAGE(OFFSET($DS$3,0,0,'Données projet'!$E$14+1,1))-AVERAGE(OFFSET($H$3,0,0,'Données projet'!$E$14+1,1))</f>
        <v>382.26108489744581</v>
      </c>
      <c r="DU23" s="59">
        <f t="shared" si="44"/>
        <v>233.89423996158826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3.9732905982905979</v>
      </c>
      <c r="EJ23" s="12">
        <f>IF('Données projet'!$A$192&gt;35,EJ22+EI23-ER22,IF(A23&lt;'Données projet'!$A$192,$EG$205^A23,IF(A23='Données projet'!$A$192,'Données projet'!$B$192,EJ22+EI23-ER22)))</f>
        <v>24.220385777976311</v>
      </c>
      <c r="EK23" s="17">
        <f>EJ23*VLOOKUP('Données projet'!$B$15,Paramètres!$A$1:$I$89,3,0)*VLOOKUP('Données projet'!$B$15,Paramètres!$A$1:$I$89,5,0)</f>
        <v>20.403252979367245</v>
      </c>
      <c r="EL23" s="13">
        <f t="shared" si="45"/>
        <v>6.6191537259229927</v>
      </c>
      <c r="EM23" s="20">
        <f t="shared" si="19"/>
        <v>47.064025011713824</v>
      </c>
      <c r="EN23" s="59">
        <f t="shared" si="20"/>
        <v>328.17513612282494</v>
      </c>
      <c r="EO23" s="59">
        <f ca="1">AVERAGE(OFFSET($EN$3,0,0,'Données projet'!$E$15+1,1))-AVERAGE(OFFSET($H$3,0,0,'Données projet'!$E$15+1,1))</f>
        <v>312.48716825299158</v>
      </c>
      <c r="EP23" s="59">
        <f t="shared" si="46"/>
        <v>258.68277822755357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2.9235042735042733</v>
      </c>
      <c r="FE23" s="12">
        <f>IF('Données projet'!$A$218&gt;35,FE22+FD23-FM22,IF(A23&lt;'Données projet'!$A$218,$FB$205^A23,IF(A23='Données projet'!$A$218,'Données projet'!$B$218,FE22+FD23-FM22)))</f>
        <v>19.740129245617538</v>
      </c>
      <c r="FF23" s="17">
        <f>FE23*VLOOKUP('Données projet'!$B$16,Paramètres!$A$1:$I$89,3,0)*VLOOKUP('Données projet'!$B$16,Paramètres!$A$1:$I$89,5,0)</f>
        <v>21.248275119982718</v>
      </c>
      <c r="FG23" s="13">
        <f t="shared" si="47"/>
        <v>6.860808056529903</v>
      </c>
      <c r="FH23" s="20">
        <f t="shared" si="22"/>
        <v>48.956653199092813</v>
      </c>
      <c r="FI23" s="59">
        <f t="shared" si="23"/>
        <v>330.06776431020398</v>
      </c>
      <c r="FJ23" s="59">
        <f ca="1">AVERAGE(OFFSET($FI$3,0,0,'Données projet'!$E$16+1,1))-AVERAGE(OFFSET($H$3,0,0,'Données projet'!$E$16+1,1))</f>
        <v>403.23110963096246</v>
      </c>
      <c r="FK23" s="59">
        <f t="shared" si="48"/>
        <v>245.72000393124898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2.9235042735042733</v>
      </c>
      <c r="FZ23" s="12">
        <f>IF('Données projet'!$A$244&gt;35,FZ22+FY23-GH22,IF(A23&lt;'Données projet'!$A$244,$FW$205^A23,IF(A23='Données projet'!$A$244,'Données projet'!$B$244,FZ22+FY23-GH22)))</f>
        <v>19.740129245617538</v>
      </c>
      <c r="GA23" s="17">
        <f>FZ23*VLOOKUP('Données projet'!$B$17,Paramètres!$A$1:$I$89,3,0)*VLOOKUP('Données projet'!$B$17,Paramètres!$A$1:$I$89,5,0)</f>
        <v>19.092653006361285</v>
      </c>
      <c r="GB23" s="13">
        <f t="shared" si="49"/>
        <v>6.2420250842326848</v>
      </c>
      <c r="GC23" s="20">
        <f t="shared" si="25"/>
        <v>44.124564341117825</v>
      </c>
      <c r="GD23" s="59">
        <f t="shared" si="26"/>
        <v>325.23567545222897</v>
      </c>
      <c r="GE23" s="59">
        <f ca="1">AVERAGE(OFFSET($GD$3,0,0,'Données projet'!$E$17+1,1))-AVERAGE(OFFSET($H$3,0,0,'Données projet'!$E$17+1,1))</f>
        <v>336.2911850338175</v>
      </c>
      <c r="GF23" s="59">
        <f t="shared" si="50"/>
        <v>225.01415116995503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2.9235042735042733</v>
      </c>
      <c r="GU23" s="12">
        <f>IF('Données projet'!$A$270&gt;35,GU22+GT23-HC22,IF(A23&lt;'Données projet'!$A$270,$GR$205^A23,IF(A23='Données projet'!$A$270,'Données projet'!$B$270,GU22+GT23-HC22)))</f>
        <v>19.740129245617538</v>
      </c>
      <c r="GV23" s="17">
        <f>GU23*VLOOKUP('Données projet'!$B$18,Paramètres!$A$1:$I$89,3,0)*VLOOKUP('Données projet'!$B$18,Paramètres!$A$1:$I$89,5,0)</f>
        <v>13.241678697960245</v>
      </c>
      <c r="GW23" s="13">
        <f t="shared" si="51"/>
        <v>4.5175289056700372</v>
      </c>
      <c r="GX23" s="20">
        <f t="shared" si="28"/>
        <v>30.93061990965607</v>
      </c>
      <c r="GY23" s="59">
        <f t="shared" si="29"/>
        <v>312.0417310207672</v>
      </c>
      <c r="GZ23" s="59">
        <f ca="1">AVERAGE(OFFSET($GY$3,0,0,'Données projet'!$E$18+1,1))-AVERAGE(OFFSET($H$3,0,0,'Données projet'!$E$18+1,1))</f>
        <v>266.37807768393191</v>
      </c>
      <c r="HA23" s="59">
        <f t="shared" si="52"/>
        <v>168.52019826233425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12.6</v>
      </c>
      <c r="N24" s="13">
        <f>IF('Données projet'!$A$36&gt;35,N23+M24-V23,IF(A24&lt;'Données projet'!$A$36,$K$205^A24,IF(A24='Données projet'!$A$36,'Données projet'!$B$36,N23+M24-V23)))</f>
        <v>64.599999999999994</v>
      </c>
      <c r="O24" s="13">
        <f>N24*VLOOKUP('Données projet'!$B$9,Paramètres!$A$1:$I$89,3,0)*VLOOKUP('Données projet'!$B$9,Paramètres!$A$1:$I$89,5,0)</f>
        <v>56.434560000000005</v>
      </c>
      <c r="P24" s="13">
        <f t="shared" si="33"/>
        <v>16.26362505907256</v>
      </c>
      <c r="Q24" s="20">
        <f t="shared" si="2"/>
        <v>126.61600564455136</v>
      </c>
      <c r="R24" s="59">
        <f t="shared" si="0"/>
        <v>408.94933897788468</v>
      </c>
      <c r="S24" s="59">
        <f ca="1">AVERAGE(OFFSET($R$3,0,0,'Données projet'!$E$9+1,1))-AVERAGE(OFFSET($H$3,0,0,'Données projet'!$E$9+1,1))</f>
        <v>324.86930206492627</v>
      </c>
      <c r="T24" s="59">
        <f t="shared" si="34"/>
        <v>317.03005098025352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4.0628205128205126</v>
      </c>
      <c r="AI24" s="13">
        <f>IF('Données projet'!$A$62&gt;35,AI23+AH24-AQ23,IF(A24&lt;'Données projet'!$A$62,$AF$205^A24,IF(A24='Données projet'!$A$62,'Données projet'!$B$62,AI23+AH24-AQ23)))</f>
        <v>28.851222752799568</v>
      </c>
      <c r="AJ24" s="13">
        <f>AI24*VLOOKUP('Données projet'!$B$10,Paramètres!$A$1:$I$89,3,0)*VLOOKUP('Données projet'!$B$10,Paramètres!$A$1:$I$89,5,0)</f>
        <v>27.45482357156407</v>
      </c>
      <c r="AK24" s="13">
        <f t="shared" si="35"/>
        <v>8.6042993298019912</v>
      </c>
      <c r="AL24" s="20">
        <f t="shared" si="4"/>
        <v>62.802972386545882</v>
      </c>
      <c r="AM24" s="59">
        <f t="shared" si="5"/>
        <v>345.1363057198792</v>
      </c>
      <c r="AN24" s="59">
        <f ca="1">AVERAGE(OFFSET($AM$3,0,0,'Données projet'!$E$10+1,1))-AVERAGE(OFFSET($H$3,0,0,'Données projet'!$E$10+1,1))</f>
        <v>401.81944956556271</v>
      </c>
      <c r="AO24" s="59">
        <f t="shared" si="36"/>
        <v>292.20785523952651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10.6</v>
      </c>
      <c r="BD24" s="12">
        <f>IF('Données projet'!$A$88&gt;35,BD23+BC24-BL23,IF(A24&lt;'Données projet'!$A$88,$BA$205^A24,IF(A24='Données projet'!$A$88,'Données projet'!$B$88,BD23+BC24-BL23)))</f>
        <v>70.59999999999998</v>
      </c>
      <c r="BE24" s="13">
        <f>BD24*VLOOKUP('Données projet'!$B$11,Paramètres!$A$1:$I$89,3,0)*VLOOKUP('Données projet'!$B$11,Paramètres!$A$1:$I$89,5,0)</f>
        <v>55.067999999999984</v>
      </c>
      <c r="BF24" s="13">
        <f t="shared" si="37"/>
        <v>15.915148294580479</v>
      </c>
      <c r="BG24" s="20">
        <f t="shared" si="7"/>
        <v>123.62898327972762</v>
      </c>
      <c r="BH24" s="59">
        <f t="shared" si="8"/>
        <v>405.96231661306092</v>
      </c>
      <c r="BI24" s="59">
        <f ca="1">AVERAGE(OFFSET($BH$3,0,0,'Données projet'!$E$11+1,1))-AVERAGE(OFFSET($H$3,0,0,'Données projet'!$E$11+1,1))</f>
        <v>288.80569134263209</v>
      </c>
      <c r="BJ24" s="59">
        <f t="shared" si="38"/>
        <v>283.48738729114024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4.4901993606257156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4.4901993606257156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</v>
      </c>
      <c r="BY24" s="12">
        <f>IF('Données projet'!$A$114&gt;35,BY23+BX24-CG23,IF(A24&lt;'Données projet'!$A$114,$BV$205^A24,IF(A24='Données projet'!$A$114,'Données projet'!$B$114,BY23+BX24-CG23)))</f>
        <v>66</v>
      </c>
      <c r="BZ24" s="13">
        <f>BY24*VLOOKUP('Données projet'!$B$12,Paramètres!$A$1:$I$89,3,0)*VLOOKUP('Données projet'!$B$12,Paramètres!$A$1:$I$89,5,0)</f>
        <v>68.983200000000011</v>
      </c>
      <c r="CA24" s="13">
        <f t="shared" si="39"/>
        <v>19.420735663201629</v>
      </c>
      <c r="CB24" s="20">
        <f t="shared" si="10"/>
        <v>153.97018794674287</v>
      </c>
      <c r="CC24" s="59">
        <f t="shared" si="11"/>
        <v>436.30352128007621</v>
      </c>
      <c r="CD24" s="59">
        <f ca="1">AVERAGE(OFFSET($CC$3,0,0,'Données projet'!$E$12+1,1))-AVERAGE(OFFSET($H$3,0,0,'Données projet'!$E$12+1,1))</f>
        <v>352.22281362023102</v>
      </c>
      <c r="CE24" s="59">
        <f t="shared" si="40"/>
        <v>310.2353747925161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2.9235042735042733</v>
      </c>
      <c r="CT24" s="12">
        <f>IF('Données projet'!$A$140&gt;35,CT23+CS24-DB23,IF(A24&lt;'Données projet'!$A$140,$CQ$205^A24,IF(A24='Données projet'!$A$140,'Données projet'!$B$140,CT23+CS24-DB23)))</f>
        <v>22.91487494147438</v>
      </c>
      <c r="CU24" s="17">
        <f>CT24*VLOOKUP('Données projet'!$B$13,Paramètres!$A$1:$I$89,3,0)*VLOOKUP('Données projet'!$B$13,Paramètres!$A$1:$I$89,5,0)</f>
        <v>20.733378847046019</v>
      </c>
      <c r="CV24" s="13">
        <f t="shared" si="41"/>
        <v>6.713697209604776</v>
      </c>
      <c r="CW24" s="20">
        <f t="shared" si="13"/>
        <v>47.803657465333458</v>
      </c>
      <c r="CX24" s="59">
        <f t="shared" si="14"/>
        <v>330.13699079866677</v>
      </c>
      <c r="CY24" s="59">
        <f ca="1">AVERAGE(OFFSET($CX$3,0,0,'Données projet'!$E$13+1,1))-AVERAGE(OFFSET($H$3,0,0,'Données projet'!$E$13+1,1))</f>
        <v>345.49688858037996</v>
      </c>
      <c r="CZ24" s="59">
        <f t="shared" si="42"/>
        <v>213.15872113755023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2.9235042735042733</v>
      </c>
      <c r="DO24" s="12">
        <f>IF('Données projet'!$A$166&gt;35,DO23+DN24-DW23,IF(A24&lt;'Données projet'!$A$166,$DL$205^A24,IF(A24='Données projet'!$A$166,'Données projet'!$B$166,DO23+DN24-DW23)))</f>
        <v>22.91487494147438</v>
      </c>
      <c r="DP24" s="17">
        <f>DO24*VLOOKUP('Données projet'!$B$14,Paramètres!$A$1:$I$89,3,0)*VLOOKUP('Données projet'!$B$14,Paramètres!$A$1:$I$89,5,0)</f>
        <v>23.235683190655024</v>
      </c>
      <c r="DQ24" s="13">
        <f t="shared" si="43"/>
        <v>7.4248385974916156</v>
      </c>
      <c r="DR24" s="20">
        <f t="shared" si="16"/>
        <v>53.400408781022065</v>
      </c>
      <c r="DS24" s="59">
        <f t="shared" si="17"/>
        <v>335.73374211435538</v>
      </c>
      <c r="DT24" s="59">
        <f ca="1">AVERAGE(OFFSET($DS$3,0,0,'Données projet'!$E$14+1,1))-AVERAGE(OFFSET($H$3,0,0,'Données projet'!$E$14+1,1))</f>
        <v>382.26108489744581</v>
      </c>
      <c r="DU24" s="59">
        <f t="shared" si="44"/>
        <v>233.89423996158826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3.9732905982905979</v>
      </c>
      <c r="EJ24" s="12">
        <f>IF('Données projet'!$A$192&gt;35,EJ23+EI24-ER23,IF(A24&lt;'Données projet'!$A$192,$EG$205^A24,IF(A24='Données projet'!$A$192,'Données projet'!$B$192,EJ23+EI24-ER23)))</f>
        <v>28.404693607360635</v>
      </c>
      <c r="EK24" s="17">
        <f>EJ24*VLOOKUP('Données projet'!$B$15,Paramètres!$A$1:$I$89,3,0)*VLOOKUP('Données projet'!$B$15,Paramètres!$A$1:$I$89,5,0)</f>
        <v>23.9281138948406</v>
      </c>
      <c r="EL24" s="13">
        <f t="shared" si="45"/>
        <v>7.6200107934516144</v>
      </c>
      <c r="EM24" s="20">
        <f t="shared" si="19"/>
        <v>54.946317165442274</v>
      </c>
      <c r="EN24" s="59">
        <f t="shared" si="20"/>
        <v>337.2796504987756</v>
      </c>
      <c r="EO24" s="59">
        <f ca="1">AVERAGE(OFFSET($EN$3,0,0,'Données projet'!$E$15+1,1))-AVERAGE(OFFSET($H$3,0,0,'Données projet'!$E$15+1,1))</f>
        <v>312.48716825299158</v>
      </c>
      <c r="EP24" s="59">
        <f t="shared" si="46"/>
        <v>258.68277822755357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2.9235042735042733</v>
      </c>
      <c r="FE24" s="12">
        <f>IF('Données projet'!$A$218&gt;35,FE23+FD24-FM23,IF(A24&lt;'Données projet'!$A$218,$FB$205^A24,IF(A24='Données projet'!$A$218,'Données projet'!$B$218,FE23+FD24-FM23)))</f>
        <v>22.91487494147438</v>
      </c>
      <c r="FF24" s="17">
        <f>FE24*VLOOKUP('Données projet'!$B$16,Paramètres!$A$1:$I$89,3,0)*VLOOKUP('Données projet'!$B$16,Paramètres!$A$1:$I$89,5,0)</f>
        <v>24.665571387003023</v>
      </c>
      <c r="FG24" s="13">
        <f t="shared" si="47"/>
        <v>7.8271531578909208</v>
      </c>
      <c r="FH24" s="20">
        <f t="shared" si="22"/>
        <v>56.591495249023616</v>
      </c>
      <c r="FI24" s="59">
        <f t="shared" si="23"/>
        <v>338.92482858235695</v>
      </c>
      <c r="FJ24" s="59">
        <f ca="1">AVERAGE(OFFSET($FI$3,0,0,'Données projet'!$E$16+1,1))-AVERAGE(OFFSET($H$3,0,0,'Données projet'!$E$16+1,1))</f>
        <v>403.23110963096246</v>
      </c>
      <c r="FK24" s="59">
        <f t="shared" si="48"/>
        <v>245.72000393124898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2.9235042735042733</v>
      </c>
      <c r="FZ24" s="12">
        <f>IF('Données projet'!$A$244&gt;35,FZ23+FY24-GH23,IF(A24&lt;'Données projet'!$A$244,$FW$205^A24,IF(A24='Données projet'!$A$244,'Données projet'!$B$244,FZ23+FY24-GH23)))</f>
        <v>22.91487494147438</v>
      </c>
      <c r="GA24" s="17">
        <f>FZ24*VLOOKUP('Données projet'!$B$17,Paramètres!$A$1:$I$89,3,0)*VLOOKUP('Données projet'!$B$17,Paramètres!$A$1:$I$89,5,0)</f>
        <v>22.163267043394022</v>
      </c>
      <c r="GB24" s="13">
        <f t="shared" si="49"/>
        <v>7.121214578097014</v>
      </c>
      <c r="GC24" s="20">
        <f t="shared" si="25"/>
        <v>51.003805490763547</v>
      </c>
      <c r="GD24" s="59">
        <f t="shared" si="26"/>
        <v>333.33713882409688</v>
      </c>
      <c r="GE24" s="59">
        <f ca="1">AVERAGE(OFFSET($GD$3,0,0,'Données projet'!$E$17+1,1))-AVERAGE(OFFSET($H$3,0,0,'Données projet'!$E$17+1,1))</f>
        <v>336.2911850338175</v>
      </c>
      <c r="GF24" s="59">
        <f t="shared" si="50"/>
        <v>225.01415116995503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2.9235042735042733</v>
      </c>
      <c r="GU24" s="12">
        <f>IF('Données projet'!$A$270&gt;35,GU23+GT24-HC23,IF(A24&lt;'Données projet'!$A$270,$GR$205^A24,IF(A24='Données projet'!$A$270,'Données projet'!$B$270,GU23+GT24-HC23)))</f>
        <v>22.91487494147438</v>
      </c>
      <c r="GV24" s="17">
        <f>GU24*VLOOKUP('Données projet'!$B$18,Paramètres!$A$1:$I$89,3,0)*VLOOKUP('Données projet'!$B$18,Paramètres!$A$1:$I$89,5,0)</f>
        <v>15.371298110741014</v>
      </c>
      <c r="GW24" s="13">
        <f t="shared" si="51"/>
        <v>5.1538230407458752</v>
      </c>
      <c r="GX24" s="20">
        <f t="shared" si="28"/>
        <v>35.747919338839658</v>
      </c>
      <c r="GY24" s="59">
        <f t="shared" si="29"/>
        <v>318.08125267217298</v>
      </c>
      <c r="GZ24" s="59">
        <f ca="1">AVERAGE(OFFSET($GY$3,0,0,'Données projet'!$E$18+1,1))-AVERAGE(OFFSET($H$3,0,0,'Données projet'!$E$18+1,1))</f>
        <v>266.37807768393191</v>
      </c>
      <c r="HA24" s="59">
        <f t="shared" si="52"/>
        <v>168.52019826233425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12.6</v>
      </c>
      <c r="N25" s="13">
        <f>IF('Données projet'!$A$36&gt;35,N24+M25-V24,IF(A25&lt;'Données projet'!$A$36,$K$205^A25,IF(A25='Données projet'!$A$36,'Données projet'!$B$36,N24+M25-V24)))</f>
        <v>77.199999999999989</v>
      </c>
      <c r="O25" s="13">
        <f>N25*VLOOKUP('Données projet'!$B$9,Paramètres!$A$1:$I$89,3,0)*VLOOKUP('Données projet'!$B$9,Paramètres!$A$1:$I$89,5,0)</f>
        <v>67.441919999999996</v>
      </c>
      <c r="P25" s="13">
        <f t="shared" si="33"/>
        <v>19.036826299015036</v>
      </c>
      <c r="Q25" s="20">
        <f t="shared" si="2"/>
        <v>150.61714980411784</v>
      </c>
      <c r="R25" s="59">
        <f t="shared" si="0"/>
        <v>434.17270535967339</v>
      </c>
      <c r="S25" s="59">
        <f ca="1">AVERAGE(OFFSET($R$3,0,0,'Données projet'!$E$9+1,1))-AVERAGE(OFFSET($H$3,0,0,'Données projet'!$E$9+1,1))</f>
        <v>324.86930206492627</v>
      </c>
      <c r="T25" s="59">
        <f t="shared" si="34"/>
        <v>317.03005098025352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4.0628205128205126</v>
      </c>
      <c r="AI25" s="13">
        <f>IF('Données projet'!$A$62&gt;35,AI24+AH25-AQ24,IF(A25&lt;'Données projet'!$A$62,$AF$205^A25,IF(A25='Données projet'!$A$62,'Données projet'!$B$62,AI24+AH25-AQ24)))</f>
        <v>33.860693883812012</v>
      </c>
      <c r="AJ25" s="13">
        <f>AI25*VLOOKUP('Données projet'!$B$10,Paramètres!$A$1:$I$89,3,0)*VLOOKUP('Données projet'!$B$10,Paramètres!$A$1:$I$89,5,0)</f>
        <v>32.221836299835509</v>
      </c>
      <c r="AK25" s="13">
        <f t="shared" si="35"/>
        <v>9.9118257468944293</v>
      </c>
      <c r="AL25" s="20">
        <f t="shared" si="4"/>
        <v>73.382794731387975</v>
      </c>
      <c r="AM25" s="59">
        <f t="shared" si="5"/>
        <v>356.93835028694355</v>
      </c>
      <c r="AN25" s="59">
        <f ca="1">AVERAGE(OFFSET($AM$3,0,0,'Données projet'!$E$10+1,1))-AVERAGE(OFFSET($H$3,0,0,'Données projet'!$E$10+1,1))</f>
        <v>401.81944956556271</v>
      </c>
      <c r="AO25" s="59">
        <f t="shared" si="36"/>
        <v>292.20785523952651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10.6</v>
      </c>
      <c r="BD25" s="12">
        <f>IF('Données projet'!$A$88&gt;35,BD24+BC25-BL24,IF(A25&lt;'Données projet'!$A$88,$BA$205^A25,IF(A25='Données projet'!$A$88,'Données projet'!$B$88,BD24+BC25-BL24)))</f>
        <v>81.199999999999974</v>
      </c>
      <c r="BE25" s="13">
        <f>BD25*VLOOKUP('Données projet'!$B$11,Paramètres!$A$1:$I$89,3,0)*VLOOKUP('Données projet'!$B$11,Paramètres!$A$1:$I$89,5,0)</f>
        <v>63.335999999999984</v>
      </c>
      <c r="BF25" s="13">
        <f t="shared" si="37"/>
        <v>18.009040022946227</v>
      </c>
      <c r="BG25" s="20">
        <f t="shared" si="7"/>
        <v>141.67594470663133</v>
      </c>
      <c r="BH25" s="59">
        <f t="shared" si="8"/>
        <v>425.23150026218684</v>
      </c>
      <c r="BI25" s="59">
        <f ca="1">AVERAGE(OFFSET($BH$3,0,0,'Données projet'!$E$11+1,1))-AVERAGE(OFFSET($H$3,0,0,'Données projet'!$E$11+1,1))</f>
        <v>288.80569134263209</v>
      </c>
      <c r="BJ25" s="59">
        <f t="shared" si="38"/>
        <v>283.48738729114024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4.3674146229800836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4.3674146229800836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</v>
      </c>
      <c r="BY25" s="12">
        <f>IF('Données projet'!$A$114&gt;35,BY24+BX25-CG24,IF(A25&lt;'Données projet'!$A$114,$BV$205^A25,IF(A25='Données projet'!$A$114,'Données projet'!$B$114,BY24+BX25-CG24)))</f>
        <v>74</v>
      </c>
      <c r="BZ25" s="13">
        <f>BY25*VLOOKUP('Données projet'!$B$12,Paramètres!$A$1:$I$89,3,0)*VLOOKUP('Données projet'!$B$12,Paramètres!$A$1:$I$89,5,0)</f>
        <v>77.344800000000006</v>
      </c>
      <c r="CA25" s="13">
        <f t="shared" si="39"/>
        <v>21.486704106300962</v>
      </c>
      <c r="CB25" s="20">
        <f t="shared" si="10"/>
        <v>172.13153631847419</v>
      </c>
      <c r="CC25" s="59">
        <f t="shared" si="11"/>
        <v>455.68709187402976</v>
      </c>
      <c r="CD25" s="59">
        <f ca="1">AVERAGE(OFFSET($CC$3,0,0,'Données projet'!$E$12+1,1))-AVERAGE(OFFSET($H$3,0,0,'Données projet'!$E$12+1,1))</f>
        <v>352.22281362023102</v>
      </c>
      <c r="CE25" s="59">
        <f t="shared" si="40"/>
        <v>310.2353747925161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2.9235042735042733</v>
      </c>
      <c r="CT25" s="12">
        <f>IF('Données projet'!$A$140&gt;35,CT24+CS25-DB24,IF(A25&lt;'Données projet'!$A$140,$CQ$205^A25,IF(A25='Données projet'!$A$140,'Données projet'!$B$140,CT24+CS25-DB24)))</f>
        <v>26.600205452048144</v>
      </c>
      <c r="CU25" s="17">
        <f>CT25*VLOOKUP('Données projet'!$B$13,Paramètres!$A$1:$I$89,3,0)*VLOOKUP('Données projet'!$B$13,Paramètres!$A$1:$I$89,5,0)</f>
        <v>24.06786589301316</v>
      </c>
      <c r="CV25" s="13">
        <f t="shared" si="41"/>
        <v>7.6593217420310804</v>
      </c>
      <c r="CW25" s="20">
        <f t="shared" si="13"/>
        <v>55.258185131035383</v>
      </c>
      <c r="CX25" s="59">
        <f t="shared" si="14"/>
        <v>338.8137406865909</v>
      </c>
      <c r="CY25" s="59">
        <f ca="1">AVERAGE(OFFSET($CX$3,0,0,'Données projet'!$E$13+1,1))-AVERAGE(OFFSET($H$3,0,0,'Données projet'!$E$13+1,1))</f>
        <v>345.49688858037996</v>
      </c>
      <c r="CZ25" s="59">
        <f t="shared" si="42"/>
        <v>213.15872113755023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2.9235042735042733</v>
      </c>
      <c r="DO25" s="12">
        <f>IF('Données projet'!$A$166&gt;35,DO24+DN25-DW24,IF(A25&lt;'Données projet'!$A$166,$DL$205^A25,IF(A25='Données projet'!$A$166,'Données projet'!$B$166,DO24+DN25-DW24)))</f>
        <v>26.600205452048144</v>
      </c>
      <c r="DP25" s="17">
        <f>DO25*VLOOKUP('Données projet'!$B$14,Paramètres!$A$1:$I$89,3,0)*VLOOKUP('Données projet'!$B$14,Paramètres!$A$1:$I$89,5,0)</f>
        <v>26.972608328376822</v>
      </c>
      <c r="DQ25" s="13">
        <f t="shared" si="43"/>
        <v>8.4706274241085247</v>
      </c>
      <c r="DR25" s="20">
        <f t="shared" si="16"/>
        <v>61.730302268911977</v>
      </c>
      <c r="DS25" s="59">
        <f t="shared" si="17"/>
        <v>345.28585782446754</v>
      </c>
      <c r="DT25" s="59">
        <f ca="1">AVERAGE(OFFSET($DS$3,0,0,'Données projet'!$E$14+1,1))-AVERAGE(OFFSET($H$3,0,0,'Données projet'!$E$14+1,1))</f>
        <v>382.26108489744581</v>
      </c>
      <c r="DU25" s="59">
        <f t="shared" si="44"/>
        <v>233.89423996158826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3.9732905982905979</v>
      </c>
      <c r="EJ25" s="12">
        <f>IF('Données projet'!$A$192&gt;35,EJ24+EI25-ER24,IF(A25&lt;'Données projet'!$A$192,$EG$205^A25,IF(A25='Données projet'!$A$192,'Données projet'!$B$192,EJ24+EI25-ER24)))</f>
        <v>33.311881417747053</v>
      </c>
      <c r="EK25" s="17">
        <f>EJ25*VLOOKUP('Données projet'!$B$15,Paramètres!$A$1:$I$89,3,0)*VLOOKUP('Données projet'!$B$15,Paramètres!$A$1:$I$89,5,0)</f>
        <v>28.061928906310122</v>
      </c>
      <c r="EL25" s="13">
        <f t="shared" si="45"/>
        <v>8.77220365269919</v>
      </c>
      <c r="EM25" s="20">
        <f t="shared" si="19"/>
        <v>64.152780873607881</v>
      </c>
      <c r="EN25" s="59">
        <f t="shared" si="20"/>
        <v>347.70833642916341</v>
      </c>
      <c r="EO25" s="59">
        <f ca="1">AVERAGE(OFFSET($EN$3,0,0,'Données projet'!$E$15+1,1))-AVERAGE(OFFSET($H$3,0,0,'Données projet'!$E$15+1,1))</f>
        <v>312.48716825299158</v>
      </c>
      <c r="EP25" s="59">
        <f t="shared" si="46"/>
        <v>258.68277822755357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2.9235042735042733</v>
      </c>
      <c r="FE25" s="12">
        <f>IF('Données projet'!$A$218&gt;35,FE24+FD25-FM24,IF(A25&lt;'Données projet'!$A$218,$FB$205^A25,IF(A25='Données projet'!$A$218,'Données projet'!$B$218,FE24+FD25-FM24)))</f>
        <v>26.600205452048144</v>
      </c>
      <c r="FF25" s="17">
        <f>FE25*VLOOKUP('Données projet'!$B$16,Paramètres!$A$1:$I$89,3,0)*VLOOKUP('Données projet'!$B$16,Paramètres!$A$1:$I$89,5,0)</f>
        <v>28.632461148584621</v>
      </c>
      <c r="FG25" s="13">
        <f t="shared" si="47"/>
        <v>8.9296080071460899</v>
      </c>
      <c r="FH25" s="20">
        <f t="shared" si="22"/>
        <v>65.420603779564317</v>
      </c>
      <c r="FI25" s="59">
        <f t="shared" si="23"/>
        <v>348.97615933511986</v>
      </c>
      <c r="FJ25" s="59">
        <f ca="1">AVERAGE(OFFSET($FI$3,0,0,'Données projet'!$E$16+1,1))-AVERAGE(OFFSET($H$3,0,0,'Données projet'!$E$16+1,1))</f>
        <v>403.23110963096246</v>
      </c>
      <c r="FK25" s="59">
        <f t="shared" si="48"/>
        <v>245.72000393124898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2.9235042735042733</v>
      </c>
      <c r="FZ25" s="12">
        <f>IF('Données projet'!$A$244&gt;35,FZ24+FY25-GH24,IF(A25&lt;'Données projet'!$A$244,$FW$205^A25,IF(A25='Données projet'!$A$244,'Données projet'!$B$244,FZ24+FY25-GH24)))</f>
        <v>26.600205452048144</v>
      </c>
      <c r="GA25" s="17">
        <f>FZ25*VLOOKUP('Données projet'!$B$17,Paramètres!$A$1:$I$89,3,0)*VLOOKUP('Données projet'!$B$17,Paramètres!$A$1:$I$89,5,0)</f>
        <v>25.727718713220966</v>
      </c>
      <c r="GB25" s="13">
        <f t="shared" si="49"/>
        <v>8.1242379488988057</v>
      </c>
      <c r="GC25" s="20">
        <f t="shared" si="25"/>
        <v>58.958824519858602</v>
      </c>
      <c r="GD25" s="59">
        <f t="shared" si="26"/>
        <v>342.51438007541412</v>
      </c>
      <c r="GE25" s="59">
        <f ca="1">AVERAGE(OFFSET($GD$3,0,0,'Données projet'!$E$17+1,1))-AVERAGE(OFFSET($H$3,0,0,'Données projet'!$E$17+1,1))</f>
        <v>336.2911850338175</v>
      </c>
      <c r="GF25" s="59">
        <f t="shared" si="50"/>
        <v>225.01415116995503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2.9235042735042733</v>
      </c>
      <c r="GU25" s="12">
        <f>IF('Données projet'!$A$270&gt;35,GU24+GT25-HC24,IF(A25&lt;'Données projet'!$A$270,$GR$205^A25,IF(A25='Données projet'!$A$270,'Données projet'!$B$270,GU24+GT25-HC24)))</f>
        <v>26.600205452048144</v>
      </c>
      <c r="GV25" s="17">
        <f>GU25*VLOOKUP('Données projet'!$B$18,Paramètres!$A$1:$I$89,3,0)*VLOOKUP('Données projet'!$B$18,Paramètres!$A$1:$I$89,5,0)</f>
        <v>17.843417817233895</v>
      </c>
      <c r="GW25" s="13">
        <f t="shared" si="51"/>
        <v>5.8797392313272718</v>
      </c>
      <c r="GX25" s="20">
        <f t="shared" si="28"/>
        <v>41.31783185957736</v>
      </c>
      <c r="GY25" s="59">
        <f t="shared" si="29"/>
        <v>324.87338741513292</v>
      </c>
      <c r="GZ25" s="59">
        <f ca="1">AVERAGE(OFFSET($GY$3,0,0,'Données projet'!$E$18+1,1))-AVERAGE(OFFSET($H$3,0,0,'Données projet'!$E$18+1,1))</f>
        <v>266.37807768393191</v>
      </c>
      <c r="HA25" s="59">
        <f t="shared" si="52"/>
        <v>168.52019826233425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12.6</v>
      </c>
      <c r="N26" s="13">
        <f>IF('Données projet'!$A$36&gt;35,N25+M26-V25,IF(A26&lt;'Données projet'!$A$36,$K$205^A26,IF(A26='Données projet'!$A$36,'Données projet'!$B$36,N25+M26-V25)))</f>
        <v>89.799999999999983</v>
      </c>
      <c r="O26" s="13">
        <f>N26*VLOOKUP('Données projet'!$B$9,Paramètres!$A$1:$I$89,3,0)*VLOOKUP('Données projet'!$B$9,Paramètres!$A$1:$I$89,5,0)</f>
        <v>78.449280000000002</v>
      </c>
      <c r="P26" s="13">
        <f t="shared" si="33"/>
        <v>21.757594161482565</v>
      </c>
      <c r="Q26" s="20">
        <f t="shared" si="2"/>
        <v>174.52697249791549</v>
      </c>
      <c r="R26" s="59">
        <f t="shared" si="0"/>
        <v>459.30475027569327</v>
      </c>
      <c r="S26" s="59">
        <f ca="1">AVERAGE(OFFSET($R$3,0,0,'Données projet'!$E$9+1,1))-AVERAGE(OFFSET($H$3,0,0,'Données projet'!$E$9+1,1))</f>
        <v>324.86930206492627</v>
      </c>
      <c r="T26" s="59">
        <f t="shared" si="34"/>
        <v>317.03005098025352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4.0628205128205126</v>
      </c>
      <c r="AI26" s="13">
        <f>IF('Données projet'!$A$62&gt;35,AI25+AH26-AQ25,IF(A26&lt;'Données projet'!$A$62,$AF$205^A26,IF(A26='Données projet'!$A$62,'Données projet'!$B$62,AI25+AH26-AQ25)))</f>
        <v>39.739965273463824</v>
      </c>
      <c r="AJ26" s="13">
        <f>AI26*VLOOKUP('Données projet'!$B$10,Paramètres!$A$1:$I$89,3,0)*VLOOKUP('Données projet'!$B$10,Paramètres!$A$1:$I$89,5,0)</f>
        <v>37.816550954228177</v>
      </c>
      <c r="AK26" s="13">
        <f t="shared" si="35"/>
        <v>11.418046475500782</v>
      </c>
      <c r="AL26" s="20">
        <f t="shared" si="4"/>
        <v>85.75025719011127</v>
      </c>
      <c r="AM26" s="59">
        <f t="shared" si="5"/>
        <v>370.52803496788903</v>
      </c>
      <c r="AN26" s="59">
        <f ca="1">AVERAGE(OFFSET($AM$3,0,0,'Données projet'!$E$10+1,1))-AVERAGE(OFFSET($H$3,0,0,'Données projet'!$E$10+1,1))</f>
        <v>401.81944956556271</v>
      </c>
      <c r="AO26" s="59">
        <f t="shared" si="36"/>
        <v>292.20785523952651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10.6</v>
      </c>
      <c r="BD26" s="12">
        <f>IF('Données projet'!$A$88&gt;35,BD25+BC26-BL25,IF(A26&lt;'Données projet'!$A$88,$BA$205^A26,IF(A26='Données projet'!$A$88,'Données projet'!$B$88,BD25+BC26-BL25)))</f>
        <v>91.799999999999969</v>
      </c>
      <c r="BE26" s="13">
        <f>BD26*VLOOKUP('Données projet'!$B$11,Paramètres!$A$1:$I$89,3,0)*VLOOKUP('Données projet'!$B$11,Paramètres!$A$1:$I$89,5,0)</f>
        <v>71.603999999999985</v>
      </c>
      <c r="BF26" s="13">
        <f t="shared" si="37"/>
        <v>20.071260561992585</v>
      </c>
      <c r="BG26" s="20">
        <f t="shared" si="7"/>
        <v>159.66774547880371</v>
      </c>
      <c r="BH26" s="59">
        <f t="shared" si="8"/>
        <v>444.44552325658151</v>
      </c>
      <c r="BI26" s="59">
        <f ca="1">AVERAGE(OFFSET($BH$3,0,0,'Données projet'!$E$11+1,1))-AVERAGE(OFFSET($H$3,0,0,'Données projet'!$E$11+1,1))</f>
        <v>288.80569134263209</v>
      </c>
      <c r="BJ26" s="59">
        <f t="shared" si="38"/>
        <v>283.48738729114024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4.2479874404423397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4.2479874404423397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</v>
      </c>
      <c r="BY26" s="12">
        <f>IF('Données projet'!$A$114&gt;35,BY25+BX26-CG25,IF(A26&lt;'Données projet'!$A$114,$BV$205^A26,IF(A26='Données projet'!$A$114,'Données projet'!$B$114,BY25+BX26-CG25)))</f>
        <v>82</v>
      </c>
      <c r="BZ26" s="13">
        <f>BY26*VLOOKUP('Données projet'!$B$12,Paramètres!$A$1:$I$89,3,0)*VLOOKUP('Données projet'!$B$12,Paramètres!$A$1:$I$89,5,0)</f>
        <v>85.706400000000016</v>
      </c>
      <c r="CA26" s="13">
        <f t="shared" si="39"/>
        <v>23.526784562031285</v>
      </c>
      <c r="CB26" s="20">
        <f t="shared" si="10"/>
        <v>190.24779644553783</v>
      </c>
      <c r="CC26" s="59">
        <f t="shared" si="11"/>
        <v>475.02557422331563</v>
      </c>
      <c r="CD26" s="59">
        <f ca="1">AVERAGE(OFFSET($CC$3,0,0,'Données projet'!$E$12+1,1))-AVERAGE(OFFSET($H$3,0,0,'Données projet'!$E$12+1,1))</f>
        <v>352.22281362023102</v>
      </c>
      <c r="CE26" s="59">
        <f t="shared" si="40"/>
        <v>310.2353747925161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2.9235042735042733</v>
      </c>
      <c r="CT26" s="12">
        <f>IF('Données projet'!$A$140&gt;35,CT25+CS26-DB25,IF(A26&lt;'Données projet'!$A$140,$CQ$205^A26,IF(A26='Données projet'!$A$140,'Données projet'!$B$140,CT25+CS26-DB25)))</f>
        <v>30.878236599516239</v>
      </c>
      <c r="CU26" s="17">
        <f>CT26*VLOOKUP('Données projet'!$B$13,Paramètres!$A$1:$I$89,3,0)*VLOOKUP('Données projet'!$B$13,Paramètres!$A$1:$I$89,5,0)</f>
        <v>27.938628475242293</v>
      </c>
      <c r="CV26" s="13">
        <f t="shared" si="41"/>
        <v>8.7381375293515138</v>
      </c>
      <c r="CW26" s="20">
        <f t="shared" si="13"/>
        <v>63.878700791334211</v>
      </c>
      <c r="CX26" s="59">
        <f t="shared" si="14"/>
        <v>348.65647856911198</v>
      </c>
      <c r="CY26" s="59">
        <f ca="1">AVERAGE(OFFSET($CX$3,0,0,'Données projet'!$E$13+1,1))-AVERAGE(OFFSET($H$3,0,0,'Données projet'!$E$13+1,1))</f>
        <v>345.49688858037996</v>
      </c>
      <c r="CZ26" s="59">
        <f t="shared" si="42"/>
        <v>213.15872113755023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2.9235042735042733</v>
      </c>
      <c r="DO26" s="12">
        <f>IF('Données projet'!$A$166&gt;35,DO25+DN26-DW25,IF(A26&lt;'Données projet'!$A$166,$DL$205^A26,IF(A26='Données projet'!$A$166,'Données projet'!$B$166,DO25+DN26-DW25)))</f>
        <v>30.878236599516239</v>
      </c>
      <c r="DP26" s="17">
        <f>DO26*VLOOKUP('Données projet'!$B$14,Paramètres!$A$1:$I$89,3,0)*VLOOKUP('Données projet'!$B$14,Paramètres!$A$1:$I$89,5,0)</f>
        <v>31.310531911909472</v>
      </c>
      <c r="DQ26" s="13">
        <f t="shared" si="43"/>
        <v>9.6637156506405031</v>
      </c>
      <c r="DR26" s="20">
        <f t="shared" si="16"/>
        <v>71.363481171441208</v>
      </c>
      <c r="DS26" s="59">
        <f t="shared" si="17"/>
        <v>356.14125894921898</v>
      </c>
      <c r="DT26" s="59">
        <f ca="1">AVERAGE(OFFSET($DS$3,0,0,'Données projet'!$E$14+1,1))-AVERAGE(OFFSET($H$3,0,0,'Données projet'!$E$14+1,1))</f>
        <v>382.26108489744581</v>
      </c>
      <c r="DU26" s="59">
        <f t="shared" si="44"/>
        <v>233.89423996158826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3.9732905982905979</v>
      </c>
      <c r="EJ26" s="12">
        <f>IF('Données projet'!$A$192&gt;35,EJ25+EI26-ER25,IF(A26&lt;'Données projet'!$A$192,$EG$205^A26,IF(A26='Données projet'!$A$192,'Données projet'!$B$192,EJ25+EI26-ER25)))</f>
        <v>39.066833775052054</v>
      </c>
      <c r="EK26" s="17">
        <f>EJ26*VLOOKUP('Données projet'!$B$15,Paramètres!$A$1:$I$89,3,0)*VLOOKUP('Données projet'!$B$15,Paramètres!$A$1:$I$89,5,0)</f>
        <v>32.909900772103853</v>
      </c>
      <c r="EL26" s="13">
        <f t="shared" si="45"/>
        <v>10.098615213322089</v>
      </c>
      <c r="EM26" s="20">
        <f t="shared" si="19"/>
        <v>74.906498674616856</v>
      </c>
      <c r="EN26" s="59">
        <f t="shared" si="20"/>
        <v>359.68427645239461</v>
      </c>
      <c r="EO26" s="59">
        <f ca="1">AVERAGE(OFFSET($EN$3,0,0,'Données projet'!$E$15+1,1))-AVERAGE(OFFSET($H$3,0,0,'Données projet'!$E$15+1,1))</f>
        <v>312.48716825299158</v>
      </c>
      <c r="EP26" s="59">
        <f t="shared" si="46"/>
        <v>258.68277822755357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2.9235042735042733</v>
      </c>
      <c r="FE26" s="12">
        <f>IF('Données projet'!$A$218&gt;35,FE25+FD26-FM25,IF(A26&lt;'Données projet'!$A$218,$FB$205^A26,IF(A26='Données projet'!$A$218,'Données projet'!$B$218,FE25+FD26-FM25)))</f>
        <v>30.878236599516239</v>
      </c>
      <c r="FF26" s="17">
        <f>FE26*VLOOKUP('Données projet'!$B$16,Paramètres!$A$1:$I$89,3,0)*VLOOKUP('Données projet'!$B$16,Paramètres!$A$1:$I$89,5,0)</f>
        <v>33.23733387571928</v>
      </c>
      <c r="FG26" s="13">
        <f t="shared" si="47"/>
        <v>10.187343667972057</v>
      </c>
      <c r="FH26" s="20">
        <f t="shared" si="22"/>
        <v>75.631313388595743</v>
      </c>
      <c r="FI26" s="59">
        <f t="shared" si="23"/>
        <v>360.40909116637351</v>
      </c>
      <c r="FJ26" s="59">
        <f ca="1">AVERAGE(OFFSET($FI$3,0,0,'Données projet'!$E$16+1,1))-AVERAGE(OFFSET($H$3,0,0,'Données projet'!$E$16+1,1))</f>
        <v>403.23110963096246</v>
      </c>
      <c r="FK26" s="59">
        <f t="shared" si="48"/>
        <v>245.72000393124898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2.9235042735042733</v>
      </c>
      <c r="FZ26" s="12">
        <f>IF('Données projet'!$A$244&gt;35,FZ25+FY26-GH25,IF(A26&lt;'Données projet'!$A$244,$FW$205^A26,IF(A26='Données projet'!$A$244,'Données projet'!$B$244,FZ25+FY26-GH25)))</f>
        <v>30.878236599516239</v>
      </c>
      <c r="GA26" s="17">
        <f>FZ26*VLOOKUP('Données projet'!$B$17,Paramètres!$A$1:$I$89,3,0)*VLOOKUP('Données projet'!$B$17,Paramètres!$A$1:$I$89,5,0)</f>
        <v>29.865430439052108</v>
      </c>
      <c r="GB26" s="13">
        <f t="shared" si="49"/>
        <v>9.2685372033776563</v>
      </c>
      <c r="GC26" s="20">
        <f t="shared" si="25"/>
        <v>68.158326977231852</v>
      </c>
      <c r="GD26" s="59">
        <f t="shared" si="26"/>
        <v>352.93610475500964</v>
      </c>
      <c r="GE26" s="59">
        <f ca="1">AVERAGE(OFFSET($GD$3,0,0,'Données projet'!$E$17+1,1))-AVERAGE(OFFSET($H$3,0,0,'Données projet'!$E$17+1,1))</f>
        <v>336.2911850338175</v>
      </c>
      <c r="GF26" s="59">
        <f t="shared" si="50"/>
        <v>225.01415116995503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2.9235042735042733</v>
      </c>
      <c r="GU26" s="12">
        <f>IF('Données projet'!$A$270&gt;35,GU25+GT26-HC25,IF(A26&lt;'Données projet'!$A$270,$GR$205^A26,IF(A26='Données projet'!$A$270,'Données projet'!$B$270,GU25+GT26-HC25)))</f>
        <v>30.878236599516239</v>
      </c>
      <c r="GV26" s="17">
        <f>GU26*VLOOKUP('Données projet'!$B$18,Paramètres!$A$1:$I$89,3,0)*VLOOKUP('Données projet'!$B$18,Paramètres!$A$1:$I$89,5,0)</f>
        <v>20.713121110955495</v>
      </c>
      <c r="GW26" s="13">
        <f t="shared" si="51"/>
        <v>6.7079007476759909</v>
      </c>
      <c r="GX26" s="20">
        <f t="shared" si="28"/>
        <v>47.758279737116503</v>
      </c>
      <c r="GY26" s="59">
        <f t="shared" si="29"/>
        <v>332.53605751489425</v>
      </c>
      <c r="GZ26" s="59">
        <f ca="1">AVERAGE(OFFSET($GY$3,0,0,'Données projet'!$E$18+1,1))-AVERAGE(OFFSET($H$3,0,0,'Données projet'!$E$18+1,1))</f>
        <v>266.37807768393191</v>
      </c>
      <c r="HA26" s="59">
        <f t="shared" si="52"/>
        <v>168.52019826233425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12.6</v>
      </c>
      <c r="N27" s="13">
        <f>IF('Données projet'!$A$36&gt;35,N26+M27-V26,IF(A27&lt;'Données projet'!$A$36,$K$205^A27,IF(A27='Données projet'!$A$36,'Données projet'!$B$36,N26+M27-V26)))</f>
        <v>102.39999999999998</v>
      </c>
      <c r="O27" s="13">
        <f>N27*VLOOKUP('Données projet'!$B$9,Paramètres!$A$1:$I$89,3,0)*VLOOKUP('Données projet'!$B$9,Paramètres!$A$1:$I$89,5,0)</f>
        <v>89.456639999999993</v>
      </c>
      <c r="P27" s="13">
        <f t="shared" si="33"/>
        <v>24.434133496437113</v>
      </c>
      <c r="Q27" s="20">
        <f t="shared" si="2"/>
        <v>198.35976383962796</v>
      </c>
      <c r="R27" s="59">
        <f t="shared" si="0"/>
        <v>484.35976383962793</v>
      </c>
      <c r="S27" s="59">
        <f ca="1">AVERAGE(OFFSET($R$3,0,0,'Données projet'!$E$9+1,1))-AVERAGE(OFFSET($H$3,0,0,'Données projet'!$E$9+1,1))</f>
        <v>324.86930206492627</v>
      </c>
      <c r="T27" s="59">
        <f t="shared" si="34"/>
        <v>317.03005098025352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4.0628205128205126</v>
      </c>
      <c r="AI27" s="13">
        <f>IF('Données projet'!$A$62&gt;35,AI26+AH27-AQ26,IF(A27&lt;'Données projet'!$A$62,$AF$205^A27,IF(A27='Données projet'!$A$62,'Données projet'!$B$62,AI26+AH27-AQ26)))</f>
        <v>46.640061345320483</v>
      </c>
      <c r="AJ27" s="13">
        <f>AI27*VLOOKUP('Données projet'!$B$10,Paramètres!$A$1:$I$89,3,0)*VLOOKUP('Données projet'!$B$10,Paramètres!$A$1:$I$89,5,0)</f>
        <v>44.382682376206972</v>
      </c>
      <c r="AK27" s="13">
        <f t="shared" si="35"/>
        <v>13.153155497870197</v>
      </c>
      <c r="AL27" s="20">
        <f t="shared" si="4"/>
        <v>100.20825096401774</v>
      </c>
      <c r="AM27" s="59">
        <f t="shared" si="5"/>
        <v>386.20825096401774</v>
      </c>
      <c r="AN27" s="59">
        <f ca="1">AVERAGE(OFFSET($AM$3,0,0,'Données projet'!$E$10+1,1))-AVERAGE(OFFSET($H$3,0,0,'Données projet'!$E$10+1,1))</f>
        <v>401.81944956556271</v>
      </c>
      <c r="AO27" s="59">
        <f t="shared" si="36"/>
        <v>292.20785523952651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10.6</v>
      </c>
      <c r="BD27" s="12">
        <f>IF('Données projet'!$A$88&gt;35,BD26+BC27-BL26,IF(A27&lt;'Données projet'!$A$88,$BA$205^A27,IF(A27='Données projet'!$A$88,'Données projet'!$B$88,BD26+BC27-BL26)))</f>
        <v>102.39999999999996</v>
      </c>
      <c r="BE27" s="13">
        <f>BD27*VLOOKUP('Données projet'!$B$11,Paramètres!$A$1:$I$89,3,0)*VLOOKUP('Données projet'!$B$11,Paramètres!$A$1:$I$89,5,0)</f>
        <v>79.871999999999971</v>
      </c>
      <c r="BF27" s="13">
        <f t="shared" si="37"/>
        <v>22.105884547145401</v>
      </c>
      <c r="BG27" s="20">
        <f t="shared" si="7"/>
        <v>177.61148225294485</v>
      </c>
      <c r="BH27" s="59">
        <f t="shared" si="8"/>
        <v>463.61148225294482</v>
      </c>
      <c r="BI27" s="59">
        <f ca="1">AVERAGE(OFFSET($BH$3,0,0,'Données projet'!$E$11+1,1))-AVERAGE(OFFSET($H$3,0,0,'Données projet'!$E$11+1,1))</f>
        <v>288.80569134263209</v>
      </c>
      <c r="BJ27" s="59">
        <f t="shared" si="38"/>
        <v>283.48738729114024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4.1318260004914933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4.1318260004914933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</v>
      </c>
      <c r="BY27" s="12">
        <f>IF('Données projet'!$A$114&gt;35,BY26+BX27-CG26,IF(A27&lt;'Données projet'!$A$114,$BV$205^A27,IF(A27='Données projet'!$A$114,'Données projet'!$B$114,BY26+BX27-CG26)))</f>
        <v>90</v>
      </c>
      <c r="BZ27" s="13">
        <f>BY27*VLOOKUP('Données projet'!$B$12,Paramètres!$A$1:$I$89,3,0)*VLOOKUP('Données projet'!$B$12,Paramètres!$A$1:$I$89,5,0)</f>
        <v>94.068000000000012</v>
      </c>
      <c r="CA27" s="13">
        <f t="shared" si="39"/>
        <v>25.543790108694029</v>
      </c>
      <c r="CB27" s="20">
        <f t="shared" si="10"/>
        <v>208.3238677726421</v>
      </c>
      <c r="CC27" s="59">
        <f t="shared" si="11"/>
        <v>494.32386777264207</v>
      </c>
      <c r="CD27" s="59">
        <f ca="1">AVERAGE(OFFSET($CC$3,0,0,'Données projet'!$E$12+1,1))-AVERAGE(OFFSET($H$3,0,0,'Données projet'!$E$12+1,1))</f>
        <v>352.22281362023102</v>
      </c>
      <c r="CE27" s="59">
        <f t="shared" si="40"/>
        <v>310.2353747925161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2.9235042735042733</v>
      </c>
      <c r="CT27" s="12">
        <f>IF('Données projet'!$A$140&gt;35,CT26+CS27-DB26,IF(A27&lt;'Données projet'!$A$140,$CQ$205^A27,IF(A27='Données projet'!$A$140,'Données projet'!$B$140,CT26+CS27-DB26)))</f>
        <v>35.844290647096855</v>
      </c>
      <c r="CU27" s="17">
        <f>CT27*VLOOKUP('Données projet'!$B$13,Paramètres!$A$1:$I$89,3,0)*VLOOKUP('Données projet'!$B$13,Paramètres!$A$1:$I$89,5,0)</f>
        <v>32.431914177493233</v>
      </c>
      <c r="CV27" s="13">
        <f t="shared" si="41"/>
        <v>9.9689045653817558</v>
      </c>
      <c r="CW27" s="20">
        <f t="shared" si="13"/>
        <v>73.848092643840616</v>
      </c>
      <c r="CX27" s="59">
        <f t="shared" si="14"/>
        <v>359.84809264384063</v>
      </c>
      <c r="CY27" s="59">
        <f ca="1">AVERAGE(OFFSET($CX$3,0,0,'Données projet'!$E$13+1,1))-AVERAGE(OFFSET($H$3,0,0,'Données projet'!$E$13+1,1))</f>
        <v>345.49688858037996</v>
      </c>
      <c r="CZ27" s="59">
        <f t="shared" si="42"/>
        <v>213.15872113755023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2.9235042735042733</v>
      </c>
      <c r="DO27" s="12">
        <f>IF('Données projet'!$A$166&gt;35,DO26+DN27-DW26,IF(A27&lt;'Données projet'!$A$166,$DL$205^A27,IF(A27='Données projet'!$A$166,'Données projet'!$B$166,DO26+DN27-DW26)))</f>
        <v>35.844290647096855</v>
      </c>
      <c r="DP27" s="17">
        <f>DO27*VLOOKUP('Données projet'!$B$14,Paramètres!$A$1:$I$89,3,0)*VLOOKUP('Données projet'!$B$14,Paramètres!$A$1:$I$89,5,0)</f>
        <v>36.346110716156211</v>
      </c>
      <c r="DQ27" s="13">
        <f t="shared" si="43"/>
        <v>11.024850403718778</v>
      </c>
      <c r="DR27" s="20">
        <f t="shared" si="16"/>
        <v>82.504423950448952</v>
      </c>
      <c r="DS27" s="59">
        <f t="shared" si="17"/>
        <v>368.50442395044894</v>
      </c>
      <c r="DT27" s="59">
        <f ca="1">AVERAGE(OFFSET($DS$3,0,0,'Données projet'!$E$14+1,1))-AVERAGE(OFFSET($H$3,0,0,'Données projet'!$E$14+1,1))</f>
        <v>382.26108489744581</v>
      </c>
      <c r="DU27" s="59">
        <f t="shared" si="44"/>
        <v>233.89423996158826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3.9732905982905979</v>
      </c>
      <c r="EJ27" s="12">
        <f>IF('Données projet'!$A$192&gt;35,EJ26+EI27-ER26,IF(A27&lt;'Données projet'!$A$192,$EG$205^A27,IF(A27='Données projet'!$A$192,'Données projet'!$B$192,EJ26+EI27-ER26)))</f>
        <v>45.81601027177193</v>
      </c>
      <c r="EK27" s="17">
        <f>EJ27*VLOOKUP('Données projet'!$B$15,Paramètres!$A$1:$I$89,3,0)*VLOOKUP('Données projet'!$B$15,Paramètres!$A$1:$I$89,5,0)</f>
        <v>38.595407052940679</v>
      </c>
      <c r="EL27" s="13">
        <f t="shared" si="45"/>
        <v>11.625588422740357</v>
      </c>
      <c r="EM27" s="20">
        <f t="shared" si="19"/>
        <v>87.46823378681114</v>
      </c>
      <c r="EN27" s="59">
        <f t="shared" si="20"/>
        <v>373.46823378681114</v>
      </c>
      <c r="EO27" s="59">
        <f ca="1">AVERAGE(OFFSET($EN$3,0,0,'Données projet'!$E$15+1,1))-AVERAGE(OFFSET($H$3,0,0,'Données projet'!$E$15+1,1))</f>
        <v>312.48716825299158</v>
      </c>
      <c r="EP27" s="59">
        <f t="shared" si="46"/>
        <v>258.68277822755357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2.9235042735042733</v>
      </c>
      <c r="FE27" s="12">
        <f>IF('Données projet'!$A$218&gt;35,FE26+FD27-FM26,IF(A27&lt;'Données projet'!$A$218,$FB$205^A27,IF(A27='Données projet'!$A$218,'Données projet'!$B$218,FE26+FD27-FM26)))</f>
        <v>35.844290647096855</v>
      </c>
      <c r="FF27" s="17">
        <f>FE27*VLOOKUP('Données projet'!$B$16,Paramètres!$A$1:$I$89,3,0)*VLOOKUP('Données projet'!$B$16,Paramètres!$A$1:$I$89,5,0)</f>
        <v>38.582794452535055</v>
      </c>
      <c r="FG27" s="13">
        <f t="shared" si="47"/>
        <v>11.622231449165159</v>
      </c>
      <c r="FH27" s="20">
        <f t="shared" si="22"/>
        <v>87.440420112127867</v>
      </c>
      <c r="FI27" s="59">
        <f t="shared" si="23"/>
        <v>373.44042011212787</v>
      </c>
      <c r="FJ27" s="59">
        <f ca="1">AVERAGE(OFFSET($FI$3,0,0,'Données projet'!$E$16+1,1))-AVERAGE(OFFSET($H$3,0,0,'Données projet'!$E$16+1,1))</f>
        <v>403.23110963096246</v>
      </c>
      <c r="FK27" s="59">
        <f t="shared" si="48"/>
        <v>245.72000393124898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2.9235042735042733</v>
      </c>
      <c r="FZ27" s="12">
        <f>IF('Données projet'!$A$244&gt;35,FZ26+FY27-GH26,IF(A27&lt;'Données projet'!$A$244,$FW$205^A27,IF(A27='Données projet'!$A$244,'Données projet'!$B$244,FZ26+FY27-GH26)))</f>
        <v>35.844290647096855</v>
      </c>
      <c r="GA27" s="17">
        <f>FZ27*VLOOKUP('Données projet'!$B$17,Paramètres!$A$1:$I$89,3,0)*VLOOKUP('Données projet'!$B$17,Paramètres!$A$1:$I$89,5,0)</f>
        <v>34.668597913872084</v>
      </c>
      <c r="GB27" s="13">
        <f t="shared" si="49"/>
        <v>10.57401105565104</v>
      </c>
      <c r="GC27" s="20">
        <f t="shared" si="25"/>
        <v>78.797543955252777</v>
      </c>
      <c r="GD27" s="59">
        <f t="shared" si="26"/>
        <v>364.79754395525276</v>
      </c>
      <c r="GE27" s="59">
        <f ca="1">AVERAGE(OFFSET($GD$3,0,0,'Données projet'!$E$17+1,1))-AVERAGE(OFFSET($H$3,0,0,'Données projet'!$E$17+1,1))</f>
        <v>336.2911850338175</v>
      </c>
      <c r="GF27" s="59">
        <f t="shared" si="50"/>
        <v>225.01415116995503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2.9235042735042733</v>
      </c>
      <c r="GU27" s="12">
        <f>IF('Données projet'!$A$270&gt;35,GU26+GT27-HC26,IF(A27&lt;'Données projet'!$A$270,$GR$205^A27,IF(A27='Données projet'!$A$270,'Données projet'!$B$270,GU26+GT27-HC26)))</f>
        <v>35.844290647096855</v>
      </c>
      <c r="GV27" s="17">
        <f>GU27*VLOOKUP('Données projet'!$B$18,Paramètres!$A$1:$I$89,3,0)*VLOOKUP('Données projet'!$B$18,Paramètres!$A$1:$I$89,5,0)</f>
        <v>24.044350166072572</v>
      </c>
      <c r="GW27" s="13">
        <f t="shared" si="51"/>
        <v>7.6527088481974843</v>
      </c>
      <c r="GX27" s="20">
        <f t="shared" si="28"/>
        <v>55.205711116520348</v>
      </c>
      <c r="GY27" s="59">
        <f t="shared" si="29"/>
        <v>341.20571111652032</v>
      </c>
      <c r="GZ27" s="59">
        <f ca="1">AVERAGE(OFFSET($GY$3,0,0,'Données projet'!$E$18+1,1))-AVERAGE(OFFSET($H$3,0,0,'Données projet'!$E$18+1,1))</f>
        <v>266.37807768393191</v>
      </c>
      <c r="HA27" s="59">
        <f t="shared" si="52"/>
        <v>168.52019826233425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115</v>
      </c>
      <c r="L28" s="12">
        <f>VLOOKUP(A28,'Données projet'!$A$35:$I$55,9,0)</f>
        <v>12.6</v>
      </c>
      <c r="M28" s="12">
        <f t="array" ref="M28">INDEX(L:L,MIN(IF(ISNUMBER(L28:L224),ROW(L28:L224),"")))</f>
        <v>12.6</v>
      </c>
      <c r="N28" s="13">
        <f>IF('Données projet'!$A$36&gt;35,N27+M28-V27,IF(A28&lt;'Données projet'!$A$36,$K$205^A28,IF(A28='Données projet'!$A$36,'Données projet'!$B$36,N27+M28-V27)))</f>
        <v>114.99999999999997</v>
      </c>
      <c r="O28" s="13">
        <f>N28*VLOOKUP('Données projet'!$B$9,Paramètres!$A$1:$I$89,3,0)*VLOOKUP('Données projet'!$B$9,Paramètres!$A$1:$I$89,5,0)</f>
        <v>100.46399999999998</v>
      </c>
      <c r="P28" s="13">
        <f t="shared" si="33"/>
        <v>27.072509349827456</v>
      </c>
      <c r="Q28" s="20">
        <f t="shared" si="2"/>
        <v>222.12608711761615</v>
      </c>
      <c r="R28" s="59">
        <f t="shared" si="0"/>
        <v>509.34830933983835</v>
      </c>
      <c r="S28" s="59">
        <f ca="1">AVERAGE(OFFSET($R$3,0,0,'Données projet'!$E$9+1,1))-AVERAGE(OFFSET($H$3,0,0,'Données projet'!$E$9+1,1))</f>
        <v>324.86930206492627</v>
      </c>
      <c r="T28" s="59">
        <f t="shared" si="34"/>
        <v>317.03005098025352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3.7100000000000008E-2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0.99925957537052224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0.99925957537052224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4.0628205128205126</v>
      </c>
      <c r="AI28" s="13">
        <f>IF('Données projet'!$A$62&gt;35,AI27+AH28-AQ27,IF(A28&lt;'Données projet'!$A$62,$AF$205^A28,IF(A28='Données projet'!$A$62,'Données projet'!$B$62,AI27+AH28-AQ27)))</f>
        <v>54.738229068051083</v>
      </c>
      <c r="AJ28" s="13">
        <f>AI28*VLOOKUP('Données projet'!$B$10,Paramètres!$A$1:$I$89,3,0)*VLOOKUP('Données projet'!$B$10,Paramètres!$A$1:$I$89,5,0)</f>
        <v>52.088898781157418</v>
      </c>
      <c r="AK28" s="13">
        <f t="shared" si="35"/>
        <v>15.151935133769465</v>
      </c>
      <c r="AL28" s="20">
        <f t="shared" si="4"/>
        <v>117.11111906849764</v>
      </c>
      <c r="AM28" s="59">
        <f t="shared" si="5"/>
        <v>404.33334129071989</v>
      </c>
      <c r="AN28" s="59">
        <f ca="1">AVERAGE(OFFSET($AM$3,0,0,'Données projet'!$E$10+1,1))-AVERAGE(OFFSET($H$3,0,0,'Données projet'!$E$10+1,1))</f>
        <v>401.81944956556271</v>
      </c>
      <c r="AO28" s="59">
        <f t="shared" si="36"/>
        <v>292.20785523952651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113</v>
      </c>
      <c r="BB28" s="12">
        <f>VLOOKUP(A28,'Données projet'!$A$87:$I$107,9,0)</f>
        <v>10.6</v>
      </c>
      <c r="BC28" s="12">
        <f t="array" ref="BC28">INDEX(BB:BB,MIN(IF(ISNUMBER(BB28:BB224),ROW(BB28:BB224),"")))</f>
        <v>10.6</v>
      </c>
      <c r="BD28" s="12">
        <f>IF('Données projet'!$A$88&gt;35,BD27+BC28-BL27,IF(A28&lt;'Données projet'!$A$88,$BA$205^A28,IF(A28='Données projet'!$A$88,'Données projet'!$B$88,BD27+BC28-BL27)))</f>
        <v>112.99999999999996</v>
      </c>
      <c r="BE28" s="13">
        <f>BD28*VLOOKUP('Données projet'!$B$11,Paramètres!$A$1:$I$89,3,0)*VLOOKUP('Données projet'!$B$11,Paramètres!$A$1:$I$89,5,0)</f>
        <v>88.139999999999972</v>
      </c>
      <c r="BF28" s="13">
        <f t="shared" si="37"/>
        <v>24.116094026318823</v>
      </c>
      <c r="BG28" s="20">
        <f t="shared" si="7"/>
        <v>195.51269709583855</v>
      </c>
      <c r="BH28" s="59">
        <f t="shared" si="8"/>
        <v>482.73491931806075</v>
      </c>
      <c r="BI28" s="59">
        <f ca="1">AVERAGE(OFFSET($BH$3,0,0,'Données projet'!$E$11+1,1))-AVERAGE(OFFSET($H$3,0,0,'Données projet'!$E$11+1,1))</f>
        <v>288.80569134263209</v>
      </c>
      <c r="BJ28" s="59">
        <f t="shared" si="38"/>
        <v>283.48738729114024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0.215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9.0045919320944172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9.0045919320944172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98</v>
      </c>
      <c r="BW28" s="12">
        <f>VLOOKUP(A28,'Données projet'!$A$113:$I$133,9,0)</f>
        <v>8</v>
      </c>
      <c r="BX28" s="12">
        <f t="array" ref="BX28">INDEX(BW:BW,MIN(IF(ISNUMBER(BW28:BW224),ROW(BW28:BW224),"")))</f>
        <v>8</v>
      </c>
      <c r="BY28" s="12">
        <f>IF('Données projet'!$A$114&gt;35,BY27+BX28-CG27,IF(A28&lt;'Données projet'!$A$114,$BV$205^A28,IF(A28='Données projet'!$A$114,'Données projet'!$B$114,BY27+BX28-CG27)))</f>
        <v>98</v>
      </c>
      <c r="BZ28" s="13">
        <f>BY28*VLOOKUP('Données projet'!$B$12,Paramètres!$A$1:$I$89,3,0)*VLOOKUP('Données projet'!$B$12,Paramètres!$A$1:$I$89,5,0)</f>
        <v>102.42960000000002</v>
      </c>
      <c r="CA28" s="13">
        <f t="shared" si="39"/>
        <v>27.540005085928001</v>
      </c>
      <c r="CB28" s="20">
        <f t="shared" si="10"/>
        <v>226.3637288579913</v>
      </c>
      <c r="CC28" s="59">
        <f t="shared" si="11"/>
        <v>513.58595108021359</v>
      </c>
      <c r="CD28" s="59">
        <f ca="1">AVERAGE(OFFSET($CC$3,0,0,'Données projet'!$E$12+1,1))-AVERAGE(OFFSET($H$3,0,0,'Données projet'!$E$12+1,1))</f>
        <v>352.22281362023102</v>
      </c>
      <c r="CE28" s="59">
        <f t="shared" si="40"/>
        <v>310.2353747925161</v>
      </c>
      <c r="CF28" s="15">
        <f>IF(ISNA(VLOOKUP(A28,'Données projet'!$A$113:$I$133,3,0)),0,VLOOKUP(A28,'Données projet'!$A$113:$I$133,3,0))</f>
        <v>2</v>
      </c>
      <c r="CG28" s="15" t="str">
        <f>IF(ISNA(VLOOKUP(A28,'Données projet'!$A$113:$I$133,4,0)),0,VLOOKUP(A28,'Données projet'!$A$113:$I$133,4,0))</f>
        <v>19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2.9235042735042733</v>
      </c>
      <c r="CT28" s="12">
        <f>IF('Données projet'!$A$140&gt;35,CT27+CS28-DB27,IF(A28&lt;'Données projet'!$A$140,$CQ$205^A28,IF(A28='Données projet'!$A$140,'Données projet'!$B$140,CT27+CS28-DB27)))</f>
        <v>41.609020251295185</v>
      </c>
      <c r="CU28" s="17">
        <f>CT28*VLOOKUP('Données projet'!$B$13,Paramètres!$A$1:$I$89,3,0)*VLOOKUP('Données projet'!$B$13,Paramètres!$A$1:$I$89,5,0)</f>
        <v>37.647841523371881</v>
      </c>
      <c r="CV28" s="13">
        <f t="shared" si="41"/>
        <v>11.373025189850091</v>
      </c>
      <c r="CW28" s="20">
        <f t="shared" si="13"/>
        <v>85.37800952552827</v>
      </c>
      <c r="CX28" s="59">
        <f t="shared" si="14"/>
        <v>372.60023174775051</v>
      </c>
      <c r="CY28" s="59">
        <f ca="1">AVERAGE(OFFSET($CX$3,0,0,'Données projet'!$E$13+1,1))-AVERAGE(OFFSET($H$3,0,0,'Données projet'!$E$13+1,1))</f>
        <v>345.49688858037996</v>
      </c>
      <c r="CZ28" s="59">
        <f t="shared" si="42"/>
        <v>213.15872113755023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2.9235042735042733</v>
      </c>
      <c r="DO28" s="12">
        <f>IF('Données projet'!$A$166&gt;35,DO27+DN28-DW27,IF(A28&lt;'Données projet'!$A$166,$DL$205^A28,IF(A28='Données projet'!$A$166,'Données projet'!$B$166,DO27+DN28-DW27)))</f>
        <v>41.609020251295185</v>
      </c>
      <c r="DP28" s="17">
        <f>DO28*VLOOKUP('Données projet'!$B$14,Paramètres!$A$1:$I$89,3,0)*VLOOKUP('Données projet'!$B$14,Paramètres!$A$1:$I$89,5,0)</f>
        <v>42.19154653481332</v>
      </c>
      <c r="DQ28" s="13">
        <f t="shared" si="43"/>
        <v>12.577701043627256</v>
      </c>
      <c r="DR28" s="20">
        <f t="shared" si="16"/>
        <v>95.389772865783996</v>
      </c>
      <c r="DS28" s="59">
        <f t="shared" si="17"/>
        <v>382.61199508800621</v>
      </c>
      <c r="DT28" s="59">
        <f ca="1">AVERAGE(OFFSET($DS$3,0,0,'Données projet'!$E$14+1,1))-AVERAGE(OFFSET($H$3,0,0,'Données projet'!$E$14+1,1))</f>
        <v>382.26108489744581</v>
      </c>
      <c r="DU28" s="59">
        <f t="shared" si="44"/>
        <v>233.89423996158826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3.9732905982905979</v>
      </c>
      <c r="EJ28" s="12">
        <f>IF('Données projet'!$A$192&gt;35,EJ27+EI28-ER27,IF(A28&lt;'Données projet'!$A$192,$EG$205^A28,IF(A28='Données projet'!$A$192,'Données projet'!$B$192,EJ27+EI28-ER27)))</f>
        <v>53.731172823214408</v>
      </c>
      <c r="EK28" s="17">
        <f>EJ28*VLOOKUP('Données projet'!$B$15,Paramètres!$A$1:$I$89,3,0)*VLOOKUP('Données projet'!$B$15,Paramètres!$A$1:$I$89,5,0)</f>
        <v>45.263139986275824</v>
      </c>
      <c r="EL28" s="13">
        <f t="shared" si="45"/>
        <v>13.383449445292175</v>
      </c>
      <c r="EM28" s="20">
        <f t="shared" si="19"/>
        <v>102.1428099266476</v>
      </c>
      <c r="EN28" s="59">
        <f t="shared" si="20"/>
        <v>389.36503214886983</v>
      </c>
      <c r="EO28" s="59">
        <f ca="1">AVERAGE(OFFSET($EN$3,0,0,'Données projet'!$E$15+1,1))-AVERAGE(OFFSET($H$3,0,0,'Données projet'!$E$15+1,1))</f>
        <v>312.48716825299158</v>
      </c>
      <c r="EP28" s="59">
        <f t="shared" si="46"/>
        <v>258.68277822755357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2.9235042735042733</v>
      </c>
      <c r="FE28" s="12">
        <f>IF('Données projet'!$A$218&gt;35,FE27+FD28-FM27,IF(A28&lt;'Données projet'!$A$218,$FB$205^A28,IF(A28='Données projet'!$A$218,'Données projet'!$B$218,FE27+FD28-FM27)))</f>
        <v>41.609020251295185</v>
      </c>
      <c r="FF28" s="17">
        <f>FE28*VLOOKUP('Données projet'!$B$16,Paramètres!$A$1:$I$89,3,0)*VLOOKUP('Données projet'!$B$16,Paramètres!$A$1:$I$89,5,0)</f>
        <v>44.787949398494135</v>
      </c>
      <c r="FG28" s="13">
        <f t="shared" si="47"/>
        <v>13.259223234279354</v>
      </c>
      <c r="FH28" s="20">
        <f t="shared" si="22"/>
        <v>101.09882566874715</v>
      </c>
      <c r="FI28" s="59">
        <f t="shared" si="23"/>
        <v>388.3210478909694</v>
      </c>
      <c r="FJ28" s="59">
        <f ca="1">AVERAGE(OFFSET($FI$3,0,0,'Données projet'!$E$16+1,1))-AVERAGE(OFFSET($H$3,0,0,'Données projet'!$E$16+1,1))</f>
        <v>403.23110963096246</v>
      </c>
      <c r="FK28" s="59">
        <f t="shared" si="48"/>
        <v>245.72000393124898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2.9235042735042733</v>
      </c>
      <c r="FZ28" s="12">
        <f>IF('Données projet'!$A$244&gt;35,FZ27+FY28-GH27,IF(A28&lt;'Données projet'!$A$244,$FW$205^A28,IF(A28='Données projet'!$A$244,'Données projet'!$B$244,FZ27+FY28-GH27)))</f>
        <v>41.609020251295185</v>
      </c>
      <c r="GA28" s="17">
        <f>FZ28*VLOOKUP('Données projet'!$B$17,Paramètres!$A$1:$I$89,3,0)*VLOOKUP('Données projet'!$B$17,Paramètres!$A$1:$I$89,5,0)</f>
        <v>40.244244387052703</v>
      </c>
      <c r="GB28" s="13">
        <f t="shared" si="49"/>
        <v>12.063360954551117</v>
      </c>
      <c r="GC28" s="20">
        <f t="shared" si="25"/>
        <v>91.102412636626653</v>
      </c>
      <c r="GD28" s="59">
        <f t="shared" si="26"/>
        <v>378.32463485884887</v>
      </c>
      <c r="GE28" s="59">
        <f ca="1">AVERAGE(OFFSET($GD$3,0,0,'Données projet'!$E$17+1,1))-AVERAGE(OFFSET($H$3,0,0,'Données projet'!$E$17+1,1))</f>
        <v>336.2911850338175</v>
      </c>
      <c r="GF28" s="59">
        <f t="shared" si="50"/>
        <v>225.01415116995503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2.9235042735042733</v>
      </c>
      <c r="GU28" s="12">
        <f>IF('Données projet'!$A$270&gt;35,GU27+GT28-HC27,IF(A28&lt;'Données projet'!$A$270,$GR$205^A28,IF(A28='Données projet'!$A$270,'Données projet'!$B$270,GU27+GT28-HC27)))</f>
        <v>41.609020251295185</v>
      </c>
      <c r="GV28" s="17">
        <f>GU28*VLOOKUP('Données projet'!$B$18,Paramètres!$A$1:$I$89,3,0)*VLOOKUP('Données projet'!$B$18,Paramètres!$A$1:$I$89,5,0)</f>
        <v>27.911330784568811</v>
      </c>
      <c r="GW28" s="13">
        <f t="shared" si="51"/>
        <v>8.7305932091452139</v>
      </c>
      <c r="GX28" s="20">
        <f t="shared" si="28"/>
        <v>63.818017622385263</v>
      </c>
      <c r="GY28" s="59">
        <f t="shared" si="29"/>
        <v>351.04023984460747</v>
      </c>
      <c r="GZ28" s="59">
        <f ca="1">AVERAGE(OFFSET($GY$3,0,0,'Données projet'!$E$18+1,1))-AVERAGE(OFFSET($H$3,0,0,'Données projet'!$E$18+1,1))</f>
        <v>266.37807768393191</v>
      </c>
      <c r="HA28" s="59">
        <f t="shared" si="52"/>
        <v>168.52019826233425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11.8</v>
      </c>
      <c r="N29" s="13">
        <f>IF('Données projet'!$A$36&gt;35,N28+M29-V28,IF(A29&lt;'Données projet'!$A$36,$K$205^A29,IF(A29='Données projet'!$A$36,'Données projet'!$B$36,N28+M29-V28)))</f>
        <v>98.799999999999969</v>
      </c>
      <c r="O29" s="13">
        <f>N29*VLOOKUP('Données projet'!$B$9,Paramètres!$A$1:$I$89,3,0)*VLOOKUP('Données projet'!$B$9,Paramètres!$A$1:$I$89,5,0)</f>
        <v>86.311679999999981</v>
      </c>
      <c r="P29" s="13">
        <f t="shared" si="33"/>
        <v>23.673536308765939</v>
      </c>
      <c r="Q29" s="20">
        <f t="shared" si="2"/>
        <v>191.55758507110065</v>
      </c>
      <c r="R29" s="59">
        <f t="shared" si="0"/>
        <v>480.00202951554513</v>
      </c>
      <c r="S29" s="59">
        <f ca="1">AVERAGE(OFFSET($R$3,0,0,'Données projet'!$E$9+1,1))-AVERAGE(OFFSET($H$3,0,0,'Données projet'!$E$9+1,1))</f>
        <v>324.86930206492627</v>
      </c>
      <c r="T29" s="59">
        <f t="shared" si="34"/>
        <v>317.03005098025352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0.97193476973323811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0.97193476973323811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4.0628205128205126</v>
      </c>
      <c r="AI29" s="13">
        <f>IF('Données projet'!$A$62&gt;35,AI28+AH29-AQ28,IF(A29&lt;'Données projet'!$A$62,$AF$205^A29,IF(A29='Données projet'!$A$62,'Données projet'!$B$62,AI28+AH29-AQ28)))</f>
        <v>64.242491006222849</v>
      </c>
      <c r="AJ29" s="13">
        <f>AI29*VLOOKUP('Données projet'!$B$10,Paramètres!$A$1:$I$89,3,0)*VLOOKUP('Données projet'!$B$10,Paramètres!$A$1:$I$89,5,0)</f>
        <v>61.133154441521668</v>
      </c>
      <c r="AK29" s="13">
        <f t="shared" si="35"/>
        <v>17.454453293366154</v>
      </c>
      <c r="AL29" s="20">
        <f t="shared" si="4"/>
        <v>136.87341680492963</v>
      </c>
      <c r="AM29" s="59">
        <f t="shared" si="5"/>
        <v>425.31786124937412</v>
      </c>
      <c r="AN29" s="59">
        <f ca="1">AVERAGE(OFFSET($AM$3,0,0,'Données projet'!$E$10+1,1))-AVERAGE(OFFSET($H$3,0,0,'Données projet'!$E$10+1,1))</f>
        <v>401.81944956556271</v>
      </c>
      <c r="AO29" s="59">
        <f t="shared" si="36"/>
        <v>292.20785523952651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11.5</v>
      </c>
      <c r="BD29" s="12">
        <f>IF('Données projet'!$A$88&gt;35,BD28+BC29-BL28,IF(A29&lt;'Données projet'!$A$88,$BA$205^A29,IF(A29='Données projet'!$A$88,'Données projet'!$B$88,BD28+BC29-BL28)))</f>
        <v>97.499999999999957</v>
      </c>
      <c r="BE29" s="13">
        <f>BD29*VLOOKUP('Données projet'!$B$11,Paramètres!$A$1:$I$89,3,0)*VLOOKUP('Données projet'!$B$11,Paramètres!$A$1:$I$89,5,0)</f>
        <v>76.049999999999969</v>
      </c>
      <c r="BF29" s="13">
        <f t="shared" si="37"/>
        <v>21.168560890749262</v>
      </c>
      <c r="BG29" s="20">
        <f t="shared" si="7"/>
        <v>169.32232688472158</v>
      </c>
      <c r="BH29" s="59">
        <f t="shared" si="8"/>
        <v>457.76677132916603</v>
      </c>
      <c r="BI29" s="59">
        <f ca="1">AVERAGE(OFFSET($BH$3,0,0,'Données projet'!$E$11+1,1))-AVERAGE(OFFSET($H$3,0,0,'Données projet'!$E$11+1,1))</f>
        <v>288.80569134263209</v>
      </c>
      <c r="BJ29" s="59">
        <f t="shared" si="38"/>
        <v>283.48738729114024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8.7583608921803862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8.7583608921803862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</v>
      </c>
      <c r="BY29" s="12">
        <f>IF('Données projet'!$A$114&gt;35,BY28+BX29-CG28,IF(A29&lt;'Données projet'!$A$114,$BV$205^A29,IF(A29='Données projet'!$A$114,'Données projet'!$B$114,BY28+BX29-CG28)))</f>
        <v>87</v>
      </c>
      <c r="BZ29" s="13">
        <f>BY29*VLOOKUP('Données projet'!$B$12,Paramètres!$A$1:$I$89,3,0)*VLOOKUP('Données projet'!$B$12,Paramètres!$A$1:$I$89,5,0)</f>
        <v>90.932400000000015</v>
      </c>
      <c r="CA29" s="13">
        <f t="shared" si="39"/>
        <v>24.78996235436804</v>
      </c>
      <c r="CB29" s="20">
        <f t="shared" si="10"/>
        <v>201.54978110052437</v>
      </c>
      <c r="CC29" s="59">
        <f t="shared" si="11"/>
        <v>489.9942255449688</v>
      </c>
      <c r="CD29" s="59">
        <f ca="1">AVERAGE(OFFSET($CC$3,0,0,'Données projet'!$E$12+1,1))-AVERAGE(OFFSET($H$3,0,0,'Données projet'!$E$12+1,1))</f>
        <v>352.22281362023102</v>
      </c>
      <c r="CE29" s="59">
        <f t="shared" si="40"/>
        <v>310.2353747925161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2.9235042735042733</v>
      </c>
      <c r="CT29" s="12">
        <f>IF('Données projet'!$A$140&gt;35,CT28+CS29-DB28,IF(A29&lt;'Données projet'!$A$140,$CQ$205^A29,IF(A29='Données projet'!$A$140,'Données projet'!$B$140,CT28+CS29-DB28)))</f>
        <v>48.30087400300993</v>
      </c>
      <c r="CU29" s="17">
        <f>CT29*VLOOKUP('Données projet'!$B$13,Paramètres!$A$1:$I$89,3,0)*VLOOKUP('Données projet'!$B$13,Paramètres!$A$1:$I$89,5,0)</f>
        <v>43.702630797923383</v>
      </c>
      <c r="CV29" s="13">
        <f t="shared" si="41"/>
        <v>12.974916262929579</v>
      </c>
      <c r="CW29" s="20">
        <f t="shared" si="13"/>
        <v>98.71339446431891</v>
      </c>
      <c r="CX29" s="59">
        <f t="shared" si="14"/>
        <v>387.15783890876338</v>
      </c>
      <c r="CY29" s="59">
        <f ca="1">AVERAGE(OFFSET($CX$3,0,0,'Données projet'!$E$13+1,1))-AVERAGE(OFFSET($H$3,0,0,'Données projet'!$E$13+1,1))</f>
        <v>345.49688858037996</v>
      </c>
      <c r="CZ29" s="59">
        <f t="shared" si="42"/>
        <v>213.15872113755023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2.9235042735042733</v>
      </c>
      <c r="DO29" s="12">
        <f>IF('Données projet'!$A$166&gt;35,DO28+DN29-DW28,IF(A29&lt;'Données projet'!$A$166,$DL$205^A29,IF(A29='Données projet'!$A$166,'Données projet'!$B$166,DO28+DN29-DW28)))</f>
        <v>48.30087400300993</v>
      </c>
      <c r="DP29" s="17">
        <f>DO29*VLOOKUP('Données projet'!$B$14,Paramètres!$A$1:$I$89,3,0)*VLOOKUP('Données projet'!$B$14,Paramètres!$A$1:$I$89,5,0)</f>
        <v>48.97708623905207</v>
      </c>
      <c r="DQ29" s="13">
        <f t="shared" si="43"/>
        <v>14.34927076103458</v>
      </c>
      <c r="DR29" s="20">
        <f t="shared" si="16"/>
        <v>110.29340510848425</v>
      </c>
      <c r="DS29" s="59">
        <f t="shared" si="17"/>
        <v>398.73784955292871</v>
      </c>
      <c r="DT29" s="59">
        <f ca="1">AVERAGE(OFFSET($DS$3,0,0,'Données projet'!$E$14+1,1))-AVERAGE(OFFSET($H$3,0,0,'Données projet'!$E$14+1,1))</f>
        <v>382.26108489744581</v>
      </c>
      <c r="DU29" s="59">
        <f t="shared" si="44"/>
        <v>233.89423996158826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3.9732905982905979</v>
      </c>
      <c r="EJ29" s="12">
        <f>IF('Données projet'!$A$192&gt;35,EJ28+EI29-ER28,IF(A29&lt;'Données projet'!$A$192,$EG$205^A29,IF(A29='Données projet'!$A$192,'Données projet'!$B$192,EJ28+EI29-ER28)))</f>
        <v>63.013756890501014</v>
      </c>
      <c r="EK29" s="17">
        <f>EJ29*VLOOKUP('Données projet'!$B$15,Paramètres!$A$1:$I$89,3,0)*VLOOKUP('Données projet'!$B$15,Paramètres!$A$1:$I$89,5,0)</f>
        <v>53.082788804558064</v>
      </c>
      <c r="EL29" s="13">
        <f t="shared" si="45"/>
        <v>15.407109949319045</v>
      </c>
      <c r="EM29" s="20">
        <f t="shared" si="19"/>
        <v>119.28657366300263</v>
      </c>
      <c r="EN29" s="59">
        <f t="shared" si="20"/>
        <v>407.73101810744708</v>
      </c>
      <c r="EO29" s="59">
        <f ca="1">AVERAGE(OFFSET($EN$3,0,0,'Données projet'!$E$15+1,1))-AVERAGE(OFFSET($H$3,0,0,'Données projet'!$E$15+1,1))</f>
        <v>312.48716825299158</v>
      </c>
      <c r="EP29" s="59">
        <f t="shared" si="46"/>
        <v>258.68277822755357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2.9235042735042733</v>
      </c>
      <c r="FE29" s="12">
        <f>IF('Données projet'!$A$218&gt;35,FE28+FD29-FM28,IF(A29&lt;'Données projet'!$A$218,$FB$205^A29,IF(A29='Données projet'!$A$218,'Données projet'!$B$218,FE28+FD29-FM28)))</f>
        <v>48.30087400300993</v>
      </c>
      <c r="FF29" s="17">
        <f>FE29*VLOOKUP('Données projet'!$B$16,Paramètres!$A$1:$I$89,3,0)*VLOOKUP('Données projet'!$B$16,Paramètres!$A$1:$I$89,5,0)</f>
        <v>51.99106077683988</v>
      </c>
      <c r="FG29" s="13">
        <f t="shared" si="47"/>
        <v>15.126785380709476</v>
      </c>
      <c r="FH29" s="20">
        <f t="shared" si="22"/>
        <v>116.89691539106512</v>
      </c>
      <c r="FI29" s="59">
        <f t="shared" si="23"/>
        <v>405.34135983550959</v>
      </c>
      <c r="FJ29" s="59">
        <f ca="1">AVERAGE(OFFSET($FI$3,0,0,'Données projet'!$E$16+1,1))-AVERAGE(OFFSET($H$3,0,0,'Données projet'!$E$16+1,1))</f>
        <v>403.23110963096246</v>
      </c>
      <c r="FK29" s="59">
        <f t="shared" si="48"/>
        <v>245.72000393124898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2.9235042735042733</v>
      </c>
      <c r="FZ29" s="12">
        <f>IF('Données projet'!$A$244&gt;35,FZ28+FY29-GH28,IF(A29&lt;'Données projet'!$A$244,$FW$205^A29,IF(A29='Données projet'!$A$244,'Données projet'!$B$244,FZ28+FY29-GH28)))</f>
        <v>48.30087400300993</v>
      </c>
      <c r="GA29" s="17">
        <f>FZ29*VLOOKUP('Données projet'!$B$17,Paramètres!$A$1:$I$89,3,0)*VLOOKUP('Données projet'!$B$17,Paramètres!$A$1:$I$89,5,0)</f>
        <v>46.716605335711208</v>
      </c>
      <c r="GB29" s="13">
        <f t="shared" si="49"/>
        <v>13.762485848926369</v>
      </c>
      <c r="GC29" s="20">
        <f t="shared" si="25"/>
        <v>105.3344171465771</v>
      </c>
      <c r="GD29" s="59">
        <f t="shared" si="26"/>
        <v>393.77886159102155</v>
      </c>
      <c r="GE29" s="59">
        <f ca="1">AVERAGE(OFFSET($GD$3,0,0,'Données projet'!$E$17+1,1))-AVERAGE(OFFSET($H$3,0,0,'Données projet'!$E$17+1,1))</f>
        <v>336.2911850338175</v>
      </c>
      <c r="GF29" s="59">
        <f t="shared" si="50"/>
        <v>225.01415116995503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2.9235042735042733</v>
      </c>
      <c r="GU29" s="12">
        <f>IF('Données projet'!$A$270&gt;35,GU28+GT29-HC28,IF(A29&lt;'Données projet'!$A$270,$GR$205^A29,IF(A29='Données projet'!$A$270,'Données projet'!$B$270,GU28+GT29-HC28)))</f>
        <v>48.30087400300993</v>
      </c>
      <c r="GV29" s="17">
        <f>GU29*VLOOKUP('Données projet'!$B$18,Paramètres!$A$1:$I$89,3,0)*VLOOKUP('Données projet'!$B$18,Paramètres!$A$1:$I$89,5,0)</f>
        <v>32.400226281219062</v>
      </c>
      <c r="GW29" s="13">
        <f t="shared" si="51"/>
        <v>9.9602976273592478</v>
      </c>
      <c r="GX29" s="20">
        <f t="shared" si="28"/>
        <v>73.777912474107211</v>
      </c>
      <c r="GY29" s="59">
        <f t="shared" si="29"/>
        <v>362.22235691855167</v>
      </c>
      <c r="GZ29" s="59">
        <f ca="1">AVERAGE(OFFSET($GY$3,0,0,'Données projet'!$E$18+1,1))-AVERAGE(OFFSET($H$3,0,0,'Données projet'!$E$18+1,1))</f>
        <v>266.37807768393191</v>
      </c>
      <c r="HA29" s="59">
        <f t="shared" si="52"/>
        <v>168.52019826233425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11.8</v>
      </c>
      <c r="N30" s="13">
        <f>IF('Données projet'!$A$36&gt;35,N29+M30-V29,IF(A30&lt;'Données projet'!$A$36,$K$205^A30,IF(A30='Données projet'!$A$36,'Données projet'!$B$36,N29+M30-V29)))</f>
        <v>110.59999999999997</v>
      </c>
      <c r="O30" s="13">
        <f>N30*VLOOKUP('Données projet'!$B$9,Paramètres!$A$1:$I$89,3,0)*VLOOKUP('Données projet'!$B$9,Paramètres!$A$1:$I$89,5,0)</f>
        <v>96.620159999999984</v>
      </c>
      <c r="P30" s="13">
        <f t="shared" si="33"/>
        <v>26.155193107181663</v>
      </c>
      <c r="Q30" s="20">
        <f t="shared" si="2"/>
        <v>213.83373999500802</v>
      </c>
      <c r="R30" s="59">
        <f t="shared" si="0"/>
        <v>503.50040666167467</v>
      </c>
      <c r="S30" s="59">
        <f ca="1">AVERAGE(OFFSET($R$3,0,0,'Données projet'!$E$9+1,1))-AVERAGE(OFFSET($H$3,0,0,'Données projet'!$E$9+1,1))</f>
        <v>324.86930206492627</v>
      </c>
      <c r="T30" s="59">
        <f t="shared" si="34"/>
        <v>317.03005098025352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0.94535716234305456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0.94535716234305456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4.0628205128205126</v>
      </c>
      <c r="AI30" s="13">
        <f>IF('Données projet'!$A$62&gt;35,AI29+AH30-AQ29,IF(A30&lt;'Données projet'!$A$62,$AF$205^A30,IF(A30='Données projet'!$A$62,'Données projet'!$B$62,AI29+AH30-AQ29)))</f>
        <v>75.396988922564091</v>
      </c>
      <c r="AJ30" s="13">
        <f>AI30*VLOOKUP('Données projet'!$B$10,Paramètres!$A$1:$I$89,3,0)*VLOOKUP('Données projet'!$B$10,Paramètres!$A$1:$I$89,5,0)</f>
        <v>71.74777465871199</v>
      </c>
      <c r="AK30" s="13">
        <f t="shared" si="35"/>
        <v>20.106866686044771</v>
      </c>
      <c r="AL30" s="20">
        <f t="shared" si="4"/>
        <v>159.98016700878466</v>
      </c>
      <c r="AM30" s="59">
        <f t="shared" si="5"/>
        <v>449.64683367545138</v>
      </c>
      <c r="AN30" s="59">
        <f ca="1">AVERAGE(OFFSET($AM$3,0,0,'Données projet'!$E$10+1,1))-AVERAGE(OFFSET($H$3,0,0,'Données projet'!$E$10+1,1))</f>
        <v>401.81944956556271</v>
      </c>
      <c r="AO30" s="59">
        <f t="shared" si="36"/>
        <v>292.20785523952651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11.5</v>
      </c>
      <c r="BD30" s="12">
        <f>IF('Données projet'!$A$88&gt;35,BD29+BC30-BL29,IF(A30&lt;'Données projet'!$A$88,$BA$205^A30,IF(A30='Données projet'!$A$88,'Données projet'!$B$88,BD29+BC30-BL29)))</f>
        <v>108.99999999999996</v>
      </c>
      <c r="BE30" s="13">
        <f>BD30*VLOOKUP('Données projet'!$B$11,Paramètres!$A$1:$I$89,3,0)*VLOOKUP('Données projet'!$B$11,Paramètres!$A$1:$I$89,5,0)</f>
        <v>85.019999999999968</v>
      </c>
      <c r="BF30" s="13">
        <f t="shared" si="37"/>
        <v>23.360218970693097</v>
      </c>
      <c r="BG30" s="20">
        <f t="shared" si="7"/>
        <v>188.76221470729038</v>
      </c>
      <c r="BH30" s="59">
        <f t="shared" si="8"/>
        <v>478.4288813739571</v>
      </c>
      <c r="BI30" s="59">
        <f ca="1">AVERAGE(OFFSET($BH$3,0,0,'Données projet'!$E$11+1,1))-AVERAGE(OFFSET($H$3,0,0,'Données projet'!$E$11+1,1))</f>
        <v>288.80569134263209</v>
      </c>
      <c r="BJ30" s="59">
        <f t="shared" si="38"/>
        <v>283.48738729114024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8.5188630530015317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8.5188630530015317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</v>
      </c>
      <c r="BY30" s="12">
        <f>IF('Données projet'!$A$114&gt;35,BY29+BX30-CG29,IF(A30&lt;'Données projet'!$A$114,$BV$205^A30,IF(A30='Données projet'!$A$114,'Données projet'!$B$114,BY29+BX30-CG29)))</f>
        <v>95</v>
      </c>
      <c r="BZ30" s="13">
        <f>BY30*VLOOKUP('Données projet'!$B$12,Paramètres!$A$1:$I$89,3,0)*VLOOKUP('Données projet'!$B$12,Paramètres!$A$1:$I$89,5,0)</f>
        <v>99.294000000000011</v>
      </c>
      <c r="CA30" s="13">
        <f t="shared" si="39"/>
        <v>26.793733491718786</v>
      </c>
      <c r="CB30" s="20">
        <f t="shared" si="10"/>
        <v>219.6028024980769</v>
      </c>
      <c r="CC30" s="59">
        <f t="shared" si="11"/>
        <v>509.26946916474355</v>
      </c>
      <c r="CD30" s="59">
        <f ca="1">AVERAGE(OFFSET($CC$3,0,0,'Données projet'!$E$12+1,1))-AVERAGE(OFFSET($H$3,0,0,'Données projet'!$E$12+1,1))</f>
        <v>352.22281362023102</v>
      </c>
      <c r="CE30" s="59">
        <f t="shared" si="40"/>
        <v>310.2353747925161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2.9235042735042733</v>
      </c>
      <c r="CT30" s="12">
        <f>IF('Données projet'!$A$140&gt;35,CT29+CS30-DB29,IF(A30&lt;'Données projet'!$A$140,$CQ$205^A30,IF(A30='Données projet'!$A$140,'Données projet'!$B$140,CT29+CS30-DB29)))</f>
        <v>56.068958494210662</v>
      </c>
      <c r="CU30" s="17">
        <f>CT30*VLOOKUP('Données projet'!$B$13,Paramètres!$A$1:$I$89,3,0)*VLOOKUP('Données projet'!$B$13,Paramètres!$A$1:$I$89,5,0)</f>
        <v>50.731193645561802</v>
      </c>
      <c r="CV30" s="13">
        <f t="shared" si="41"/>
        <v>14.802433760568636</v>
      </c>
      <c r="CW30" s="20">
        <f t="shared" si="13"/>
        <v>114.13773439901051</v>
      </c>
      <c r="CX30" s="59">
        <f t="shared" si="14"/>
        <v>403.80440106567721</v>
      </c>
      <c r="CY30" s="59">
        <f ca="1">AVERAGE(OFFSET($CX$3,0,0,'Données projet'!$E$13+1,1))-AVERAGE(OFFSET($H$3,0,0,'Données projet'!$E$13+1,1))</f>
        <v>345.49688858037996</v>
      </c>
      <c r="CZ30" s="59">
        <f t="shared" si="42"/>
        <v>213.15872113755023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2.9235042735042733</v>
      </c>
      <c r="DO30" s="12">
        <f>IF('Données projet'!$A$166&gt;35,DO29+DN30-DW29,IF(A30&lt;'Données projet'!$A$166,$DL$205^A30,IF(A30='Données projet'!$A$166,'Données projet'!$B$166,DO29+DN30-DW29)))</f>
        <v>56.068958494210662</v>
      </c>
      <c r="DP30" s="17">
        <f>DO30*VLOOKUP('Données projet'!$B$14,Paramètres!$A$1:$I$89,3,0)*VLOOKUP('Données projet'!$B$14,Paramètres!$A$1:$I$89,5,0)</f>
        <v>56.853923913129613</v>
      </c>
      <c r="DQ30" s="13">
        <f t="shared" si="43"/>
        <v>16.370366147143088</v>
      </c>
      <c r="DR30" s="20">
        <f t="shared" si="16"/>
        <v>127.53230518830827</v>
      </c>
      <c r="DS30" s="59">
        <f t="shared" si="17"/>
        <v>417.19897185497496</v>
      </c>
      <c r="DT30" s="59">
        <f ca="1">AVERAGE(OFFSET($DS$3,0,0,'Données projet'!$E$14+1,1))-AVERAGE(OFFSET($H$3,0,0,'Données projet'!$E$14+1,1))</f>
        <v>382.26108489744581</v>
      </c>
      <c r="DU30" s="59">
        <f t="shared" si="44"/>
        <v>233.89423996158826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3.9732905982905979</v>
      </c>
      <c r="EJ30" s="12">
        <f>IF('Données projet'!$A$192&gt;35,EJ29+EI30-ER29,IF(A30&lt;'Données projet'!$A$192,$EG$205^A30,IF(A30='Données projet'!$A$192,'Données projet'!$B$192,EJ29+EI30-ER29)))</f>
        <v>73.899997874969515</v>
      </c>
      <c r="EK30" s="17">
        <f>EJ30*VLOOKUP('Données projet'!$B$15,Paramètres!$A$1:$I$89,3,0)*VLOOKUP('Données projet'!$B$15,Paramètres!$A$1:$I$89,5,0)</f>
        <v>62.253358209874328</v>
      </c>
      <c r="EL30" s="13">
        <f t="shared" si="45"/>
        <v>17.736760463791171</v>
      </c>
      <c r="EM30" s="20">
        <f t="shared" si="19"/>
        <v>139.31612335663408</v>
      </c>
      <c r="EN30" s="59">
        <f t="shared" si="20"/>
        <v>428.98279002330077</v>
      </c>
      <c r="EO30" s="59">
        <f ca="1">AVERAGE(OFFSET($EN$3,0,0,'Données projet'!$E$15+1,1))-AVERAGE(OFFSET($H$3,0,0,'Données projet'!$E$15+1,1))</f>
        <v>312.48716825299158</v>
      </c>
      <c r="EP30" s="59">
        <f t="shared" si="46"/>
        <v>258.68277822755357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2.9235042735042733</v>
      </c>
      <c r="FE30" s="12">
        <f>IF('Données projet'!$A$218&gt;35,FE29+FD30-FM29,IF(A30&lt;'Données projet'!$A$218,$FB$205^A30,IF(A30='Données projet'!$A$218,'Données projet'!$B$218,FE29+FD30-FM29)))</f>
        <v>56.068958494210662</v>
      </c>
      <c r="FF30" s="17">
        <f>FE30*VLOOKUP('Données projet'!$B$16,Paramètres!$A$1:$I$89,3,0)*VLOOKUP('Données projet'!$B$16,Paramètres!$A$1:$I$89,5,0)</f>
        <v>60.352626923168359</v>
      </c>
      <c r="FG30" s="13">
        <f t="shared" si="47"/>
        <v>17.257393733478565</v>
      </c>
      <c r="FH30" s="20">
        <f t="shared" si="22"/>
        <v>135.17078597699336</v>
      </c>
      <c r="FI30" s="59">
        <f t="shared" si="23"/>
        <v>424.83745264366007</v>
      </c>
      <c r="FJ30" s="59">
        <f ca="1">AVERAGE(OFFSET($FI$3,0,0,'Données projet'!$E$16+1,1))-AVERAGE(OFFSET($H$3,0,0,'Données projet'!$E$16+1,1))</f>
        <v>403.23110963096246</v>
      </c>
      <c r="FK30" s="59">
        <f t="shared" si="48"/>
        <v>245.72000393124898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2.9235042735042733</v>
      </c>
      <c r="FZ30" s="12">
        <f>IF('Données projet'!$A$244&gt;35,FZ29+FY30-GH29,IF(A30&lt;'Données projet'!$A$244,$FW$205^A30,IF(A30='Données projet'!$A$244,'Données projet'!$B$244,FZ29+FY30-GH29)))</f>
        <v>56.068958494210662</v>
      </c>
      <c r="GA30" s="17">
        <f>FZ30*VLOOKUP('Données projet'!$B$17,Paramètres!$A$1:$I$89,3,0)*VLOOKUP('Données projet'!$B$17,Paramètres!$A$1:$I$89,5,0)</f>
        <v>54.229896655600555</v>
      </c>
      <c r="GB30" s="13">
        <f t="shared" si="49"/>
        <v>15.700932555652479</v>
      </c>
      <c r="GC30" s="20">
        <f t="shared" si="25"/>
        <v>121.79619420959904</v>
      </c>
      <c r="GD30" s="59">
        <f t="shared" si="26"/>
        <v>411.46286087626572</v>
      </c>
      <c r="GE30" s="59">
        <f ca="1">AVERAGE(OFFSET($GD$3,0,0,'Données projet'!$E$17+1,1))-AVERAGE(OFFSET($H$3,0,0,'Données projet'!$E$17+1,1))</f>
        <v>336.2911850338175</v>
      </c>
      <c r="GF30" s="59">
        <f t="shared" si="50"/>
        <v>225.01415116995503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2.9235042735042733</v>
      </c>
      <c r="GU30" s="12">
        <f>IF('Données projet'!$A$270&gt;35,GU29+GT30-HC29,IF(A30&lt;'Données projet'!$A$270,$GR$205^A30,IF(A30='Données projet'!$A$270,'Données projet'!$B$270,GU29+GT30-HC29)))</f>
        <v>56.068958494210662</v>
      </c>
      <c r="GV30" s="17">
        <f>GU30*VLOOKUP('Données projet'!$B$18,Paramètres!$A$1:$I$89,3,0)*VLOOKUP('Données projet'!$B$18,Paramètres!$A$1:$I$89,5,0)</f>
        <v>37.611057357916515</v>
      </c>
      <c r="GW30" s="13">
        <f t="shared" si="51"/>
        <v>11.363205964247573</v>
      </c>
      <c r="GX30" s="20">
        <f t="shared" si="28"/>
        <v>85.296841952769128</v>
      </c>
      <c r="GY30" s="59">
        <f t="shared" si="29"/>
        <v>374.9635086194358</v>
      </c>
      <c r="GZ30" s="59">
        <f ca="1">AVERAGE(OFFSET($GY$3,0,0,'Données projet'!$E$18+1,1))-AVERAGE(OFFSET($H$3,0,0,'Données projet'!$E$18+1,1))</f>
        <v>266.37807768393191</v>
      </c>
      <c r="HA30" s="59">
        <f t="shared" si="52"/>
        <v>168.52019826233425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11.8</v>
      </c>
      <c r="N31" s="13">
        <f>IF('Données projet'!$A$36&gt;35,N30+M31-V30,IF(A31&lt;'Données projet'!$A$36,$K$205^A31,IF(A31='Données projet'!$A$36,'Données projet'!$B$36,N30+M31-V30)))</f>
        <v>122.39999999999996</v>
      </c>
      <c r="O31" s="13">
        <f>N31*VLOOKUP('Données projet'!$B$9,Paramètres!$A$1:$I$89,3,0)*VLOOKUP('Données projet'!$B$9,Paramètres!$A$1:$I$89,5,0)</f>
        <v>106.92863999999997</v>
      </c>
      <c r="P31" s="13">
        <f t="shared" si="33"/>
        <v>28.606159868782917</v>
      </c>
      <c r="Q31" s="20">
        <f t="shared" si="2"/>
        <v>236.05644310479684</v>
      </c>
      <c r="R31" s="59">
        <f t="shared" si="0"/>
        <v>526.94533199368573</v>
      </c>
      <c r="S31" s="59">
        <f ca="1">AVERAGE(OFFSET($R$3,0,0,'Données projet'!$E$9+1,1))-AVERAGE(OFFSET($H$3,0,0,'Données projet'!$E$9+1,1))</f>
        <v>324.86930206492627</v>
      </c>
      <c r="T31" s="59">
        <f t="shared" si="34"/>
        <v>317.03005098025352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0.91950632102461116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0.91950632102461116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4.0628205128205126</v>
      </c>
      <c r="AI31" s="13">
        <f>IF('Données projet'!$A$62&gt;35,AI30+AH31-AQ30,IF(A31&lt;'Données projet'!$A$62,$AF$205^A31,IF(A31='Données projet'!$A$62,'Données projet'!$B$62,AI30+AH31-AQ30)))</f>
        <v>88.488255196060223</v>
      </c>
      <c r="AJ31" s="13">
        <f>AI31*VLOOKUP('Données projet'!$B$10,Paramètres!$A$1:$I$89,3,0)*VLOOKUP('Données projet'!$B$10,Paramètres!$A$1:$I$89,5,0)</f>
        <v>84.205423644570914</v>
      </c>
      <c r="AK31" s="13">
        <f t="shared" si="35"/>
        <v>23.162346086430109</v>
      </c>
      <c r="AL31" s="20">
        <f t="shared" si="4"/>
        <v>186.99886561482674</v>
      </c>
      <c r="AM31" s="59">
        <f t="shared" si="5"/>
        <v>477.8877545037156</v>
      </c>
      <c r="AN31" s="59">
        <f ca="1">AVERAGE(OFFSET($AM$3,0,0,'Données projet'!$E$10+1,1))-AVERAGE(OFFSET($H$3,0,0,'Données projet'!$E$10+1,1))</f>
        <v>401.81944956556271</v>
      </c>
      <c r="AO31" s="59">
        <f t="shared" si="36"/>
        <v>292.20785523952651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11.5</v>
      </c>
      <c r="BD31" s="12">
        <f>IF('Données projet'!$A$88&gt;35,BD30+BC31-BL30,IF(A31&lt;'Données projet'!$A$88,$BA$205^A31,IF(A31='Données projet'!$A$88,'Données projet'!$B$88,BD30+BC31-BL30)))</f>
        <v>120.49999999999996</v>
      </c>
      <c r="BE31" s="13">
        <f>BD31*VLOOKUP('Données projet'!$B$11,Paramètres!$A$1:$I$89,3,0)*VLOOKUP('Données projet'!$B$11,Paramètres!$A$1:$I$89,5,0)</f>
        <v>93.989999999999966</v>
      </c>
      <c r="BF31" s="13">
        <f t="shared" si="37"/>
        <v>25.525074036970054</v>
      </c>
      <c r="BG31" s="20">
        <f t="shared" si="7"/>
        <v>208.15542061438944</v>
      </c>
      <c r="BH31" s="59">
        <f t="shared" si="8"/>
        <v>499.04430950327833</v>
      </c>
      <c r="BI31" s="59">
        <f ca="1">AVERAGE(OFFSET($BH$3,0,0,'Données projet'!$E$11+1,1))-AVERAGE(OFFSET($H$3,0,0,'Données projet'!$E$11+1,1))</f>
        <v>288.80569134263209</v>
      </c>
      <c r="BJ31" s="59">
        <f t="shared" si="38"/>
        <v>283.48738729114024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8.2859142948296665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8.2859142948296665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</v>
      </c>
      <c r="BY31" s="12">
        <f>IF('Données projet'!$A$114&gt;35,BY30+BX31-CG30,IF(A31&lt;'Données projet'!$A$114,$BV$205^A31,IF(A31='Données projet'!$A$114,'Données projet'!$B$114,BY30+BX31-CG30)))</f>
        <v>103</v>
      </c>
      <c r="BZ31" s="13">
        <f>BY31*VLOOKUP('Données projet'!$B$12,Paramètres!$A$1:$I$89,3,0)*VLOOKUP('Données projet'!$B$12,Paramètres!$A$1:$I$89,5,0)</f>
        <v>107.65560000000001</v>
      </c>
      <c r="CA31" s="13">
        <f t="shared" si="39"/>
        <v>28.777935004381202</v>
      </c>
      <c r="CB31" s="20">
        <f t="shared" si="10"/>
        <v>237.62174013263061</v>
      </c>
      <c r="CC31" s="59">
        <f t="shared" si="11"/>
        <v>528.51062902151943</v>
      </c>
      <c r="CD31" s="59">
        <f ca="1">AVERAGE(OFFSET($CC$3,0,0,'Données projet'!$E$12+1,1))-AVERAGE(OFFSET($H$3,0,0,'Données projet'!$E$12+1,1))</f>
        <v>352.22281362023102</v>
      </c>
      <c r="CE31" s="59">
        <f t="shared" si="40"/>
        <v>310.2353747925161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2.9235042735042733</v>
      </c>
      <c r="CT31" s="12">
        <f>IF('Données projet'!$A$140&gt;35,CT30+CS31-DB30,IF(A31&lt;'Données projet'!$A$140,$CQ$205^A31,IF(A31='Données projet'!$A$140,'Données projet'!$B$140,CT30+CS31-DB30)))</f>
        <v>65.086360682202411</v>
      </c>
      <c r="CU31" s="17">
        <f>CT31*VLOOKUP('Données projet'!$B$13,Paramètres!$A$1:$I$89,3,0)*VLOOKUP('Données projet'!$B$13,Paramètres!$A$1:$I$89,5,0)</f>
        <v>58.89013914525674</v>
      </c>
      <c r="CV31" s="13">
        <f t="shared" si="41"/>
        <v>16.887357174091651</v>
      </c>
      <c r="CW31" s="20">
        <f t="shared" si="13"/>
        <v>131.9791394228651</v>
      </c>
      <c r="CX31" s="59">
        <f t="shared" si="14"/>
        <v>422.86802831175396</v>
      </c>
      <c r="CY31" s="59">
        <f ca="1">AVERAGE(OFFSET($CX$3,0,0,'Données projet'!$E$13+1,1))-AVERAGE(OFFSET($H$3,0,0,'Données projet'!$E$13+1,1))</f>
        <v>345.49688858037996</v>
      </c>
      <c r="CZ31" s="59">
        <f t="shared" si="42"/>
        <v>213.15872113755023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2.9235042735042733</v>
      </c>
      <c r="DO31" s="12">
        <f>IF('Données projet'!$A$166&gt;35,DO30+DN31-DW30,IF(A31&lt;'Données projet'!$A$166,$DL$205^A31,IF(A31='Données projet'!$A$166,'Données projet'!$B$166,DO30+DN31-DW30)))</f>
        <v>65.086360682202411</v>
      </c>
      <c r="DP31" s="17">
        <f>DO31*VLOOKUP('Données projet'!$B$14,Paramètres!$A$1:$I$89,3,0)*VLOOKUP('Données projet'!$B$14,Paramètres!$A$1:$I$89,5,0)</f>
        <v>65.997569731753245</v>
      </c>
      <c r="DQ31" s="13">
        <f t="shared" si="43"/>
        <v>18.67613290281286</v>
      </c>
      <c r="DR31" s="20">
        <f t="shared" si="16"/>
        <v>147.47336542186929</v>
      </c>
      <c r="DS31" s="59">
        <f t="shared" si="17"/>
        <v>438.36225431075815</v>
      </c>
      <c r="DT31" s="59">
        <f ca="1">AVERAGE(OFFSET($DS$3,0,0,'Données projet'!$E$14+1,1))-AVERAGE(OFFSET($H$3,0,0,'Données projet'!$E$14+1,1))</f>
        <v>382.26108489744581</v>
      </c>
      <c r="DU31" s="59">
        <f t="shared" si="44"/>
        <v>233.89423996158826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3.9732905982905979</v>
      </c>
      <c r="EJ31" s="12">
        <f>IF('Données projet'!$A$192&gt;35,EJ30+EI31-ER30,IF(A31&lt;'Données projet'!$A$192,$EG$205^A31,IF(A31='Données projet'!$A$192,'Données projet'!$B$192,EJ30+EI31-ER30)))</f>
        <v>86.666943147199447</v>
      </c>
      <c r="EK31" s="17">
        <f>EJ31*VLOOKUP('Données projet'!$B$15,Paramètres!$A$1:$I$89,3,0)*VLOOKUP('Données projet'!$B$15,Paramètres!$A$1:$I$89,5,0)</f>
        <v>73.008232907200821</v>
      </c>
      <c r="EL31" s="13">
        <f t="shared" si="45"/>
        <v>20.418668574751724</v>
      </c>
      <c r="EM31" s="20">
        <f t="shared" si="19"/>
        <v>162.71852008106734</v>
      </c>
      <c r="EN31" s="59">
        <f t="shared" si="20"/>
        <v>453.60740896995617</v>
      </c>
      <c r="EO31" s="59">
        <f ca="1">AVERAGE(OFFSET($EN$3,0,0,'Données projet'!$E$15+1,1))-AVERAGE(OFFSET($H$3,0,0,'Données projet'!$E$15+1,1))</f>
        <v>312.48716825299158</v>
      </c>
      <c r="EP31" s="59">
        <f t="shared" si="46"/>
        <v>258.68277822755357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2.9235042735042733</v>
      </c>
      <c r="FE31" s="12">
        <f>IF('Données projet'!$A$218&gt;35,FE30+FD31-FM30,IF(A31&lt;'Données projet'!$A$218,$FB$205^A31,IF(A31='Données projet'!$A$218,'Données projet'!$B$218,FE30+FD31-FM30)))</f>
        <v>65.086360682202411</v>
      </c>
      <c r="FF31" s="17">
        <f>FE31*VLOOKUP('Données projet'!$B$16,Paramètres!$A$1:$I$89,3,0)*VLOOKUP('Données projet'!$B$16,Paramètres!$A$1:$I$89,5,0)</f>
        <v>70.058958638322665</v>
      </c>
      <c r="FG31" s="13">
        <f t="shared" si="47"/>
        <v>19.688098361737783</v>
      </c>
      <c r="FH31" s="20">
        <f t="shared" si="22"/>
        <v>156.30945760843863</v>
      </c>
      <c r="FI31" s="59">
        <f t="shared" si="23"/>
        <v>447.19834649732752</v>
      </c>
      <c r="FJ31" s="59">
        <f ca="1">AVERAGE(OFFSET($FI$3,0,0,'Données projet'!$E$16+1,1))-AVERAGE(OFFSET($H$3,0,0,'Données projet'!$E$16+1,1))</f>
        <v>403.23110963096246</v>
      </c>
      <c r="FK31" s="59">
        <f t="shared" si="48"/>
        <v>245.72000393124898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2.9235042735042733</v>
      </c>
      <c r="FZ31" s="12">
        <f>IF('Données projet'!$A$244&gt;35,FZ30+FY31-GH30,IF(A31&lt;'Données projet'!$A$244,$FW$205^A31,IF(A31='Données projet'!$A$244,'Données projet'!$B$244,FZ30+FY31-GH30)))</f>
        <v>65.086360682202411</v>
      </c>
      <c r="GA31" s="17">
        <f>FZ31*VLOOKUP('Données projet'!$B$17,Paramètres!$A$1:$I$89,3,0)*VLOOKUP('Données projet'!$B$17,Paramètres!$A$1:$I$89,5,0)</f>
        <v>62.951528051826173</v>
      </c>
      <c r="GB31" s="13">
        <f t="shared" si="49"/>
        <v>17.91240956199632</v>
      </c>
      <c r="GC31" s="20">
        <f t="shared" si="25"/>
        <v>140.8380246774075</v>
      </c>
      <c r="GD31" s="59">
        <f t="shared" si="26"/>
        <v>431.72691356629639</v>
      </c>
      <c r="GE31" s="59">
        <f ca="1">AVERAGE(OFFSET($GD$3,0,0,'Données projet'!$E$17+1,1))-AVERAGE(OFFSET($H$3,0,0,'Données projet'!$E$17+1,1))</f>
        <v>336.2911850338175</v>
      </c>
      <c r="GF31" s="59">
        <f t="shared" si="50"/>
        <v>225.01415116995503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2.9235042735042733</v>
      </c>
      <c r="GU31" s="12">
        <f>IF('Données projet'!$A$270&gt;35,GU30+GT31-HC30,IF(A31&lt;'Données projet'!$A$270,$GR$205^A31,IF(A31='Données projet'!$A$270,'Données projet'!$B$270,GU30+GT31-HC30)))</f>
        <v>65.086360682202411</v>
      </c>
      <c r="GV31" s="17">
        <f>GU31*VLOOKUP('Données projet'!$B$18,Paramètres!$A$1:$I$89,3,0)*VLOOKUP('Données projet'!$B$18,Paramètres!$A$1:$I$89,5,0)</f>
        <v>43.659930745621374</v>
      </c>
      <c r="GW31" s="13">
        <f t="shared" si="51"/>
        <v>12.963713998990768</v>
      </c>
      <c r="GX31" s="20">
        <f t="shared" si="28"/>
        <v>98.619514596866154</v>
      </c>
      <c r="GY31" s="59">
        <f t="shared" si="29"/>
        <v>389.50840348575503</v>
      </c>
      <c r="GZ31" s="59">
        <f ca="1">AVERAGE(OFFSET($GY$3,0,0,'Données projet'!$E$18+1,1))-AVERAGE(OFFSET($H$3,0,0,'Données projet'!$E$18+1,1))</f>
        <v>266.37807768393191</v>
      </c>
      <c r="HA31" s="59">
        <f t="shared" si="52"/>
        <v>168.52019826233425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11.8</v>
      </c>
      <c r="N32" s="13">
        <f>IF('Données projet'!$A$36&gt;35,N31+M32-V31,IF(A32&lt;'Données projet'!$A$36,$K$205^A32,IF(A32='Données projet'!$A$36,'Données projet'!$B$36,N31+M32-V31)))</f>
        <v>134.19999999999996</v>
      </c>
      <c r="O32" s="13">
        <f>N32*VLOOKUP('Données projet'!$B$9,Paramètres!$A$1:$I$89,3,0)*VLOOKUP('Données projet'!$B$9,Paramètres!$A$1:$I$89,5,0)</f>
        <v>117.23711999999999</v>
      </c>
      <c r="P32" s="13">
        <f t="shared" si="33"/>
        <v>31.029731926851227</v>
      </c>
      <c r="Q32" s="20">
        <f t="shared" si="2"/>
        <v>258.23143377259919</v>
      </c>
      <c r="R32" s="59">
        <f t="shared" si="0"/>
        <v>550.34254488371039</v>
      </c>
      <c r="S32" s="59">
        <f ca="1">AVERAGE(OFFSET($R$3,0,0,'Données projet'!$E$9+1,1))-AVERAGE(OFFSET($H$3,0,0,'Données projet'!$E$9+1,1))</f>
        <v>324.86930206492627</v>
      </c>
      <c r="T32" s="59">
        <f t="shared" si="34"/>
        <v>317.03005098025352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0.89436237232145732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0.89436237232145732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4.0628205128205126</v>
      </c>
      <c r="AI32" s="13">
        <f>IF('Données projet'!$A$62&gt;35,AI31+AH32-AQ31,IF(A32&lt;'Données projet'!$A$62,$AF$205^A32,IF(A32='Données projet'!$A$62,'Données projet'!$B$62,AI31+AH32-AQ31)))</f>
        <v>103.85257315361756</v>
      </c>
      <c r="AJ32" s="13">
        <f>AI32*VLOOKUP('Données projet'!$B$10,Paramètres!$A$1:$I$89,3,0)*VLOOKUP('Données projet'!$B$10,Paramètres!$A$1:$I$89,5,0)</f>
        <v>98.826108612982466</v>
      </c>
      <c r="AK32" s="13">
        <f t="shared" si="35"/>
        <v>26.682142205673451</v>
      </c>
      <c r="AL32" s="20">
        <f t="shared" si="4"/>
        <v>218.59353684249234</v>
      </c>
      <c r="AM32" s="59">
        <f t="shared" si="5"/>
        <v>510.70464795360351</v>
      </c>
      <c r="AN32" s="59">
        <f ca="1">AVERAGE(OFFSET($AM$3,0,0,'Données projet'!$E$10+1,1))-AVERAGE(OFFSET($H$3,0,0,'Données projet'!$E$10+1,1))</f>
        <v>401.81944956556271</v>
      </c>
      <c r="AO32" s="59">
        <f t="shared" si="36"/>
        <v>292.20785523952651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11.5</v>
      </c>
      <c r="BD32" s="12">
        <f>IF('Données projet'!$A$88&gt;35,BD31+BC32-BL31,IF(A32&lt;'Données projet'!$A$88,$BA$205^A32,IF(A32='Données projet'!$A$88,'Données projet'!$B$88,BD31+BC32-BL31)))</f>
        <v>131.99999999999994</v>
      </c>
      <c r="BE32" s="13">
        <f>BD32*VLOOKUP('Données projet'!$B$11,Paramètres!$A$1:$I$89,3,0)*VLOOKUP('Données projet'!$B$11,Paramètres!$A$1:$I$89,5,0)</f>
        <v>102.95999999999997</v>
      </c>
      <c r="BF32" s="13">
        <f t="shared" si="37"/>
        <v>27.665975080374633</v>
      </c>
      <c r="BG32" s="20">
        <f t="shared" si="7"/>
        <v>227.50690659831903</v>
      </c>
      <c r="BH32" s="59">
        <f t="shared" si="8"/>
        <v>519.61801770943021</v>
      </c>
      <c r="BI32" s="59">
        <f ca="1">AVERAGE(OFFSET($BH$3,0,0,'Données projet'!$E$11+1,1))-AVERAGE(OFFSET($H$3,0,0,'Données projet'!$E$11+1,1))</f>
        <v>288.80569134263209</v>
      </c>
      <c r="BJ32" s="59">
        <f t="shared" si="38"/>
        <v>283.48738729114024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8.0593355327002545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8.0593355327002545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</v>
      </c>
      <c r="BY32" s="12">
        <f>IF('Données projet'!$A$114&gt;35,BY31+BX32-CG31,IF(A32&lt;'Données projet'!$A$114,$BV$205^A32,IF(A32='Données projet'!$A$114,'Données projet'!$B$114,BY31+BX32-CG31)))</f>
        <v>111</v>
      </c>
      <c r="BZ32" s="13">
        <f>BY32*VLOOKUP('Données projet'!$B$12,Paramètres!$A$1:$I$89,3,0)*VLOOKUP('Données projet'!$B$12,Paramètres!$A$1:$I$89,5,0)</f>
        <v>116.01720000000002</v>
      </c>
      <c r="CA32" s="13">
        <f t="shared" si="39"/>
        <v>30.744259678399743</v>
      </c>
      <c r="CB32" s="20">
        <f t="shared" si="10"/>
        <v>255.60954227321292</v>
      </c>
      <c r="CC32" s="59">
        <f t="shared" si="11"/>
        <v>547.72065338432412</v>
      </c>
      <c r="CD32" s="59">
        <f ca="1">AVERAGE(OFFSET($CC$3,0,0,'Données projet'!$E$12+1,1))-AVERAGE(OFFSET($H$3,0,0,'Données projet'!$E$12+1,1))</f>
        <v>352.22281362023102</v>
      </c>
      <c r="CE32" s="59">
        <f t="shared" si="40"/>
        <v>310.2353747925161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2.9235042735042733</v>
      </c>
      <c r="CT32" s="12">
        <f>IF('Données projet'!$A$140&gt;35,CT31+CS32-DB31,IF(A32&lt;'Données projet'!$A$140,$CQ$205^A32,IF(A32='Données projet'!$A$140,'Données projet'!$B$140,CT31+CS32-DB31)))</f>
        <v>75.55400457975604</v>
      </c>
      <c r="CU32" s="17">
        <f>CT32*VLOOKUP('Données projet'!$B$13,Paramètres!$A$1:$I$89,3,0)*VLOOKUP('Données projet'!$B$13,Paramètres!$A$1:$I$89,5,0)</f>
        <v>68.36126334376327</v>
      </c>
      <c r="CV32" s="13">
        <f t="shared" si="41"/>
        <v>19.265942137503561</v>
      </c>
      <c r="CW32" s="20">
        <f t="shared" si="13"/>
        <v>152.61738287987308</v>
      </c>
      <c r="CX32" s="59">
        <f t="shared" si="14"/>
        <v>444.72849399098425</v>
      </c>
      <c r="CY32" s="59">
        <f ca="1">AVERAGE(OFFSET($CX$3,0,0,'Données projet'!$E$13+1,1))-AVERAGE(OFFSET($H$3,0,0,'Données projet'!$E$13+1,1))</f>
        <v>345.49688858037996</v>
      </c>
      <c r="CZ32" s="59">
        <f t="shared" si="42"/>
        <v>213.15872113755023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2.9235042735042733</v>
      </c>
      <c r="DO32" s="12">
        <f>IF('Données projet'!$A$166&gt;35,DO31+DN32-DW31,IF(A32&lt;'Données projet'!$A$166,$DL$205^A32,IF(A32='Données projet'!$A$166,'Données projet'!$B$166,DO31+DN32-DW31)))</f>
        <v>75.55400457975604</v>
      </c>
      <c r="DP32" s="17">
        <f>DO32*VLOOKUP('Données projet'!$B$14,Paramètres!$A$1:$I$89,3,0)*VLOOKUP('Données projet'!$B$14,Paramètres!$A$1:$I$89,5,0)</f>
        <v>76.611760643872628</v>
      </c>
      <c r="DQ32" s="13">
        <f t="shared" si="43"/>
        <v>21.306667002338269</v>
      </c>
      <c r="DR32" s="20">
        <f t="shared" si="16"/>
        <v>170.54126148381732</v>
      </c>
      <c r="DS32" s="59">
        <f t="shared" si="17"/>
        <v>462.65237259492847</v>
      </c>
      <c r="DT32" s="59">
        <f ca="1">AVERAGE(OFFSET($DS$3,0,0,'Données projet'!$E$14+1,1))-AVERAGE(OFFSET($H$3,0,0,'Données projet'!$E$14+1,1))</f>
        <v>382.26108489744581</v>
      </c>
      <c r="DU32" s="59">
        <f t="shared" si="44"/>
        <v>233.89423996158826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3.9732905982905979</v>
      </c>
      <c r="EJ32" s="12">
        <f>IF('Données projet'!$A$192&gt;35,EJ31+EI32-ER31,IF(A32&lt;'Données projet'!$A$192,$EG$205^A32,IF(A32='Données projet'!$A$192,'Données projet'!$B$192,EJ31+EI32-ER31)))</f>
        <v>101.63950271267854</v>
      </c>
      <c r="EK32" s="17">
        <f>EJ32*VLOOKUP('Données projet'!$B$15,Paramètres!$A$1:$I$89,3,0)*VLOOKUP('Données projet'!$B$15,Paramètres!$A$1:$I$89,5,0)</f>
        <v>85.621117085160407</v>
      </c>
      <c r="EL32" s="13">
        <f t="shared" si="45"/>
        <v>23.506097814010744</v>
      </c>
      <c r="EM32" s="20">
        <f t="shared" si="19"/>
        <v>190.06323261605641</v>
      </c>
      <c r="EN32" s="59">
        <f t="shared" si="20"/>
        <v>482.17434372716752</v>
      </c>
      <c r="EO32" s="59">
        <f ca="1">AVERAGE(OFFSET($EN$3,0,0,'Données projet'!$E$15+1,1))-AVERAGE(OFFSET($H$3,0,0,'Données projet'!$E$15+1,1))</f>
        <v>312.48716825299158</v>
      </c>
      <c r="EP32" s="59">
        <f t="shared" si="46"/>
        <v>258.68277822755357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2.9235042735042733</v>
      </c>
      <c r="FE32" s="12">
        <f>IF('Données projet'!$A$218&gt;35,FE31+FD32-FM31,IF(A32&lt;'Données projet'!$A$218,$FB$205^A32,IF(A32='Données projet'!$A$218,'Données projet'!$B$218,FE31+FD32-FM31)))</f>
        <v>75.55400457975604</v>
      </c>
      <c r="FF32" s="17">
        <f>FE32*VLOOKUP('Données projet'!$B$16,Paramètres!$A$1:$I$89,3,0)*VLOOKUP('Données projet'!$B$16,Paramètres!$A$1:$I$89,5,0)</f>
        <v>81.326330529649397</v>
      </c>
      <c r="FG32" s="13">
        <f t="shared" si="47"/>
        <v>22.461167838425933</v>
      </c>
      <c r="FH32" s="20">
        <f t="shared" si="22"/>
        <v>180.76322632439783</v>
      </c>
      <c r="FI32" s="59">
        <f t="shared" si="23"/>
        <v>472.87433743550901</v>
      </c>
      <c r="FJ32" s="59">
        <f ca="1">AVERAGE(OFFSET($FI$3,0,0,'Données projet'!$E$16+1,1))-AVERAGE(OFFSET($H$3,0,0,'Données projet'!$E$16+1,1))</f>
        <v>403.23110963096246</v>
      </c>
      <c r="FK32" s="59">
        <f t="shared" si="48"/>
        <v>245.72000393124898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2.9235042735042733</v>
      </c>
      <c r="FZ32" s="12">
        <f>IF('Données projet'!$A$244&gt;35,FZ31+FY32-GH31,IF(A32&lt;'Données projet'!$A$244,$FW$205^A32,IF(A32='Données projet'!$A$244,'Données projet'!$B$244,FZ31+FY32-GH31)))</f>
        <v>75.55400457975604</v>
      </c>
      <c r="GA32" s="17">
        <f>FZ32*VLOOKUP('Données projet'!$B$17,Paramètres!$A$1:$I$89,3,0)*VLOOKUP('Données projet'!$B$17,Paramètres!$A$1:$I$89,5,0)</f>
        <v>73.075833229540052</v>
      </c>
      <c r="GB32" s="13">
        <f t="shared" si="49"/>
        <v>20.435373197064454</v>
      </c>
      <c r="GC32" s="20">
        <f t="shared" si="25"/>
        <v>162.86535119300285</v>
      </c>
      <c r="GD32" s="59">
        <f t="shared" si="26"/>
        <v>454.97646230411397</v>
      </c>
      <c r="GE32" s="59">
        <f ca="1">AVERAGE(OFFSET($GD$3,0,0,'Données projet'!$E$17+1,1))-AVERAGE(OFFSET($H$3,0,0,'Données projet'!$E$17+1,1))</f>
        <v>336.2911850338175</v>
      </c>
      <c r="GF32" s="59">
        <f t="shared" si="50"/>
        <v>225.01415116995503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2.9235042735042733</v>
      </c>
      <c r="GU32" s="12">
        <f>IF('Données projet'!$A$270&gt;35,GU31+GT32-HC31,IF(A32&lt;'Données projet'!$A$270,$GR$205^A32,IF(A32='Données projet'!$A$270,'Données projet'!$B$270,GU31+GT32-HC31)))</f>
        <v>75.55400457975604</v>
      </c>
      <c r="GV32" s="17">
        <f>GU32*VLOOKUP('Données projet'!$B$18,Paramètres!$A$1:$I$89,3,0)*VLOOKUP('Données projet'!$B$18,Paramètres!$A$1:$I$89,5,0)</f>
        <v>50.681626272100353</v>
      </c>
      <c r="GW32" s="13">
        <f t="shared" si="51"/>
        <v>14.789653657286088</v>
      </c>
      <c r="GX32" s="20">
        <f t="shared" si="28"/>
        <v>114.0291458770147</v>
      </c>
      <c r="GY32" s="59">
        <f t="shared" si="29"/>
        <v>406.14025698812583</v>
      </c>
      <c r="GZ32" s="59">
        <f ca="1">AVERAGE(OFFSET($GY$3,0,0,'Données projet'!$E$18+1,1))-AVERAGE(OFFSET($H$3,0,0,'Données projet'!$E$18+1,1))</f>
        <v>266.37807768393191</v>
      </c>
      <c r="HA32" s="59">
        <f t="shared" si="52"/>
        <v>168.52019826233425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146</v>
      </c>
      <c r="L33" s="12">
        <f>VLOOKUP(A33,'Données projet'!$A$35:$I$55,9,0)</f>
        <v>11.8</v>
      </c>
      <c r="M33" s="12">
        <f t="array" ref="M33">INDEX(L:L,MIN(IF(ISNUMBER(L33:L229),ROW(L33:L229),"")))</f>
        <v>11.8</v>
      </c>
      <c r="N33" s="13">
        <f>IF('Données projet'!$A$36&gt;35,N32+M33-V32,IF(A33&lt;'Données projet'!$A$36,$K$205^A33,IF(A33='Données projet'!$A$36,'Données projet'!$B$36,N32+M33-V32)))</f>
        <v>145.99999999999997</v>
      </c>
      <c r="O33" s="13">
        <f>N33*VLOOKUP('Données projet'!$B$9,Paramètres!$A$1:$I$89,3,0)*VLOOKUP('Données projet'!$B$9,Paramètres!$A$1:$I$89,5,0)</f>
        <v>127.54559999999999</v>
      </c>
      <c r="P33" s="13">
        <f t="shared" si="33"/>
        <v>33.428591950384806</v>
      </c>
      <c r="Q33" s="20">
        <f t="shared" si="2"/>
        <v>280.36338431358689</v>
      </c>
      <c r="R33" s="59">
        <f t="shared" si="0"/>
        <v>573.69671764692021</v>
      </c>
      <c r="S33" s="59">
        <f ca="1">AVERAGE(OFFSET($R$3,0,0,'Données projet'!$E$9+1,1))-AVERAGE(OFFSET($H$3,0,0,'Données projet'!$E$9+1,1))</f>
        <v>324.86930206492627</v>
      </c>
      <c r="T33" s="59">
        <f t="shared" si="34"/>
        <v>317.03005098025352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2.12E-2</v>
      </c>
      <c r="X33" s="16">
        <f>IF(ISNA(VLOOKUP(A33,'Données projet'!$A$35:$I$55,6,0)),0%,VLOOKUP(A33,'Données projet'!$A$35:$I$55,6,0)*VLOOKUP('Données projet'!$B$9,Paramètres!$A$1:$I$89,7,0))</f>
        <v>0.1537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0.5732626250252072</v>
      </c>
      <c r="AA33" s="21">
        <f>EXP(-LN(2)/25)*AA32+(1-EXP(-LN(2)/25))/(LN(2)/25)*Calculateur!V33*Calculateur!X33*VLOOKUP('Données projet'!$B$9,Paramètres!$A$1:$I$89,3,0)*0.475*44/12</f>
        <v>5.0096956556100167</v>
      </c>
      <c r="AB33" s="21">
        <f>EXP(-LN(2)/2)*AB32+(1-EXP(-LN(2)/2))/(LN(2)/2)*V33*Y33*VLOOKUP('Données projet'!$B$9,Paramètres!$A$1:$I$89,3,0)*0.475*44/12</f>
        <v>0</v>
      </c>
      <c r="AC33" s="22">
        <f t="shared" si="3"/>
        <v>5.582958280635224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121.88461538461537</v>
      </c>
      <c r="AG33" s="12">
        <f>VLOOKUP(A33,'Données projet'!$A$61:$I$81,9,0)</f>
        <v>4.0628205128205126</v>
      </c>
      <c r="AH33" s="12">
        <f t="array" ref="AH33">INDEX(AG:AG,MIN(IF(ISNUMBER(AG33:AG229),ROW(AG33:AG229),"")))</f>
        <v>4.0628205128205126</v>
      </c>
      <c r="AI33" s="13">
        <f>IF('Données projet'!$A$62&gt;35,AI32+AH33-AQ32,IF(A33&lt;'Données projet'!$A$62,$AF$205^A33,IF(A33='Données projet'!$A$62,'Données projet'!$B$62,AI32+AH33-AQ32)))</f>
        <v>121.88461538461537</v>
      </c>
      <c r="AJ33" s="13">
        <f>AI33*VLOOKUP('Données projet'!$B$10,Paramètres!$A$1:$I$89,3,0)*VLOOKUP('Données projet'!$B$10,Paramètres!$A$1:$I$89,5,0)</f>
        <v>115.98539999999998</v>
      </c>
      <c r="AK33" s="13">
        <f t="shared" si="35"/>
        <v>30.736813534656417</v>
      </c>
      <c r="AL33" s="20">
        <f t="shared" si="4"/>
        <v>255.54118857285985</v>
      </c>
      <c r="AM33" s="59">
        <f t="shared" si="5"/>
        <v>548.87452190619319</v>
      </c>
      <c r="AN33" s="59">
        <f ca="1">AVERAGE(OFFSET($AM$3,0,0,'Données projet'!$E$10+1,1))-AVERAGE(OFFSET($H$3,0,0,'Données projet'!$E$10+1,1))</f>
        <v>401.81944956556271</v>
      </c>
      <c r="AO33" s="59">
        <f t="shared" si="36"/>
        <v>292.20785523952651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11.5</v>
      </c>
      <c r="BD33" s="12">
        <f>IF('Données projet'!$A$88&gt;35,BD32+BC33-BL32,IF(A33&lt;'Données projet'!$A$88,$BA$205^A33,IF(A33='Données projet'!$A$88,'Données projet'!$B$88,BD32+BC33-BL32)))</f>
        <v>143.49999999999994</v>
      </c>
      <c r="BE33" s="13">
        <f>BD33*VLOOKUP('Données projet'!$B$11,Paramètres!$A$1:$I$89,3,0)*VLOOKUP('Données projet'!$B$11,Paramètres!$A$1:$I$89,5,0)</f>
        <v>111.92999999999996</v>
      </c>
      <c r="BF33" s="13">
        <f t="shared" si="37"/>
        <v>29.785246291563833</v>
      </c>
      <c r="BG33" s="20">
        <f t="shared" si="7"/>
        <v>246.82072062447358</v>
      </c>
      <c r="BH33" s="59">
        <f t="shared" si="8"/>
        <v>540.15405395780692</v>
      </c>
      <c r="BI33" s="59">
        <f ca="1">AVERAGE(OFFSET($BH$3,0,0,'Données projet'!$E$11+1,1))-AVERAGE(OFFSET($H$3,0,0,'Données projet'!$E$11+1,1))</f>
        <v>288.80569134263209</v>
      </c>
      <c r="BJ33" s="59">
        <f t="shared" si="38"/>
        <v>283.48738729114024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7.8389525787365306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7.8389525787365306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119</v>
      </c>
      <c r="BW33" s="12">
        <f>VLOOKUP(A33,'Données projet'!$A$113:$I$133,9,0)</f>
        <v>8</v>
      </c>
      <c r="BX33" s="12">
        <f t="array" ref="BX33">INDEX(BW:BW,MIN(IF(ISNUMBER(BW33:BW229),ROW(BW33:BW229),"")))</f>
        <v>8</v>
      </c>
      <c r="BY33" s="12">
        <f>IF('Données projet'!$A$114&gt;35,BY32+BX33-CG32,IF(A33&lt;'Données projet'!$A$114,$BV$205^A33,IF(A33='Données projet'!$A$114,'Données projet'!$B$114,BY32+BX33-CG32)))</f>
        <v>119</v>
      </c>
      <c r="BZ33" s="13">
        <f>BY33*VLOOKUP('Données projet'!$B$12,Paramètres!$A$1:$I$89,3,0)*VLOOKUP('Données projet'!$B$12,Paramètres!$A$1:$I$89,5,0)</f>
        <v>124.37880000000001</v>
      </c>
      <c r="CA33" s="13">
        <f t="shared" si="39"/>
        <v>32.69414246460255</v>
      </c>
      <c r="CB33" s="20">
        <f t="shared" si="10"/>
        <v>273.56870812584947</v>
      </c>
      <c r="CC33" s="59">
        <f t="shared" si="11"/>
        <v>566.90204145918278</v>
      </c>
      <c r="CD33" s="59">
        <f ca="1">AVERAGE(OFFSET($CC$3,0,0,'Données projet'!$E$12+1,1))-AVERAGE(OFFSET($H$3,0,0,'Données projet'!$E$12+1,1))</f>
        <v>352.22281362023102</v>
      </c>
      <c r="CE33" s="59">
        <f t="shared" si="40"/>
        <v>310.2353747925161</v>
      </c>
      <c r="CF33" s="15">
        <f>IF(ISNA(VLOOKUP(A33,'Données projet'!$A$113:$I$133,3,0)),0,VLOOKUP(A33,'Données projet'!$A$113:$I$133,3,0))</f>
        <v>3</v>
      </c>
      <c r="CG33" s="15" t="str">
        <f>IF(ISNA(VLOOKUP(A33,'Données projet'!$A$113:$I$133,4,0)),0,VLOOKUP(A33,'Données projet'!$A$113:$I$133,4,0))</f>
        <v>20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87.705128205128204</v>
      </c>
      <c r="CR33" s="12">
        <f>VLOOKUP(A33,'Données projet'!$A$139:$I$159,9,0)</f>
        <v>2.9235042735042733</v>
      </c>
      <c r="CS33" s="12">
        <f t="array" ref="CS33">INDEX(CR:CR,MIN(IF(ISNUMBER(CR33:CR229),ROW(CR33:CR229),"")))</f>
        <v>2.9235042735042733</v>
      </c>
      <c r="CT33" s="12">
        <f>IF('Données projet'!$A$140&gt;35,CT32+CS33-DB32,IF(A33&lt;'Données projet'!$A$140,$CQ$205^A33,IF(A33='Données projet'!$A$140,'Données projet'!$B$140,CT32+CS33-DB32)))</f>
        <v>87.705128205128204</v>
      </c>
      <c r="CU33" s="17">
        <f>CT33*VLOOKUP('Données projet'!$B$13,Paramètres!$A$1:$I$89,3,0)*VLOOKUP('Données projet'!$B$13,Paramètres!$A$1:$I$89,5,0)</f>
        <v>79.355599999999995</v>
      </c>
      <c r="CV33" s="13">
        <f t="shared" si="41"/>
        <v>21.979550892373382</v>
      </c>
      <c r="CW33" s="20">
        <f t="shared" si="13"/>
        <v>176.49205447088363</v>
      </c>
      <c r="CX33" s="59">
        <f t="shared" si="14"/>
        <v>469.82538780421692</v>
      </c>
      <c r="CY33" s="59">
        <f ca="1">AVERAGE(OFFSET($CX$3,0,0,'Données projet'!$E$13+1,1))-AVERAGE(OFFSET($H$3,0,0,'Données projet'!$E$13+1,1))</f>
        <v>345.49688858037996</v>
      </c>
      <c r="CZ33" s="59">
        <f t="shared" si="42"/>
        <v>213.15872113755023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87.705128205128204</v>
      </c>
      <c r="DM33" s="12">
        <f>VLOOKUP(A33,'Données projet'!$A$165:$I$185,9,0)</f>
        <v>2.9235042735042733</v>
      </c>
      <c r="DN33" s="12">
        <f t="array" ref="DN33">INDEX(DM:DM,MIN(IF(ISNUMBER(DM33:DM229),ROW(DM33:DM229),"")))</f>
        <v>2.9235042735042733</v>
      </c>
      <c r="DO33" s="12">
        <f>IF('Données projet'!$A$166&gt;35,DO32+DN33-DW32,IF(A33&lt;'Données projet'!$A$166,$DL$205^A33,IF(A33='Données projet'!$A$166,'Données projet'!$B$166,DO32+DN33-DW32)))</f>
        <v>87.705128205128204</v>
      </c>
      <c r="DP33" s="17">
        <f>DO33*VLOOKUP('Données projet'!$B$14,Paramètres!$A$1:$I$89,3,0)*VLOOKUP('Données projet'!$B$14,Paramètres!$A$1:$I$89,5,0)</f>
        <v>88.933000000000007</v>
      </c>
      <c r="DQ33" s="13">
        <f t="shared" si="43"/>
        <v>24.307711939667918</v>
      </c>
      <c r="DR33" s="20">
        <f t="shared" si="16"/>
        <v>197.22757329492163</v>
      </c>
      <c r="DS33" s="59">
        <f t="shared" si="17"/>
        <v>490.56090662825494</v>
      </c>
      <c r="DT33" s="59">
        <f ca="1">AVERAGE(OFFSET($DS$3,0,0,'Données projet'!$E$14+1,1))-AVERAGE(OFFSET($H$3,0,0,'Données projet'!$E$14+1,1))</f>
        <v>382.26108489744581</v>
      </c>
      <c r="DU33" s="59">
        <f t="shared" si="44"/>
        <v>233.89423996158826</v>
      </c>
      <c r="DV33" s="15" t="str">
        <f>IF(ISNA(VLOOKUP(A33,'Données projet'!$A$165:$I$185,3,0)),0,VLOOKUP(A33,'Données projet'!$A$165:$I$185,3,0))</f>
        <v>na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119.19871794871794</v>
      </c>
      <c r="EH33" s="12">
        <f>VLOOKUP(A33,'Données projet'!$A$191:$I$211,9,0)</f>
        <v>3.9732905982905979</v>
      </c>
      <c r="EI33" s="12">
        <f t="array" ref="EI33">INDEX(EH:EH,MIN(IF(ISNUMBER(EH33:EH229),ROW(EH33:EH229),"")))</f>
        <v>3.9732905982905979</v>
      </c>
      <c r="EJ33" s="12">
        <f>IF('Données projet'!$A$192&gt;35,EJ32+EI33-ER32,IF(A33&lt;'Données projet'!$A$192,$EG$205^A33,IF(A33='Données projet'!$A$192,'Données projet'!$B$192,EJ32+EI33-ER32)))</f>
        <v>119.19871794871794</v>
      </c>
      <c r="EK33" s="17">
        <f>EJ33*VLOOKUP('Données projet'!$B$15,Paramètres!$A$1:$I$89,3,0)*VLOOKUP('Données projet'!$B$15,Paramètres!$A$1:$I$89,5,0)</f>
        <v>100.413</v>
      </c>
      <c r="EL33" s="13">
        <f t="shared" si="45"/>
        <v>27.060365489504466</v>
      </c>
      <c r="EM33" s="20">
        <f t="shared" si="19"/>
        <v>222.01611156088691</v>
      </c>
      <c r="EN33" s="59">
        <f t="shared" si="20"/>
        <v>515.34944489422026</v>
      </c>
      <c r="EO33" s="59">
        <f ca="1">AVERAGE(OFFSET($EN$3,0,0,'Données projet'!$E$15+1,1))-AVERAGE(OFFSET($H$3,0,0,'Données projet'!$E$15+1,1))</f>
        <v>312.48716825299158</v>
      </c>
      <c r="EP33" s="59">
        <f t="shared" si="46"/>
        <v>258.68277822755357</v>
      </c>
      <c r="EQ33" s="15" t="str">
        <f>IF(ISNA(VLOOKUP(A33,'Données projet'!$A$191:$I$211,3,0)),0,VLOOKUP(A33,'Données projet'!$A$191:$I$211,3,0))</f>
        <v>na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87.705128205128204</v>
      </c>
      <c r="FC33" s="12">
        <f>VLOOKUP(A33,'Données projet'!$A$217:$I$237,9,0)</f>
        <v>2.9235042735042733</v>
      </c>
      <c r="FD33" s="12">
        <f t="array" ref="FD33">INDEX(FC:FC,MIN(IF(ISNUMBER(FC33:FC229),ROW(FC33:FC229),"")))</f>
        <v>2.9235042735042733</v>
      </c>
      <c r="FE33" s="12">
        <f>IF('Données projet'!$A$218&gt;35,FE32+FD33-FM32,IF(A33&lt;'Données projet'!$A$218,$FB$205^A33,IF(A33='Données projet'!$A$218,'Données projet'!$B$218,FE32+FD33-FM32)))</f>
        <v>87.705128205128204</v>
      </c>
      <c r="FF33" s="17">
        <f>FE33*VLOOKUP('Données projet'!$B$16,Paramètres!$A$1:$I$89,3,0)*VLOOKUP('Données projet'!$B$16,Paramètres!$A$1:$I$89,5,0)</f>
        <v>94.405799999999999</v>
      </c>
      <c r="FG33" s="13">
        <f t="shared" si="47"/>
        <v>25.624824266745868</v>
      </c>
      <c r="FH33" s="20">
        <f t="shared" si="22"/>
        <v>209.05333726458238</v>
      </c>
      <c r="FI33" s="59">
        <f t="shared" si="23"/>
        <v>502.38667059791567</v>
      </c>
      <c r="FJ33" s="59">
        <f ca="1">AVERAGE(OFFSET($FI$3,0,0,'Données projet'!$E$16+1,1))-AVERAGE(OFFSET($H$3,0,0,'Données projet'!$E$16+1,1))</f>
        <v>403.23110963096246</v>
      </c>
      <c r="FK33" s="59">
        <f t="shared" si="48"/>
        <v>245.72000393124898</v>
      </c>
      <c r="FL33" s="15" t="str">
        <f>IF(ISNA(VLOOKUP(A33,'Données projet'!$A$217:$I$237,3,0)),0,VLOOKUP(A33,'Données projet'!$A$217:$I$237,3,0))</f>
        <v>na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87.705128205128204</v>
      </c>
      <c r="FX33" s="12">
        <f>VLOOKUP(A33,'Données projet'!$A$243:$I$263,9,0)</f>
        <v>2.9235042735042733</v>
      </c>
      <c r="FY33" s="12">
        <f t="array" ref="FY33">INDEX(FX:FX,MIN(IF(ISNUMBER(FX33:FX229),ROW(FX33:FX229),"")))</f>
        <v>2.9235042735042733</v>
      </c>
      <c r="FZ33" s="12">
        <f>IF('Données projet'!$A$244&gt;35,FZ32+FY33-GH32,IF(A33&lt;'Données projet'!$A$244,$FW$205^A33,IF(A33='Données projet'!$A$244,'Données projet'!$B$244,FZ32+FY33-GH32)))</f>
        <v>87.705128205128204</v>
      </c>
      <c r="GA33" s="17">
        <f>FZ33*VLOOKUP('Données projet'!$B$17,Paramètres!$A$1:$I$89,3,0)*VLOOKUP('Données projet'!$B$17,Paramètres!$A$1:$I$89,5,0)</f>
        <v>84.828400000000002</v>
      </c>
      <c r="GB33" s="13">
        <f t="shared" si="49"/>
        <v>23.313696365524446</v>
      </c>
      <c r="GC33" s="20">
        <f t="shared" si="25"/>
        <v>188.34748450328843</v>
      </c>
      <c r="GD33" s="59">
        <f t="shared" si="26"/>
        <v>481.68081783662171</v>
      </c>
      <c r="GE33" s="59">
        <f ca="1">AVERAGE(OFFSET($GD$3,0,0,'Données projet'!$E$17+1,1))-AVERAGE(OFFSET($H$3,0,0,'Données projet'!$E$17+1,1))</f>
        <v>336.2911850338175</v>
      </c>
      <c r="GF33" s="59">
        <f t="shared" si="50"/>
        <v>225.01415116995503</v>
      </c>
      <c r="GG33" s="15" t="str">
        <f>IF(ISNA(VLOOKUP(A33,'Données projet'!$A$243:$I$263,3,0)),0,VLOOKUP(A33,'Données projet'!$A$243:$I$263,3,0))</f>
        <v>na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87.705128205128204</v>
      </c>
      <c r="GS33" s="12">
        <f>VLOOKUP(A33,'Données projet'!$A$269:$I$289,9,0)</f>
        <v>2.9235042735042733</v>
      </c>
      <c r="GT33" s="12">
        <f t="array" ref="GT33">INDEX(GS:GS,MIN(IF(ISNUMBER(GS33:GS229),ROW(GS33:GS229),"")))</f>
        <v>2.9235042735042733</v>
      </c>
      <c r="GU33" s="12">
        <f>IF('Données projet'!$A$270&gt;35,GU32+GT33-HC32,IF(A33&lt;'Données projet'!$A$270,$GR$205^A33,IF(A33='Données projet'!$A$270,'Données projet'!$B$270,GU32+GT33-HC32)))</f>
        <v>87.705128205128204</v>
      </c>
      <c r="GV33" s="17">
        <f>GU33*VLOOKUP('Données projet'!$B$18,Paramètres!$A$1:$I$89,3,0)*VLOOKUP('Données projet'!$B$18,Paramètres!$A$1:$I$89,5,0)</f>
        <v>58.832599999999999</v>
      </c>
      <c r="GW33" s="13">
        <f t="shared" si="51"/>
        <v>16.872776992727829</v>
      </c>
      <c r="GX33" s="20">
        <f t="shared" si="28"/>
        <v>131.85353159566762</v>
      </c>
      <c r="GY33" s="59">
        <f t="shared" si="29"/>
        <v>425.18686492900093</v>
      </c>
      <c r="GZ33" s="59">
        <f ca="1">AVERAGE(OFFSET($GY$3,0,0,'Données projet'!$E$18+1,1))-AVERAGE(OFFSET($H$3,0,0,'Données projet'!$E$18+1,1))</f>
        <v>266.37807768393191</v>
      </c>
      <c r="HA33" s="59">
        <f t="shared" si="52"/>
        <v>168.52019826233425</v>
      </c>
      <c r="HB33" s="15" t="str">
        <f>IF(ISNA(VLOOKUP(A33,'Données projet'!$A$269:$I$289,3,0)),0,VLOOKUP(A33,'Données projet'!$A$269:$I$289,3,0))</f>
        <v>na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128.79999999999998</v>
      </c>
      <c r="O34" s="13">
        <f>N34*VLOOKUP('Données projet'!$B$9,Paramètres!$A$1:$I$89,3,0)*VLOOKUP('Données projet'!$B$9,Paramètres!$A$1:$I$89,5,0)</f>
        <v>112.51968000000001</v>
      </c>
      <c r="P34" s="13">
        <f t="shared" si="33"/>
        <v>29.923856072189899</v>
      </c>
      <c r="Q34" s="20">
        <f t="shared" si="2"/>
        <v>248.08915865906408</v>
      </c>
      <c r="R34" s="59">
        <f t="shared" si="0"/>
        <v>541.42249199239745</v>
      </c>
      <c r="S34" s="59">
        <f ca="1">AVERAGE(OFFSET($R$3,0,0,'Données projet'!$E$9+1,1))-AVERAGE(OFFSET($H$3,0,0,'Données projet'!$E$9+1,1))</f>
        <v>324.86930206492627</v>
      </c>
      <c r="T34" s="59">
        <f t="shared" si="34"/>
        <v>317.03005098025352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0.56202129460413852</v>
      </c>
      <c r="AA34" s="21">
        <f>EXP(-LN(2)/25)*AA33+(1-EXP(-LN(2)/25))/(LN(2)/25)*Calculateur!V34*Calculateur!X34*VLOOKUP('Données projet'!$B$9,Paramètres!$A$1:$I$89,3,0)*0.475*44/12</f>
        <v>4.8727052644589159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5.4347265590630549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8.0564102564102633</v>
      </c>
      <c r="AI34" s="13">
        <f>IF('Données projet'!$A$62&gt;35,AI33+AH34-AQ33,IF(A34&lt;'Données projet'!$A$62,$AF$205^A34,IF(A34='Données projet'!$A$62,'Données projet'!$B$62,AI33+AH34-AQ33)))</f>
        <v>129.94102564102565</v>
      </c>
      <c r="AJ34" s="13">
        <f>AI34*VLOOKUP('Données projet'!$B$10,Paramètres!$A$1:$I$89,3,0)*VLOOKUP('Données projet'!$B$10,Paramètres!$A$1:$I$89,5,0)</f>
        <v>123.65188000000001</v>
      </c>
      <c r="AK34" s="13">
        <f t="shared" si="35"/>
        <v>32.525248576671892</v>
      </c>
      <c r="AL34" s="20">
        <f t="shared" si="4"/>
        <v>272.00849893770356</v>
      </c>
      <c r="AM34" s="59">
        <f t="shared" si="5"/>
        <v>565.34183227103688</v>
      </c>
      <c r="AN34" s="59">
        <f ca="1">AVERAGE(OFFSET($AM$3,0,0,'Données projet'!$E$10+1,1))-AVERAGE(OFFSET($H$3,0,0,'Données projet'!$E$10+1,1))</f>
        <v>401.81944956556271</v>
      </c>
      <c r="AO34" s="59">
        <f t="shared" si="36"/>
        <v>292.20785523952651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155</v>
      </c>
      <c r="BB34" s="12">
        <f>VLOOKUP(A34,'Données projet'!$A$87:$I$107,9,0)</f>
        <v>11.5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154.99999999999994</v>
      </c>
      <c r="BE34" s="13">
        <f>BD34*VLOOKUP('Données projet'!$B$11,Paramètres!$A$1:$I$89,3,0)*VLOOKUP('Données projet'!$B$11,Paramètres!$A$1:$I$89,5,0)</f>
        <v>120.89999999999996</v>
      </c>
      <c r="BF34" s="13">
        <f t="shared" si="37"/>
        <v>31.884818143351602</v>
      </c>
      <c r="BG34" s="20">
        <f t="shared" si="7"/>
        <v>266.10022493300397</v>
      </c>
      <c r="BH34" s="59">
        <f t="shared" si="8"/>
        <v>559.43355826633729</v>
      </c>
      <c r="BI34" s="59">
        <f ca="1">AVERAGE(OFFSET($BH$3,0,0,'Données projet'!$E$11+1,1))-AVERAGE(OFFSET($H$3,0,0,'Données projet'!$E$11+1,1))</f>
        <v>288.80569134263209</v>
      </c>
      <c r="BJ34" s="59">
        <f t="shared" si="38"/>
        <v>283.48738729114024</v>
      </c>
      <c r="BK34" s="15">
        <f>IF(ISNA(VLOOKUP(A34,'Données projet'!$A$87:$I$107,3,0)),0,VLOOKUP(A34,'Données projet'!$A$87:$I$107,3,0))</f>
        <v>4</v>
      </c>
      <c r="BL34" s="15">
        <f>IF(ISNA(VLOOKUP(A34,'Données projet'!$A$87:$I$107,4,0)),0,VLOOKUP(A34,'Données projet'!$A$87:$I$107,4,0))</f>
        <v>35</v>
      </c>
      <c r="BM34" s="16">
        <f>IF(ISNA(VLOOKUP(A34,'Données projet'!$A$87:$I$107,5,0)),0%,VLOOKUP(A34,'Données projet'!$A$87:$I$107,5,0)*VLOOKUP('Données projet'!$B$11,Paramètres!$A$1:$I$89,7,0))</f>
        <v>0.129</v>
      </c>
      <c r="BN34" s="16">
        <f>IF(ISNA(VLOOKUP(A34,'Données projet'!$A$87:$I$107,6,0)),0%,VLOOKUP(A34,'Données projet'!$A$87:$I$107,6,0)*VLOOKUP('Données projet'!$B$11,Paramètres!$A$1:$I$89,7,0))</f>
        <v>0.17200000000000001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3.8931350356011905</v>
      </c>
      <c r="BQ34" s="21">
        <f>EXP(-LN(2)/25)*BQ33+(1-EXP(-LN(2)/25))/(LN(2)/25)*Calculateur!BL34*Calculateur!BN34*VLOOKUP('Données projet'!$B$11,Paramètres!$A$1:$I$89,3,0)*0.475*44/12</f>
        <v>12.795004380992092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16.68813941659328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7.2</v>
      </c>
      <c r="BY34" s="12">
        <f>IF('Données projet'!$A$114&gt;35,BY33+BX34-CG33,IF(A34&lt;'Données projet'!$A$114,$BV$205^A34,IF(A34='Données projet'!$A$114,'Données projet'!$B$114,BY33+BX34-CG33)))</f>
        <v>106.2</v>
      </c>
      <c r="BZ34" s="13">
        <f>BY34*VLOOKUP('Données projet'!$B$12,Paramètres!$A$1:$I$89,3,0)*VLOOKUP('Données projet'!$B$12,Paramètres!$A$1:$I$89,5,0)</f>
        <v>111.00024000000002</v>
      </c>
      <c r="CA34" s="13">
        <f t="shared" si="39"/>
        <v>29.566524620361303</v>
      </c>
      <c r="CB34" s="20">
        <f t="shared" si="10"/>
        <v>244.82044838046261</v>
      </c>
      <c r="CC34" s="59">
        <f t="shared" si="11"/>
        <v>538.15378171379598</v>
      </c>
      <c r="CD34" s="59">
        <f ca="1">AVERAGE(OFFSET($CC$3,0,0,'Données projet'!$E$12+1,1))-AVERAGE(OFFSET($H$3,0,0,'Données projet'!$E$12+1,1))</f>
        <v>352.22281362023102</v>
      </c>
      <c r="CE34" s="59">
        <f t="shared" si="40"/>
        <v>310.2353747925161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5.3369963369963358</v>
      </c>
      <c r="CT34" s="12">
        <f>IF('Données projet'!$A$140&gt;35,CT33+CS34-DB33,IF(A34&lt;'Données projet'!$A$140,$CQ$205^A34,IF(A34='Données projet'!$A$140,'Données projet'!$B$140,CT33+CS34-DB33)))</f>
        <v>93.04212454212454</v>
      </c>
      <c r="CU34" s="17">
        <f>CT34*VLOOKUP('Données projet'!$B$13,Paramètres!$A$1:$I$89,3,0)*VLOOKUP('Données projet'!$B$13,Paramètres!$A$1:$I$89,5,0)</f>
        <v>84.184514285714286</v>
      </c>
      <c r="CV34" s="13">
        <f t="shared" si="41"/>
        <v>23.157263963315572</v>
      </c>
      <c r="CW34" s="20">
        <f t="shared" si="13"/>
        <v>186.95359711706033</v>
      </c>
      <c r="CX34" s="59">
        <f t="shared" si="14"/>
        <v>480.28693045039364</v>
      </c>
      <c r="CY34" s="59">
        <f ca="1">AVERAGE(OFFSET($CX$3,0,0,'Données projet'!$E$13+1,1))-AVERAGE(OFFSET($H$3,0,0,'Données projet'!$E$13+1,1))</f>
        <v>345.49688858037996</v>
      </c>
      <c r="CZ34" s="59">
        <f t="shared" si="42"/>
        <v>213.15872113755023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5.3369963369963358</v>
      </c>
      <c r="DO34" s="12">
        <f>IF('Données projet'!$A$166&gt;35,DO33+DN34-DW33,IF(A34&lt;'Données projet'!$A$166,$DL$205^A34,IF(A34='Données projet'!$A$166,'Données projet'!$B$166,DO33+DN34-DW33)))</f>
        <v>93.04212454212454</v>
      </c>
      <c r="DP34" s="17">
        <f>DO34*VLOOKUP('Données projet'!$B$14,Paramètres!$A$1:$I$89,3,0)*VLOOKUP('Données projet'!$B$14,Paramètres!$A$1:$I$89,5,0)</f>
        <v>94.344714285714289</v>
      </c>
      <c r="DQ34" s="13">
        <f t="shared" si="43"/>
        <v>25.610173041635999</v>
      </c>
      <c r="DR34" s="20">
        <f t="shared" si="16"/>
        <v>208.92142876180176</v>
      </c>
      <c r="DS34" s="59">
        <f t="shared" si="17"/>
        <v>502.25476209513511</v>
      </c>
      <c r="DT34" s="59">
        <f ca="1">AVERAGE(OFFSET($DS$3,0,0,'Données projet'!$E$14+1,1))-AVERAGE(OFFSET($H$3,0,0,'Données projet'!$E$14+1,1))</f>
        <v>382.26108489744581</v>
      </c>
      <c r="DU34" s="59">
        <f t="shared" si="44"/>
        <v>233.89423996158826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>
        <f>VLOOKUP(A34,'Données projet'!$A$191:$I$211,2,0)</f>
        <v>127.64743589743588</v>
      </c>
      <c r="EH34" s="12">
        <f>VLOOKUP(A34,'Données projet'!$A$191:$I$211,9,0)</f>
        <v>8.4487179487179418</v>
      </c>
      <c r="EI34" s="12">
        <f t="array" ref="EI34">INDEX(EH:EH,MIN(IF(ISNUMBER(EH34:EH230),ROW(EH34:EH230),"")))</f>
        <v>8.4487179487179418</v>
      </c>
      <c r="EJ34" s="12">
        <f>IF('Données projet'!$A$192&gt;35,EJ33+EI34-ER33,IF(A34&lt;'Données projet'!$A$192,$EG$205^A34,IF(A34='Données projet'!$A$192,'Données projet'!$B$192,EJ33+EI34-ER33)))</f>
        <v>127.64743589743588</v>
      </c>
      <c r="EK34" s="17">
        <f>EJ34*VLOOKUP('Données projet'!$B$15,Paramètres!$A$1:$I$89,3,0)*VLOOKUP('Données projet'!$B$15,Paramètres!$A$1:$I$89,5,0)</f>
        <v>107.53020000000001</v>
      </c>
      <c r="EL34" s="13">
        <f t="shared" si="45"/>
        <v>28.748313596307579</v>
      </c>
      <c r="EM34" s="20">
        <f t="shared" si="19"/>
        <v>237.35174451356906</v>
      </c>
      <c r="EN34" s="59">
        <f t="shared" si="20"/>
        <v>530.68507784690235</v>
      </c>
      <c r="EO34" s="59">
        <f ca="1">AVERAGE(OFFSET($EN$3,0,0,'Données projet'!$E$15+1,1))-AVERAGE(OFFSET($H$3,0,0,'Données projet'!$E$15+1,1))</f>
        <v>312.48716825299158</v>
      </c>
      <c r="EP34" s="59">
        <f t="shared" si="46"/>
        <v>258.68277822755357</v>
      </c>
      <c r="EQ34" s="15">
        <f>IF(ISNA(VLOOKUP(A34,'Données projet'!$A$191:$I$211,3,0)),0,VLOOKUP(A34,'Données projet'!$A$191:$I$211,3,0))</f>
        <v>1</v>
      </c>
      <c r="ER34" s="15">
        <f>IF(ISNA(VLOOKUP(A34,'Données projet'!$A$191:$I$211,4,0)),0,VLOOKUP(A34,'Données projet'!$A$191:$I$211,4,0))</f>
        <v>58.160256410256409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5.3369963369963358</v>
      </c>
      <c r="FE34" s="12">
        <f>IF('Données projet'!$A$218&gt;35,FE33+FD34-FM33,IF(A34&lt;'Données projet'!$A$218,$FB$205^A34,IF(A34='Données projet'!$A$218,'Données projet'!$B$218,FE33+FD34-FM33)))</f>
        <v>93.04212454212454</v>
      </c>
      <c r="FF34" s="17">
        <f>FE34*VLOOKUP('Données projet'!$B$16,Paramètres!$A$1:$I$89,3,0)*VLOOKUP('Données projet'!$B$16,Paramètres!$A$1:$I$89,5,0)</f>
        <v>100.15054285714285</v>
      </c>
      <c r="FG34" s="13">
        <f t="shared" si="47"/>
        <v>26.997859167564272</v>
      </c>
      <c r="FH34" s="20">
        <f t="shared" si="22"/>
        <v>221.45013352636488</v>
      </c>
      <c r="FI34" s="59">
        <f t="shared" si="23"/>
        <v>514.78346685969814</v>
      </c>
      <c r="FJ34" s="59">
        <f ca="1">AVERAGE(OFFSET($FI$3,0,0,'Données projet'!$E$16+1,1))-AVERAGE(OFFSET($H$3,0,0,'Données projet'!$E$16+1,1))</f>
        <v>403.23110963096246</v>
      </c>
      <c r="FK34" s="59">
        <f t="shared" si="48"/>
        <v>245.72000393124898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5.3369963369963358</v>
      </c>
      <c r="FZ34" s="12">
        <f>IF('Données projet'!$A$244&gt;35,FZ33+FY34-GH33,IF(A34&lt;'Données projet'!$A$244,$FW$205^A34,IF(A34='Données projet'!$A$244,'Données projet'!$B$244,FZ33+FY34-GH33)))</f>
        <v>93.04212454212454</v>
      </c>
      <c r="GA34" s="17">
        <f>FZ34*VLOOKUP('Données projet'!$B$17,Paramètres!$A$1:$I$89,3,0)*VLOOKUP('Données projet'!$B$17,Paramètres!$A$1:$I$89,5,0)</f>
        <v>89.990342857142863</v>
      </c>
      <c r="GB34" s="13">
        <f t="shared" si="49"/>
        <v>24.562895909050297</v>
      </c>
      <c r="GC34" s="20">
        <f t="shared" si="25"/>
        <v>199.51355751778638</v>
      </c>
      <c r="GD34" s="59">
        <f t="shared" si="26"/>
        <v>492.84689085111972</v>
      </c>
      <c r="GE34" s="59">
        <f ca="1">AVERAGE(OFFSET($GD$3,0,0,'Données projet'!$E$17+1,1))-AVERAGE(OFFSET($H$3,0,0,'Données projet'!$E$17+1,1))</f>
        <v>336.2911850338175</v>
      </c>
      <c r="GF34" s="59">
        <f t="shared" si="50"/>
        <v>225.01415116995503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5.3369963369963358</v>
      </c>
      <c r="GU34" s="12">
        <f>IF('Données projet'!$A$270&gt;35,GU33+GT34-HC33,IF(A34&lt;'Données projet'!$A$270,$GR$205^A34,IF(A34='Données projet'!$A$270,'Données projet'!$B$270,GU33+GT34-HC33)))</f>
        <v>93.04212454212454</v>
      </c>
      <c r="GV34" s="17">
        <f>GU34*VLOOKUP('Données projet'!$B$18,Paramètres!$A$1:$I$89,3,0)*VLOOKUP('Données projet'!$B$18,Paramètres!$A$1:$I$89,5,0)</f>
        <v>62.412657142857142</v>
      </c>
      <c r="GW34" s="13">
        <f t="shared" si="51"/>
        <v>17.776857795139641</v>
      </c>
      <c r="GX34" s="20">
        <f t="shared" si="28"/>
        <v>139.66340518367775</v>
      </c>
      <c r="GY34" s="59">
        <f t="shared" si="29"/>
        <v>432.99673851701107</v>
      </c>
      <c r="GZ34" s="59">
        <f ca="1">AVERAGE(OFFSET($GY$3,0,0,'Données projet'!$E$18+1,1))-AVERAGE(OFFSET($H$3,0,0,'Données projet'!$E$18+1,1))</f>
        <v>266.37807768393191</v>
      </c>
      <c r="HA34" s="59">
        <f t="shared" si="52"/>
        <v>168.52019826233425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139.6</v>
      </c>
      <c r="O35" s="13">
        <f>N35*VLOOKUP('Données projet'!$B$9,Paramètres!$A$1:$I$89,3,0)*VLOOKUP('Données projet'!$B$9,Paramètres!$A$1:$I$89,5,0)</f>
        <v>121.95456</v>
      </c>
      <c r="P35" s="13">
        <f t="shared" si="33"/>
        <v>32.130438767300902</v>
      </c>
      <c r="Q35" s="20">
        <f t="shared" ref="Q35:Q66" si="53">(O35+P35)*0.475*44/12</f>
        <v>268.36470618638242</v>
      </c>
      <c r="R35" s="59">
        <f t="shared" si="0"/>
        <v>561.69803951971573</v>
      </c>
      <c r="S35" s="59">
        <f ca="1">AVERAGE(OFFSET($R$3,0,0,'Données projet'!$E$9+1,1))-AVERAGE(OFFSET($H$3,0,0,'Données projet'!$E$9+1,1))</f>
        <v>324.86930206492627</v>
      </c>
      <c r="T35" s="59">
        <f t="shared" si="34"/>
        <v>317.03005098025352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0.5510003998160925</v>
      </c>
      <c r="AA35" s="21">
        <f>EXP(-LN(2)/25)*AA34+(1-EXP(-LN(2)/25))/(LN(2)/25)*Calculateur!V35*Calculateur!X35*VLOOKUP('Données projet'!$B$9,Paramètres!$A$1:$I$89,3,0)*0.475*44/12</f>
        <v>4.7394608827578537</v>
      </c>
      <c r="AB35" s="21">
        <f>EXP(-LN(2)/2)*AB34+(1-EXP(-LN(2)/2))/(LN(2)/2)*V35*Y35*VLOOKUP('Données projet'!$B$9,Paramètres!$A$1:$I$89,3,0)*0.475*44/12</f>
        <v>0</v>
      </c>
      <c r="AC35" s="22">
        <f t="shared" si="3"/>
        <v>5.2904612825739461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8.0564102564102633</v>
      </c>
      <c r="AI35" s="13">
        <f>IF('Données projet'!$A$62&gt;35,AI34+AH35-AQ34,IF(A35&lt;'Données projet'!$A$62,$AF$205^A35,IF(A35='Données projet'!$A$62,'Données projet'!$B$62,AI34+AH35-AQ34)))</f>
        <v>137.99743589743591</v>
      </c>
      <c r="AJ35" s="13">
        <f>AI35*VLOOKUP('Données projet'!$B$10,Paramètres!$A$1:$I$89,3,0)*VLOOKUP('Données projet'!$B$10,Paramètres!$A$1:$I$89,5,0)</f>
        <v>131.31836000000001</v>
      </c>
      <c r="AK35" s="13">
        <f t="shared" si="35"/>
        <v>34.300814494142202</v>
      </c>
      <c r="AL35" s="20">
        <f t="shared" si="4"/>
        <v>288.45339557729767</v>
      </c>
      <c r="AM35" s="59">
        <f t="shared" si="5"/>
        <v>581.78672891063093</v>
      </c>
      <c r="AN35" s="59">
        <f ca="1">AVERAGE(OFFSET($AM$3,0,0,'Données projet'!$E$10+1,1))-AVERAGE(OFFSET($H$3,0,0,'Données projet'!$E$10+1,1))</f>
        <v>401.81944956556271</v>
      </c>
      <c r="AO35" s="59">
        <f t="shared" si="36"/>
        <v>292.20785523952651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11.333333333333334</v>
      </c>
      <c r="BD35" s="12">
        <f>IF('Données projet'!$A$88&gt;35,BD34+BC35-BL34,IF(A35&lt;'Données projet'!$A$88,$BA$205^A35,IF(A35='Données projet'!$A$88,'Données projet'!$B$88,BD34+BC35-BL34)))</f>
        <v>131.33333333333329</v>
      </c>
      <c r="BE35" s="13">
        <f>BD35*VLOOKUP('Données projet'!$B$11,Paramètres!$A$1:$I$89,3,0)*VLOOKUP('Données projet'!$B$11,Paramètres!$A$1:$I$89,5,0)</f>
        <v>102.43999999999997</v>
      </c>
      <c r="BF35" s="13">
        <f t="shared" si="37"/>
        <v>27.542475814398081</v>
      </c>
      <c r="BG35" s="20">
        <f t="shared" si="7"/>
        <v>226.38614537674326</v>
      </c>
      <c r="BH35" s="59">
        <f t="shared" si="8"/>
        <v>519.7194787100766</v>
      </c>
      <c r="BI35" s="59">
        <f ca="1">AVERAGE(OFFSET($BH$3,0,0,'Données projet'!$E$11+1,1))-AVERAGE(OFFSET($H$3,0,0,'Données projet'!$E$11+1,1))</f>
        <v>288.80569134263209</v>
      </c>
      <c r="BJ35" s="59">
        <f t="shared" si="38"/>
        <v>283.48738729114024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3.8167930321309527</v>
      </c>
      <c r="BQ35" s="21">
        <f>EXP(-LN(2)/25)*BQ34+(1-EXP(-LN(2)/25))/(LN(2)/25)*Calculateur!BL35*Calculateur!BN35*VLOOKUP('Données projet'!$B$11,Paramètres!$A$1:$I$89,3,0)*0.475*44/12</f>
        <v>12.445124313333826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16.261917345464781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7.2</v>
      </c>
      <c r="BY35" s="12">
        <f>IF('Données projet'!$A$114&gt;35,BY34+BX35-CG34,IF(A35&lt;'Données projet'!$A$114,$BV$205^A35,IF(A35='Données projet'!$A$114,'Données projet'!$B$114,BY34+BX35-CG34)))</f>
        <v>113.4</v>
      </c>
      <c r="BZ35" s="13">
        <f>BY35*VLOOKUP('Données projet'!$B$12,Paramètres!$A$1:$I$89,3,0)*VLOOKUP('Données projet'!$B$12,Paramètres!$A$1:$I$89,5,0)</f>
        <v>118.52568000000002</v>
      </c>
      <c r="CA35" s="13">
        <f t="shared" si="39"/>
        <v>31.33089135758231</v>
      </c>
      <c r="CB35" s="20">
        <f t="shared" si="10"/>
        <v>261.00019511445589</v>
      </c>
      <c r="CC35" s="59">
        <f t="shared" si="11"/>
        <v>554.33352844778915</v>
      </c>
      <c r="CD35" s="59">
        <f ca="1">AVERAGE(OFFSET($CC$3,0,0,'Données projet'!$E$12+1,1))-AVERAGE(OFFSET($H$3,0,0,'Données projet'!$E$12+1,1))</f>
        <v>352.22281362023102</v>
      </c>
      <c r="CE35" s="59">
        <f t="shared" si="40"/>
        <v>310.2353747925161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5.3369963369963358</v>
      </c>
      <c r="CT35" s="12">
        <f>IF('Données projet'!$A$140&gt;35,CT34+CS35-DB34,IF(A35&lt;'Données projet'!$A$140,$CQ$205^A35,IF(A35='Données projet'!$A$140,'Données projet'!$B$140,CT34+CS35-DB34)))</f>
        <v>98.379120879120876</v>
      </c>
      <c r="CU35" s="17">
        <f>CT35*VLOOKUP('Données projet'!$B$13,Paramètres!$A$1:$I$89,3,0)*VLOOKUP('Données projet'!$B$13,Paramètres!$A$1:$I$89,5,0)</f>
        <v>89.013428571428562</v>
      </c>
      <c r="CV35" s="13">
        <f t="shared" si="41"/>
        <v>24.327135299174682</v>
      </c>
      <c r="CW35" s="20">
        <f t="shared" si="13"/>
        <v>197.40148207463395</v>
      </c>
      <c r="CX35" s="59">
        <f t="shared" si="14"/>
        <v>490.73481540796729</v>
      </c>
      <c r="CY35" s="59">
        <f ca="1">AVERAGE(OFFSET($CX$3,0,0,'Données projet'!$E$13+1,1))-AVERAGE(OFFSET($H$3,0,0,'Données projet'!$E$13+1,1))</f>
        <v>345.49688858037996</v>
      </c>
      <c r="CZ35" s="59">
        <f t="shared" si="42"/>
        <v>213.15872113755023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5.3369963369963358</v>
      </c>
      <c r="DO35" s="12">
        <f>IF('Données projet'!$A$166&gt;35,DO34+DN35-DW34,IF(A35&lt;'Données projet'!$A$166,$DL$205^A35,IF(A35='Données projet'!$A$166,'Données projet'!$B$166,DO34+DN35-DW34)))</f>
        <v>98.379120879120876</v>
      </c>
      <c r="DP35" s="17">
        <f>DO35*VLOOKUP('Données projet'!$B$14,Paramètres!$A$1:$I$89,3,0)*VLOOKUP('Données projet'!$B$14,Paramètres!$A$1:$I$89,5,0)</f>
        <v>99.756428571428572</v>
      </c>
      <c r="DQ35" s="13">
        <f t="shared" si="43"/>
        <v>26.903961780895703</v>
      </c>
      <c r="DR35" s="20">
        <f t="shared" si="16"/>
        <v>220.60017986363141</v>
      </c>
      <c r="DS35" s="59">
        <f t="shared" si="17"/>
        <v>513.93351319696467</v>
      </c>
      <c r="DT35" s="59">
        <f ca="1">AVERAGE(OFFSET($DS$3,0,0,'Données projet'!$E$14+1,1))-AVERAGE(OFFSET($H$3,0,0,'Données projet'!$E$14+1,1))</f>
        <v>382.26108489744581</v>
      </c>
      <c r="DU35" s="59">
        <f t="shared" si="44"/>
        <v>233.89423996158826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9.2371794871794872</v>
      </c>
      <c r="EJ35" s="12">
        <f>IF('Données projet'!$A$192&gt;35,EJ34+EI35-ER34,IF(A35&lt;'Données projet'!$A$192,$EG$205^A35,IF(A35='Données projet'!$A$192,'Données projet'!$B$192,EJ34+EI35-ER34)))</f>
        <v>78.72435897435895</v>
      </c>
      <c r="EK35" s="17">
        <f>EJ35*VLOOKUP('Données projet'!$B$15,Paramètres!$A$1:$I$89,3,0)*VLOOKUP('Données projet'!$B$15,Paramètres!$A$1:$I$89,5,0)</f>
        <v>66.317399999999992</v>
      </c>
      <c r="EL35" s="13">
        <f t="shared" si="45"/>
        <v>18.756081711247788</v>
      </c>
      <c r="EM35" s="20">
        <f t="shared" si="19"/>
        <v>148.16964731375654</v>
      </c>
      <c r="EN35" s="59">
        <f t="shared" si="20"/>
        <v>441.50298064708988</v>
      </c>
      <c r="EO35" s="59">
        <f ca="1">AVERAGE(OFFSET($EN$3,0,0,'Données projet'!$E$15+1,1))-AVERAGE(OFFSET($H$3,0,0,'Données projet'!$E$15+1,1))</f>
        <v>312.48716825299158</v>
      </c>
      <c r="EP35" s="59">
        <f t="shared" si="46"/>
        <v>258.68277822755357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5.3369963369963358</v>
      </c>
      <c r="FE35" s="12">
        <f>IF('Données projet'!$A$218&gt;35,FE34+FD35-FM34,IF(A35&lt;'Données projet'!$A$218,$FB$205^A35,IF(A35='Données projet'!$A$218,'Données projet'!$B$218,FE34+FD35-FM34)))</f>
        <v>98.379120879120876</v>
      </c>
      <c r="FF35" s="17">
        <f>FE35*VLOOKUP('Données projet'!$B$16,Paramètres!$A$1:$I$89,3,0)*VLOOKUP('Données projet'!$B$16,Paramètres!$A$1:$I$89,5,0)</f>
        <v>105.89528571428571</v>
      </c>
      <c r="FG35" s="13">
        <f t="shared" si="47"/>
        <v>28.361751794073548</v>
      </c>
      <c r="FH35" s="20">
        <f t="shared" si="22"/>
        <v>233.83100699372565</v>
      </c>
      <c r="FI35" s="59">
        <f t="shared" si="23"/>
        <v>527.16434032705899</v>
      </c>
      <c r="FJ35" s="59">
        <f ca="1">AVERAGE(OFFSET($FI$3,0,0,'Données projet'!$E$16+1,1))-AVERAGE(OFFSET($H$3,0,0,'Données projet'!$E$16+1,1))</f>
        <v>403.23110963096246</v>
      </c>
      <c r="FK35" s="59">
        <f t="shared" si="48"/>
        <v>245.72000393124898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5.3369963369963358</v>
      </c>
      <c r="FZ35" s="12">
        <f>IF('Données projet'!$A$244&gt;35,FZ34+FY35-GH34,IF(A35&lt;'Données projet'!$A$244,$FW$205^A35,IF(A35='Données projet'!$A$244,'Données projet'!$B$244,FZ34+FY35-GH34)))</f>
        <v>98.379120879120876</v>
      </c>
      <c r="GA35" s="17">
        <f>FZ35*VLOOKUP('Données projet'!$B$17,Paramètres!$A$1:$I$89,3,0)*VLOOKUP('Données projet'!$B$17,Paramètres!$A$1:$I$89,5,0)</f>
        <v>95.152285714285725</v>
      </c>
      <c r="GB35" s="13">
        <f t="shared" si="49"/>
        <v>25.803777728906475</v>
      </c>
      <c r="GC35" s="20">
        <f t="shared" si="25"/>
        <v>210.66514383022638</v>
      </c>
      <c r="GD35" s="59">
        <f t="shared" si="26"/>
        <v>503.9984771635597</v>
      </c>
      <c r="GE35" s="59">
        <f ca="1">AVERAGE(OFFSET($GD$3,0,0,'Données projet'!$E$17+1,1))-AVERAGE(OFFSET($H$3,0,0,'Données projet'!$E$17+1,1))</f>
        <v>336.2911850338175</v>
      </c>
      <c r="GF35" s="59">
        <f t="shared" si="50"/>
        <v>225.01415116995503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5.3369963369963358</v>
      </c>
      <c r="GU35" s="12">
        <f>IF('Données projet'!$A$270&gt;35,GU34+GT35-HC34,IF(A35&lt;'Données projet'!$A$270,$GR$205^A35,IF(A35='Données projet'!$A$270,'Données projet'!$B$270,GU34+GT35-HC34)))</f>
        <v>98.379120879120876</v>
      </c>
      <c r="GV35" s="17">
        <f>GU35*VLOOKUP('Données projet'!$B$18,Paramètres!$A$1:$I$89,3,0)*VLOOKUP('Données projet'!$B$18,Paramètres!$A$1:$I$89,5,0)</f>
        <v>65.992714285714285</v>
      </c>
      <c r="GW35" s="13">
        <f t="shared" si="51"/>
        <v>18.674918827268595</v>
      </c>
      <c r="GX35" s="20">
        <f t="shared" si="28"/>
        <v>147.46279433844518</v>
      </c>
      <c r="GY35" s="59">
        <f t="shared" si="29"/>
        <v>440.79612767177849</v>
      </c>
      <c r="GZ35" s="59">
        <f ca="1">AVERAGE(OFFSET($GY$3,0,0,'Données projet'!$E$18+1,1))-AVERAGE(OFFSET($H$3,0,0,'Données projet'!$E$18+1,1))</f>
        <v>266.37807768393191</v>
      </c>
      <c r="HA35" s="59">
        <f t="shared" si="52"/>
        <v>168.52019826233425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150.4</v>
      </c>
      <c r="O36" s="13">
        <f>N36*VLOOKUP('Données projet'!$B$9,Paramètres!$A$1:$I$89,3,0)*VLOOKUP('Données projet'!$B$9,Paramètres!$A$1:$I$89,5,0)</f>
        <v>131.38944000000004</v>
      </c>
      <c r="P36" s="13">
        <f t="shared" si="33"/>
        <v>34.317219199328761</v>
      </c>
      <c r="Q36" s="20">
        <f t="shared" si="53"/>
        <v>288.60576477216426</v>
      </c>
      <c r="R36" s="59">
        <f t="shared" si="0"/>
        <v>581.93909810549758</v>
      </c>
      <c r="S36" s="59">
        <f ca="1">AVERAGE(OFFSET($R$3,0,0,'Données projet'!$E$9+1,1))-AVERAGE(OFFSET($H$3,0,0,'Données projet'!$E$9+1,1))</f>
        <v>324.86930206492627</v>
      </c>
      <c r="T36" s="59">
        <f t="shared" si="34"/>
        <v>317.03005098025352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0.54019561805275795</v>
      </c>
      <c r="AA36" s="21">
        <f>EXP(-LN(2)/25)*AA35+(1-EXP(-LN(2)/25))/(LN(2)/25)*Calculateur!V36*Calculateur!X36*VLOOKUP('Données projet'!$B$9,Paramètres!$A$1:$I$89,3,0)*0.475*44/12</f>
        <v>4.609860075681425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5.150055693734183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8.0564102564102633</v>
      </c>
      <c r="AI36" s="13">
        <f>IF('Données projet'!$A$62&gt;35,AI35+AH36-AQ35,IF(A36&lt;'Données projet'!$A$62,$AF$205^A36,IF(A36='Données projet'!$A$62,'Données projet'!$B$62,AI35+AH36-AQ35)))</f>
        <v>146.05384615384617</v>
      </c>
      <c r="AJ36" s="13">
        <f>AI36*VLOOKUP('Données projet'!$B$10,Paramètres!$A$1:$I$89,3,0)*VLOOKUP('Données projet'!$B$10,Paramètres!$A$1:$I$89,5,0)</f>
        <v>138.98483999999999</v>
      </c>
      <c r="AK36" s="13">
        <f t="shared" si="35"/>
        <v>36.064348184805787</v>
      </c>
      <c r="AL36" s="20">
        <f t="shared" si="4"/>
        <v>304.87733608853677</v>
      </c>
      <c r="AM36" s="59">
        <f t="shared" si="5"/>
        <v>598.21066942187008</v>
      </c>
      <c r="AN36" s="59">
        <f ca="1">AVERAGE(OFFSET($AM$3,0,0,'Données projet'!$E$10+1,1))-AVERAGE(OFFSET($H$3,0,0,'Données projet'!$E$10+1,1))</f>
        <v>401.81944956556271</v>
      </c>
      <c r="AO36" s="59">
        <f t="shared" si="36"/>
        <v>292.20785523952651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11.333333333333334</v>
      </c>
      <c r="BD36" s="12">
        <f>IF('Données projet'!$A$88&gt;35,BD35+BC36-BL35,IF(A36&lt;'Données projet'!$A$88,$BA$205^A36,IF(A36='Données projet'!$A$88,'Données projet'!$B$88,BD35+BC36-BL35)))</f>
        <v>142.66666666666663</v>
      </c>
      <c r="BE36" s="13">
        <f>BD36*VLOOKUP('Données projet'!$B$11,Paramètres!$A$1:$I$89,3,0)*VLOOKUP('Données projet'!$B$11,Paramètres!$A$1:$I$89,5,0)</f>
        <v>111.27999999999997</v>
      </c>
      <c r="BF36" s="13">
        <f t="shared" si="37"/>
        <v>29.63235919562165</v>
      </c>
      <c r="BG36" s="20">
        <f t="shared" si="7"/>
        <v>245.42235893237435</v>
      </c>
      <c r="BH36" s="59">
        <f t="shared" si="8"/>
        <v>538.75569226570769</v>
      </c>
      <c r="BI36" s="59">
        <f ca="1">AVERAGE(OFFSET($BH$3,0,0,'Données projet'!$E$11+1,1))-AVERAGE(OFFSET($H$3,0,0,'Données projet'!$E$11+1,1))</f>
        <v>288.80569134263209</v>
      </c>
      <c r="BJ36" s="59">
        <f t="shared" si="38"/>
        <v>283.48738729114024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3.7419480487847419</v>
      </c>
      <c r="BQ36" s="21">
        <f>EXP(-LN(2)/25)*BQ35+(1-EXP(-LN(2)/25))/(LN(2)/25)*Calculateur!BL36*Calculateur!BN36*VLOOKUP('Données projet'!$B$11,Paramètres!$A$1:$I$89,3,0)*0.475*44/12</f>
        <v>12.104811734525068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15.84675978330981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7.2</v>
      </c>
      <c r="BY36" s="12">
        <f>IF('Données projet'!$A$114&gt;35,BY35+BX36-CG35,IF(A36&lt;'Données projet'!$A$114,$BV$205^A36,IF(A36='Données projet'!$A$114,'Données projet'!$B$114,BY35+BX36-CG35)))</f>
        <v>120.60000000000001</v>
      </c>
      <c r="BZ36" s="13">
        <f>BY36*VLOOKUP('Données projet'!$B$12,Paramètres!$A$1:$I$89,3,0)*VLOOKUP('Données projet'!$B$12,Paramètres!$A$1:$I$89,5,0)</f>
        <v>126.05112000000001</v>
      </c>
      <c r="CA36" s="13">
        <f t="shared" si="39"/>
        <v>33.082257431983265</v>
      </c>
      <c r="CB36" s="20">
        <f t="shared" si="10"/>
        <v>277.15729902737081</v>
      </c>
      <c r="CC36" s="59">
        <f t="shared" si="11"/>
        <v>570.49063236070413</v>
      </c>
      <c r="CD36" s="59">
        <f ca="1">AVERAGE(OFFSET($CC$3,0,0,'Données projet'!$E$12+1,1))-AVERAGE(OFFSET($H$3,0,0,'Données projet'!$E$12+1,1))</f>
        <v>352.22281362023102</v>
      </c>
      <c r="CE36" s="59">
        <f t="shared" si="40"/>
        <v>310.2353747925161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5.3369963369963358</v>
      </c>
      <c r="CT36" s="12">
        <f>IF('Données projet'!$A$140&gt;35,CT35+CS36-DB35,IF(A36&lt;'Données projet'!$A$140,$CQ$205^A36,IF(A36='Données projet'!$A$140,'Données projet'!$B$140,CT35+CS36-DB35)))</f>
        <v>103.71611721611721</v>
      </c>
      <c r="CU36" s="17">
        <f>CT36*VLOOKUP('Données projet'!$B$13,Paramètres!$A$1:$I$89,3,0)*VLOOKUP('Données projet'!$B$13,Paramètres!$A$1:$I$89,5,0)</f>
        <v>93.842342857142853</v>
      </c>
      <c r="CV36" s="13">
        <f t="shared" si="41"/>
        <v>25.489638806781517</v>
      </c>
      <c r="CW36" s="20">
        <f t="shared" si="13"/>
        <v>207.83653473133492</v>
      </c>
      <c r="CX36" s="59">
        <f t="shared" si="14"/>
        <v>501.16986806466821</v>
      </c>
      <c r="CY36" s="59">
        <f ca="1">AVERAGE(OFFSET($CX$3,0,0,'Données projet'!$E$13+1,1))-AVERAGE(OFFSET($H$3,0,0,'Données projet'!$E$13+1,1))</f>
        <v>345.49688858037996</v>
      </c>
      <c r="CZ36" s="59">
        <f t="shared" si="42"/>
        <v>213.15872113755023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5.3369963369963358</v>
      </c>
      <c r="DO36" s="12">
        <f>IF('Données projet'!$A$166&gt;35,DO35+DN36-DW35,IF(A36&lt;'Données projet'!$A$166,$DL$205^A36,IF(A36='Données projet'!$A$166,'Données projet'!$B$166,DO35+DN36-DW35)))</f>
        <v>103.71611721611721</v>
      </c>
      <c r="DP36" s="17">
        <f>DO36*VLOOKUP('Données projet'!$B$14,Paramètres!$A$1:$I$89,3,0)*VLOOKUP('Données projet'!$B$14,Paramètres!$A$1:$I$89,5,0)</f>
        <v>105.16814285714285</v>
      </c>
      <c r="DQ36" s="13">
        <f t="shared" si="43"/>
        <v>28.189602262365472</v>
      </c>
      <c r="DR36" s="20">
        <f t="shared" si="16"/>
        <v>232.264739416477</v>
      </c>
      <c r="DS36" s="59">
        <f t="shared" si="17"/>
        <v>525.59807274981029</v>
      </c>
      <c r="DT36" s="59">
        <f ca="1">AVERAGE(OFFSET($DS$3,0,0,'Données projet'!$E$14+1,1))-AVERAGE(OFFSET($H$3,0,0,'Données projet'!$E$14+1,1))</f>
        <v>382.26108489744581</v>
      </c>
      <c r="DU36" s="59">
        <f t="shared" si="44"/>
        <v>233.89423996158826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9.2371794871794872</v>
      </c>
      <c r="EJ36" s="12">
        <f>IF('Données projet'!$A$192&gt;35,EJ35+EI36-ER35,IF(A36&lt;'Données projet'!$A$192,$EG$205^A36,IF(A36='Données projet'!$A$192,'Données projet'!$B$192,EJ35+EI36-ER35)))</f>
        <v>87.961538461538439</v>
      </c>
      <c r="EK36" s="17">
        <f>EJ36*VLOOKUP('Données projet'!$B$15,Paramètres!$A$1:$I$89,3,0)*VLOOKUP('Données projet'!$B$15,Paramètres!$A$1:$I$89,5,0)</f>
        <v>74.098799999999997</v>
      </c>
      <c r="EL36" s="13">
        <f t="shared" si="45"/>
        <v>20.687938616415433</v>
      </c>
      <c r="EM36" s="20">
        <f t="shared" si="19"/>
        <v>165.08690309025687</v>
      </c>
      <c r="EN36" s="59">
        <f t="shared" si="20"/>
        <v>458.42023642359015</v>
      </c>
      <c r="EO36" s="59">
        <f ca="1">AVERAGE(OFFSET($EN$3,0,0,'Données projet'!$E$15+1,1))-AVERAGE(OFFSET($H$3,0,0,'Données projet'!$E$15+1,1))</f>
        <v>312.48716825299158</v>
      </c>
      <c r="EP36" s="59">
        <f t="shared" si="46"/>
        <v>258.68277822755357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5.3369963369963358</v>
      </c>
      <c r="FE36" s="12">
        <f>IF('Données projet'!$A$218&gt;35,FE35+FD36-FM35,IF(A36&lt;'Données projet'!$A$218,$FB$205^A36,IF(A36='Données projet'!$A$218,'Données projet'!$B$218,FE35+FD36-FM35)))</f>
        <v>103.71611721611721</v>
      </c>
      <c r="FF36" s="17">
        <f>FE36*VLOOKUP('Données projet'!$B$16,Paramètres!$A$1:$I$89,3,0)*VLOOKUP('Données projet'!$B$16,Paramètres!$A$1:$I$89,5,0)</f>
        <v>111.64002857142856</v>
      </c>
      <c r="FG36" s="13">
        <f t="shared" si="47"/>
        <v>29.717054649794633</v>
      </c>
      <c r="FH36" s="20">
        <f t="shared" si="22"/>
        <v>246.19691994363038</v>
      </c>
      <c r="FI36" s="59">
        <f t="shared" si="23"/>
        <v>539.53025327696366</v>
      </c>
      <c r="FJ36" s="59">
        <f ca="1">AVERAGE(OFFSET($FI$3,0,0,'Données projet'!$E$16+1,1))-AVERAGE(OFFSET($H$3,0,0,'Données projet'!$E$16+1,1))</f>
        <v>403.23110963096246</v>
      </c>
      <c r="FK36" s="59">
        <f t="shared" si="48"/>
        <v>245.72000393124898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5.3369963369963358</v>
      </c>
      <c r="FZ36" s="12">
        <f>IF('Données projet'!$A$244&gt;35,FZ35+FY36-GH35,IF(A36&lt;'Données projet'!$A$244,$FW$205^A36,IF(A36='Données projet'!$A$244,'Données projet'!$B$244,FZ35+FY36-GH35)))</f>
        <v>103.71611721611721</v>
      </c>
      <c r="GA36" s="17">
        <f>FZ36*VLOOKUP('Données projet'!$B$17,Paramètres!$A$1:$I$89,3,0)*VLOOKUP('Données projet'!$B$17,Paramètres!$A$1:$I$89,5,0)</f>
        <v>100.31422857142856</v>
      </c>
      <c r="GB36" s="13">
        <f t="shared" si="49"/>
        <v>27.036844497782397</v>
      </c>
      <c r="GC36" s="20">
        <f t="shared" si="25"/>
        <v>221.80311892887573</v>
      </c>
      <c r="GD36" s="59">
        <f t="shared" si="26"/>
        <v>515.1364522622091</v>
      </c>
      <c r="GE36" s="59">
        <f ca="1">AVERAGE(OFFSET($GD$3,0,0,'Données projet'!$E$17+1,1))-AVERAGE(OFFSET($H$3,0,0,'Données projet'!$E$17+1,1))</f>
        <v>336.2911850338175</v>
      </c>
      <c r="GF36" s="59">
        <f t="shared" si="50"/>
        <v>225.01415116995503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5.3369963369963358</v>
      </c>
      <c r="GU36" s="12">
        <f>IF('Données projet'!$A$270&gt;35,GU35+GT36-HC35,IF(A36&lt;'Données projet'!$A$270,$GR$205^A36,IF(A36='Données projet'!$A$270,'Données projet'!$B$270,GU35+GT36-HC35)))</f>
        <v>103.71611721611721</v>
      </c>
      <c r="GV36" s="17">
        <f>GU36*VLOOKUP('Données projet'!$B$18,Paramètres!$A$1:$I$89,3,0)*VLOOKUP('Données projet'!$B$18,Paramètres!$A$1:$I$89,5,0)</f>
        <v>69.572771428571428</v>
      </c>
      <c r="GW36" s="13">
        <f t="shared" si="51"/>
        <v>19.567323887461143</v>
      </c>
      <c r="GX36" s="20">
        <f t="shared" si="28"/>
        <v>155.25233267542339</v>
      </c>
      <c r="GY36" s="59">
        <f t="shared" si="29"/>
        <v>448.58566600875668</v>
      </c>
      <c r="GZ36" s="59">
        <f ca="1">AVERAGE(OFFSET($GY$3,0,0,'Données projet'!$E$18+1,1))-AVERAGE(OFFSET($H$3,0,0,'Données projet'!$E$18+1,1))</f>
        <v>266.37807768393191</v>
      </c>
      <c r="HA36" s="59">
        <f t="shared" si="52"/>
        <v>168.52019826233425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161.20000000000002</v>
      </c>
      <c r="O37" s="13">
        <f>N37*VLOOKUP('Données projet'!$B$9,Paramètres!$A$1:$I$89,3,0)*VLOOKUP('Données projet'!$B$9,Paramètres!$A$1:$I$89,5,0)</f>
        <v>140.82432000000003</v>
      </c>
      <c r="P37" s="13">
        <f t="shared" si="33"/>
        <v>36.485781060837802</v>
      </c>
      <c r="Q37" s="20">
        <f t="shared" si="53"/>
        <v>308.81509268095925</v>
      </c>
      <c r="R37" s="59">
        <f t="shared" si="0"/>
        <v>602.14842601429257</v>
      </c>
      <c r="S37" s="59">
        <f ca="1">AVERAGE(OFFSET($R$3,0,0,'Données projet'!$E$9+1,1))-AVERAGE(OFFSET($H$3,0,0,'Données projet'!$E$9+1,1))</f>
        <v>324.86930206492627</v>
      </c>
      <c r="T37" s="59">
        <f t="shared" si="34"/>
        <v>317.03005098025352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0.5296027114695363</v>
      </c>
      <c r="AA37" s="21">
        <f>EXP(-LN(2)/25)*AA36+(1-EXP(-LN(2)/25))/(LN(2)/25)*Calculateur!V37*Calculateur!X37*VLOOKUP('Données projet'!$B$9,Paramètres!$A$1:$I$89,3,0)*0.475*44/12</f>
        <v>4.4838032094899107</v>
      </c>
      <c r="AB37" s="21">
        <f>EXP(-LN(2)/2)*AB36+(1-EXP(-LN(2)/2))/(LN(2)/2)*V37*Y37*VLOOKUP('Données projet'!$B$9,Paramètres!$A$1:$I$89,3,0)*0.475*44/12</f>
        <v>0</v>
      </c>
      <c r="AC37" s="22">
        <f t="shared" si="3"/>
        <v>5.013405920959447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8.0564102564102633</v>
      </c>
      <c r="AI37" s="13">
        <f>IF('Données projet'!$A$62&gt;35,AI36+AH37-AQ36,IF(A37&lt;'Données projet'!$A$62,$AF$205^A37,IF(A37='Données projet'!$A$62,'Données projet'!$B$62,AI36+AH37-AQ36)))</f>
        <v>154.11025641025643</v>
      </c>
      <c r="AJ37" s="13">
        <f>AI37*VLOOKUP('Données projet'!$B$10,Paramètres!$A$1:$I$89,3,0)*VLOOKUP('Données projet'!$B$10,Paramètres!$A$1:$I$89,5,0)</f>
        <v>146.65132000000003</v>
      </c>
      <c r="AK37" s="13">
        <f t="shared" si="35"/>
        <v>37.816589004413501</v>
      </c>
      <c r="AL37" s="20">
        <f t="shared" si="4"/>
        <v>321.28160818268685</v>
      </c>
      <c r="AM37" s="59">
        <f t="shared" si="5"/>
        <v>614.61494151602017</v>
      </c>
      <c r="AN37" s="59">
        <f ca="1">AVERAGE(OFFSET($AM$3,0,0,'Données projet'!$E$10+1,1))-AVERAGE(OFFSET($H$3,0,0,'Données projet'!$E$10+1,1))</f>
        <v>401.81944956556271</v>
      </c>
      <c r="AO37" s="59">
        <f t="shared" si="36"/>
        <v>292.20785523952651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11.333333333333334</v>
      </c>
      <c r="BD37" s="12">
        <f>IF('Données projet'!$A$88&gt;35,BD36+BC37-BL36,IF(A37&lt;'Données projet'!$A$88,$BA$205^A37,IF(A37='Données projet'!$A$88,'Données projet'!$B$88,BD36+BC37-BL36)))</f>
        <v>153.99999999999997</v>
      </c>
      <c r="BE37" s="13">
        <f>BD37*VLOOKUP('Données projet'!$B$11,Paramètres!$A$1:$I$89,3,0)*VLOOKUP('Données projet'!$B$11,Paramètres!$A$1:$I$89,5,0)</f>
        <v>120.11999999999998</v>
      </c>
      <c r="BF37" s="13">
        <f t="shared" si="37"/>
        <v>31.702985695201871</v>
      </c>
      <c r="BG37" s="20">
        <f t="shared" si="7"/>
        <v>264.42503341914323</v>
      </c>
      <c r="BH37" s="59">
        <f t="shared" si="8"/>
        <v>557.7583667524766</v>
      </c>
      <c r="BI37" s="59">
        <f ca="1">AVERAGE(OFFSET($BH$3,0,0,'Données projet'!$E$11+1,1))-AVERAGE(OFFSET($H$3,0,0,'Données projet'!$E$11+1,1))</f>
        <v>288.80569134263209</v>
      </c>
      <c r="BJ37" s="59">
        <f t="shared" si="38"/>
        <v>283.48738729114024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3.6685707299110182</v>
      </c>
      <c r="BQ37" s="21">
        <f>EXP(-LN(2)/25)*BQ36+(1-EXP(-LN(2)/25))/(LN(2)/25)*Calculateur!BL37*Calculateur!BN37*VLOOKUP('Données projet'!$B$11,Paramètres!$A$1:$I$89,3,0)*0.475*44/12</f>
        <v>11.773805021080097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15.442375750991115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7.2</v>
      </c>
      <c r="BY37" s="12">
        <f>IF('Données projet'!$A$114&gt;35,BY36+BX37-CG36,IF(A37&lt;'Données projet'!$A$114,$BV$205^A37,IF(A37='Données projet'!$A$114,'Données projet'!$B$114,BY36+BX37-CG36)))</f>
        <v>127.80000000000001</v>
      </c>
      <c r="BZ37" s="13">
        <f>BY37*VLOOKUP('Données projet'!$B$12,Paramètres!$A$1:$I$89,3,0)*VLOOKUP('Données projet'!$B$12,Paramètres!$A$1:$I$89,5,0)</f>
        <v>133.57656000000003</v>
      </c>
      <c r="CA37" s="13">
        <f t="shared" si="39"/>
        <v>34.821487400887904</v>
      </c>
      <c r="CB37" s="20">
        <f t="shared" si="10"/>
        <v>293.29326588987982</v>
      </c>
      <c r="CC37" s="59">
        <f t="shared" si="11"/>
        <v>586.62659922321313</v>
      </c>
      <c r="CD37" s="59">
        <f ca="1">AVERAGE(OFFSET($CC$3,0,0,'Données projet'!$E$12+1,1))-AVERAGE(OFFSET($H$3,0,0,'Données projet'!$E$12+1,1))</f>
        <v>352.22281362023102</v>
      </c>
      <c r="CE37" s="59">
        <f t="shared" si="40"/>
        <v>310.2353747925161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5.3369963369963358</v>
      </c>
      <c r="CT37" s="12">
        <f>IF('Données projet'!$A$140&gt;35,CT36+CS37-DB36,IF(A37&lt;'Données projet'!$A$140,$CQ$205^A37,IF(A37='Données projet'!$A$140,'Données projet'!$B$140,CT36+CS37-DB36)))</f>
        <v>109.05311355311355</v>
      </c>
      <c r="CU37" s="17">
        <f>CT37*VLOOKUP('Données projet'!$B$13,Paramètres!$A$1:$I$89,3,0)*VLOOKUP('Données projet'!$B$13,Paramètres!$A$1:$I$89,5,0)</f>
        <v>98.671257142857144</v>
      </c>
      <c r="CV37" s="13">
        <f t="shared" si="41"/>
        <v>26.645196865813876</v>
      </c>
      <c r="CW37" s="20">
        <f t="shared" si="13"/>
        <v>218.25949073176866</v>
      </c>
      <c r="CX37" s="59">
        <f t="shared" si="14"/>
        <v>511.59282406510198</v>
      </c>
      <c r="CY37" s="59">
        <f ca="1">AVERAGE(OFFSET($CX$3,0,0,'Données projet'!$E$13+1,1))-AVERAGE(OFFSET($H$3,0,0,'Données projet'!$E$13+1,1))</f>
        <v>345.49688858037996</v>
      </c>
      <c r="CZ37" s="59">
        <f t="shared" si="42"/>
        <v>213.15872113755023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5.3369963369963358</v>
      </c>
      <c r="DO37" s="12">
        <f>IF('Données projet'!$A$166&gt;35,DO36+DN37-DW36,IF(A37&lt;'Données projet'!$A$166,$DL$205^A37,IF(A37='Données projet'!$A$166,'Données projet'!$B$166,DO36+DN37-DW36)))</f>
        <v>109.05311355311355</v>
      </c>
      <c r="DP37" s="17">
        <f>DO37*VLOOKUP('Données projet'!$B$14,Paramètres!$A$1:$I$89,3,0)*VLOOKUP('Données projet'!$B$14,Paramètres!$A$1:$I$89,5,0)</f>
        <v>110.57985714285715</v>
      </c>
      <c r="DQ37" s="13">
        <f t="shared" si="43"/>
        <v>29.467561605850825</v>
      </c>
      <c r="DR37" s="20">
        <f t="shared" si="16"/>
        <v>243.91592098733301</v>
      </c>
      <c r="DS37" s="59">
        <f t="shared" si="17"/>
        <v>537.2492543206663</v>
      </c>
      <c r="DT37" s="59">
        <f ca="1">AVERAGE(OFFSET($DS$3,0,0,'Données projet'!$E$14+1,1))-AVERAGE(OFFSET($H$3,0,0,'Données projet'!$E$14+1,1))</f>
        <v>382.26108489744581</v>
      </c>
      <c r="DU37" s="59">
        <f t="shared" si="44"/>
        <v>233.89423996158826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9.2371794871794872</v>
      </c>
      <c r="EJ37" s="12">
        <f>IF('Données projet'!$A$192&gt;35,EJ36+EI37-ER36,IF(A37&lt;'Données projet'!$A$192,$EG$205^A37,IF(A37='Données projet'!$A$192,'Données projet'!$B$192,EJ36+EI37-ER36)))</f>
        <v>97.198717948717928</v>
      </c>
      <c r="EK37" s="17">
        <f>EJ37*VLOOKUP('Données projet'!$B$15,Paramètres!$A$1:$I$89,3,0)*VLOOKUP('Données projet'!$B$15,Paramètres!$A$1:$I$89,5,0)</f>
        <v>81.880199999999988</v>
      </c>
      <c r="EL37" s="13">
        <f t="shared" si="45"/>
        <v>22.596279411470338</v>
      </c>
      <c r="EM37" s="20">
        <f t="shared" si="19"/>
        <v>181.96320164164413</v>
      </c>
      <c r="EN37" s="59">
        <f t="shared" si="20"/>
        <v>475.29653497497748</v>
      </c>
      <c r="EO37" s="59">
        <f ca="1">AVERAGE(OFFSET($EN$3,0,0,'Données projet'!$E$15+1,1))-AVERAGE(OFFSET($H$3,0,0,'Données projet'!$E$15+1,1))</f>
        <v>312.48716825299158</v>
      </c>
      <c r="EP37" s="59">
        <f t="shared" si="46"/>
        <v>258.68277822755357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5.3369963369963358</v>
      </c>
      <c r="FE37" s="12">
        <f>IF('Données projet'!$A$218&gt;35,FE36+FD37-FM36,IF(A37&lt;'Données projet'!$A$218,$FB$205^A37,IF(A37='Données projet'!$A$218,'Données projet'!$B$218,FE36+FD37-FM36)))</f>
        <v>109.05311355311355</v>
      </c>
      <c r="FF37" s="17">
        <f>FE37*VLOOKUP('Données projet'!$B$16,Paramètres!$A$1:$I$89,3,0)*VLOOKUP('Données projet'!$B$16,Paramètres!$A$1:$I$89,5,0)</f>
        <v>117.38477142857143</v>
      </c>
      <c r="FG37" s="13">
        <f t="shared" si="47"/>
        <v>31.064260165399627</v>
      </c>
      <c r="FH37" s="20">
        <f t="shared" si="22"/>
        <v>258.54873002616625</v>
      </c>
      <c r="FI37" s="59">
        <f t="shared" si="23"/>
        <v>551.88206335949963</v>
      </c>
      <c r="FJ37" s="59">
        <f ca="1">AVERAGE(OFFSET($FI$3,0,0,'Données projet'!$E$16+1,1))-AVERAGE(OFFSET($H$3,0,0,'Données projet'!$E$16+1,1))</f>
        <v>403.23110963096246</v>
      </c>
      <c r="FK37" s="59">
        <f t="shared" si="48"/>
        <v>245.72000393124898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5.3369963369963358</v>
      </c>
      <c r="FZ37" s="12">
        <f>IF('Données projet'!$A$244&gt;35,FZ36+FY37-GH36,IF(A37&lt;'Données projet'!$A$244,$FW$205^A37,IF(A37='Données projet'!$A$244,'Données projet'!$B$244,FZ36+FY37-GH36)))</f>
        <v>109.05311355311355</v>
      </c>
      <c r="GA37" s="17">
        <f>FZ37*VLOOKUP('Données projet'!$B$17,Paramètres!$A$1:$I$89,3,0)*VLOOKUP('Données projet'!$B$17,Paramètres!$A$1:$I$89,5,0)</f>
        <v>105.47617142857143</v>
      </c>
      <c r="GB37" s="13">
        <f t="shared" si="49"/>
        <v>28.262544233547384</v>
      </c>
      <c r="GC37" s="20">
        <f t="shared" si="25"/>
        <v>232.92826311152359</v>
      </c>
      <c r="GD37" s="59">
        <f t="shared" si="26"/>
        <v>526.26159644485688</v>
      </c>
      <c r="GE37" s="59">
        <f ca="1">AVERAGE(OFFSET($GD$3,0,0,'Données projet'!$E$17+1,1))-AVERAGE(OFFSET($H$3,0,0,'Données projet'!$E$17+1,1))</f>
        <v>336.2911850338175</v>
      </c>
      <c r="GF37" s="59">
        <f t="shared" si="50"/>
        <v>225.01415116995503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5.3369963369963358</v>
      </c>
      <c r="GU37" s="12">
        <f>IF('Données projet'!$A$270&gt;35,GU36+GT37-HC36,IF(A37&lt;'Données projet'!$A$270,$GR$205^A37,IF(A37='Données projet'!$A$270,'Données projet'!$B$270,GU36+GT37-HC36)))</f>
        <v>109.05311355311355</v>
      </c>
      <c r="GV37" s="17">
        <f>GU37*VLOOKUP('Données projet'!$B$18,Paramètres!$A$1:$I$89,3,0)*VLOOKUP('Données projet'!$B$18,Paramètres!$A$1:$I$89,5,0)</f>
        <v>73.152828571428572</v>
      </c>
      <c r="GW37" s="13">
        <f t="shared" si="51"/>
        <v>20.454397218835151</v>
      </c>
      <c r="GX37" s="20">
        <f t="shared" si="28"/>
        <v>163.03258491804266</v>
      </c>
      <c r="GY37" s="59">
        <f t="shared" si="29"/>
        <v>456.365918251376</v>
      </c>
      <c r="GZ37" s="59">
        <f ca="1">AVERAGE(OFFSET($GY$3,0,0,'Données projet'!$E$18+1,1))-AVERAGE(OFFSET($H$3,0,0,'Données projet'!$E$18+1,1))</f>
        <v>266.37807768393191</v>
      </c>
      <c r="HA37" s="59">
        <f t="shared" si="52"/>
        <v>168.52019826233425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172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172.00000000000003</v>
      </c>
      <c r="O38" s="13">
        <f>N38*VLOOKUP('Données projet'!$B$9,Paramètres!$A$1:$I$89,3,0)*VLOOKUP('Données projet'!$B$9,Paramètres!$A$1:$I$89,5,0)</f>
        <v>150.25920000000005</v>
      </c>
      <c r="P38" s="13">
        <f t="shared" si="33"/>
        <v>38.637483830798729</v>
      </c>
      <c r="Q38" s="20">
        <f t="shared" si="53"/>
        <v>328.99505767197456</v>
      </c>
      <c r="R38" s="59">
        <f t="shared" si="0"/>
        <v>622.32839100530782</v>
      </c>
      <c r="S38" s="59">
        <f ca="1">AVERAGE(OFFSET($R$3,0,0,'Données projet'!$E$9+1,1))-AVERAGE(OFFSET($H$3,0,0,'Données projet'!$E$9+1,1))</f>
        <v>324.86930206492627</v>
      </c>
      <c r="T38" s="59">
        <f t="shared" si="34"/>
        <v>317.03005098025352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9.5399999999999999E-2</v>
      </c>
      <c r="X38" s="16">
        <f>IF(ISNA(VLOOKUP(A38,'Données projet'!$A$35:$I$55,6,0)),0%,VLOOKUP(A38,'Données projet'!$A$35:$I$55,6,0)*VLOOKUP('Données projet'!$B$9,Paramètres!$A$1:$I$89,7,0))</f>
        <v>0.22790000000000002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3.0988993379368091</v>
      </c>
      <c r="AA38" s="21">
        <f>EXP(-LN(2)/25)*AA37+(1-EXP(-LN(2)/25))/(LN(2)/25)*Calculateur!V38*Calculateur!X38*VLOOKUP('Données projet'!$B$9,Paramètres!$A$1:$I$89,3,0)*0.475*44/12</f>
        <v>10.499502195066654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13.598401533003463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162.16666666666669</v>
      </c>
      <c r="AG38" s="12">
        <f>VLOOKUP(A38,'Données projet'!$A$61:$I$81,9,0)</f>
        <v>8.0564102564102633</v>
      </c>
      <c r="AH38" s="12">
        <f t="array" ref="AH38">INDEX(AG:AG,MIN(IF(ISNUMBER(AG38:AG234),ROW(AG38:AG234),"")))</f>
        <v>8.0564102564102633</v>
      </c>
      <c r="AI38" s="13">
        <f>IF('Données projet'!$A$62&gt;35,AI37+AH38-AQ37,IF(A38&lt;'Données projet'!$A$62,$AF$205^A38,IF(A38='Données projet'!$A$62,'Données projet'!$B$62,AI37+AH38-AQ37)))</f>
        <v>162.16666666666669</v>
      </c>
      <c r="AJ38" s="13">
        <f>AI38*VLOOKUP('Données projet'!$B$10,Paramètres!$A$1:$I$89,3,0)*VLOOKUP('Données projet'!$B$10,Paramètres!$A$1:$I$89,5,0)</f>
        <v>154.31780000000003</v>
      </c>
      <c r="AK38" s="13">
        <f t="shared" si="35"/>
        <v>39.558194640139106</v>
      </c>
      <c r="AL38" s="20">
        <f t="shared" si="4"/>
        <v>337.66735733157566</v>
      </c>
      <c r="AM38" s="59">
        <f t="shared" si="5"/>
        <v>631.00069066490892</v>
      </c>
      <c r="AN38" s="59">
        <f ca="1">AVERAGE(OFFSET($AM$3,0,0,'Données projet'!$E$10+1,1))-AVERAGE(OFFSET($H$3,0,0,'Données projet'!$E$10+1,1))</f>
        <v>401.81944956556271</v>
      </c>
      <c r="AO38" s="59">
        <f t="shared" si="36"/>
        <v>292.20785523952651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60.602564102564102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11.333333333333334</v>
      </c>
      <c r="BD38" s="12">
        <f>IF('Données projet'!$A$88&gt;35,BD37+BC38-BL37,IF(A38&lt;'Données projet'!$A$88,$BA$205^A38,IF(A38='Données projet'!$A$88,'Données projet'!$B$88,BD37+BC38-BL37)))</f>
        <v>165.33333333333331</v>
      </c>
      <c r="BE38" s="13">
        <f>BD38*VLOOKUP('Données projet'!$B$11,Paramètres!$A$1:$I$89,3,0)*VLOOKUP('Données projet'!$B$11,Paramètres!$A$1:$I$89,5,0)</f>
        <v>128.95999999999998</v>
      </c>
      <c r="BF38" s="13">
        <f t="shared" si="37"/>
        <v>33.755933643031135</v>
      </c>
      <c r="BG38" s="20">
        <f t="shared" si="7"/>
        <v>283.39691776161254</v>
      </c>
      <c r="BH38" s="59">
        <f t="shared" si="8"/>
        <v>576.73025109494586</v>
      </c>
      <c r="BI38" s="59">
        <f ca="1">AVERAGE(OFFSET($BH$3,0,0,'Données projet'!$E$11+1,1))-AVERAGE(OFFSET($H$3,0,0,'Données projet'!$E$11+1,1))</f>
        <v>288.80569134263209</v>
      </c>
      <c r="BJ38" s="59">
        <f t="shared" si="38"/>
        <v>283.48738729114024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3.596632295504663</v>
      </c>
      <c r="BQ38" s="21">
        <f>EXP(-LN(2)/25)*BQ37+(1-EXP(-LN(2)/25))/(LN(2)/25)*Calculateur!BL38*Calculateur!BN38*VLOOKUP('Données projet'!$B$11,Paramètres!$A$1:$I$89,3,0)*0.475*44/12</f>
        <v>11.451849703621166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15.04848199912583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135</v>
      </c>
      <c r="BW38" s="12">
        <f>VLOOKUP(A38,'Données projet'!$A$113:$I$133,9,0)</f>
        <v>7.2</v>
      </c>
      <c r="BX38" s="12">
        <f t="array" ref="BX38">INDEX(BW:BW,MIN(IF(ISNUMBER(BW38:BW234),ROW(BW38:BW234),"")))</f>
        <v>7.2</v>
      </c>
      <c r="BY38" s="12">
        <f>IF('Données projet'!$A$114&gt;35,BY37+BX38-CG37,IF(A38&lt;'Données projet'!$A$114,$BV$205^A38,IF(A38='Données projet'!$A$114,'Données projet'!$B$114,BY37+BX38-CG37)))</f>
        <v>135</v>
      </c>
      <c r="BZ38" s="13">
        <f>BY38*VLOOKUP('Données projet'!$B$12,Paramètres!$A$1:$I$89,3,0)*VLOOKUP('Données projet'!$B$12,Paramètres!$A$1:$I$89,5,0)</f>
        <v>141.102</v>
      </c>
      <c r="CA38" s="13">
        <f t="shared" si="39"/>
        <v>36.549342904663185</v>
      </c>
      <c r="CB38" s="20">
        <f t="shared" si="10"/>
        <v>309.40942222562171</v>
      </c>
      <c r="CC38" s="59">
        <f t="shared" si="11"/>
        <v>602.74275555895497</v>
      </c>
      <c r="CD38" s="59">
        <f ca="1">AVERAGE(OFFSET($CC$3,0,0,'Données projet'!$E$12+1,1))-AVERAGE(OFFSET($H$3,0,0,'Données projet'!$E$12+1,1))</f>
        <v>352.22281362023102</v>
      </c>
      <c r="CE38" s="59">
        <f t="shared" si="40"/>
        <v>310.2353747925161</v>
      </c>
      <c r="CF38" s="15">
        <f>IF(ISNA(VLOOKUP(A38,'Données projet'!$A$113:$I$133,3,0)),0,VLOOKUP(A38,'Données projet'!$A$113:$I$133,3,0))</f>
        <v>4</v>
      </c>
      <c r="CG38" s="15" t="str">
        <f>IF(ISNA(VLOOKUP(A38,'Données projet'!$A$113:$I$133,4,0)),0,VLOOKUP(A38,'Données projet'!$A$113:$I$133,4,0))</f>
        <v>20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5.3369963369963358</v>
      </c>
      <c r="CT38" s="12">
        <f>IF('Données projet'!$A$140&gt;35,CT37+CS38-DB37,IF(A38&lt;'Données projet'!$A$140,$CQ$205^A38,IF(A38='Données projet'!$A$140,'Données projet'!$B$140,CT37+CS38-DB37)))</f>
        <v>114.39010989010988</v>
      </c>
      <c r="CU38" s="17">
        <f>CT38*VLOOKUP('Données projet'!$B$13,Paramètres!$A$1:$I$89,3,0)*VLOOKUP('Données projet'!$B$13,Paramètres!$A$1:$I$89,5,0)</f>
        <v>103.50017142857141</v>
      </c>
      <c r="CV38" s="13">
        <f t="shared" si="41"/>
        <v>27.794188178262466</v>
      </c>
      <c r="CW38" s="20">
        <f t="shared" si="13"/>
        <v>228.67100964856897</v>
      </c>
      <c r="CX38" s="59">
        <f t="shared" si="14"/>
        <v>522.00434298190225</v>
      </c>
      <c r="CY38" s="59">
        <f ca="1">AVERAGE(OFFSET($CX$3,0,0,'Données projet'!$E$13+1,1))-AVERAGE(OFFSET($H$3,0,0,'Données projet'!$E$13+1,1))</f>
        <v>345.49688858037996</v>
      </c>
      <c r="CZ38" s="59">
        <f t="shared" si="42"/>
        <v>213.15872113755023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5.3369963369963358</v>
      </c>
      <c r="DO38" s="12">
        <f>IF('Données projet'!$A$166&gt;35,DO37+DN38-DW37,IF(A38&lt;'Données projet'!$A$166,$DL$205^A38,IF(A38='Données projet'!$A$166,'Données projet'!$B$166,DO37+DN38-DW37)))</f>
        <v>114.39010989010988</v>
      </c>
      <c r="DP38" s="17">
        <f>DO38*VLOOKUP('Données projet'!$B$14,Paramètres!$A$1:$I$89,3,0)*VLOOKUP('Données projet'!$B$14,Paramètres!$A$1:$I$89,5,0)</f>
        <v>115.99157142857143</v>
      </c>
      <c r="DQ38" s="13">
        <f t="shared" si="43"/>
        <v>30.738258626956586</v>
      </c>
      <c r="DR38" s="20">
        <f t="shared" si="16"/>
        <v>255.55445401337798</v>
      </c>
      <c r="DS38" s="59">
        <f t="shared" si="17"/>
        <v>548.88778734671132</v>
      </c>
      <c r="DT38" s="59">
        <f ca="1">AVERAGE(OFFSET($DS$3,0,0,'Données projet'!$E$14+1,1))-AVERAGE(OFFSET($H$3,0,0,'Données projet'!$E$14+1,1))</f>
        <v>382.26108489744581</v>
      </c>
      <c r="DU38" s="59">
        <f t="shared" si="44"/>
        <v>233.89423996158826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9.2371794871794872</v>
      </c>
      <c r="EJ38" s="12">
        <f>IF('Données projet'!$A$192&gt;35,EJ37+EI38-ER37,IF(A38&lt;'Données projet'!$A$192,$EG$205^A38,IF(A38='Données projet'!$A$192,'Données projet'!$B$192,EJ37+EI38-ER37)))</f>
        <v>106.43589743589742</v>
      </c>
      <c r="EK38" s="17">
        <f>EJ38*VLOOKUP('Données projet'!$B$15,Paramètres!$A$1:$I$89,3,0)*VLOOKUP('Données projet'!$B$15,Paramètres!$A$1:$I$89,5,0)</f>
        <v>89.661599999999993</v>
      </c>
      <c r="EL38" s="13">
        <f t="shared" si="45"/>
        <v>24.483593177784687</v>
      </c>
      <c r="EM38" s="20">
        <f t="shared" si="19"/>
        <v>198.80287811797496</v>
      </c>
      <c r="EN38" s="59">
        <f t="shared" si="20"/>
        <v>492.13621145130827</v>
      </c>
      <c r="EO38" s="59">
        <f ca="1">AVERAGE(OFFSET($EN$3,0,0,'Données projet'!$E$15+1,1))-AVERAGE(OFFSET($H$3,0,0,'Données projet'!$E$15+1,1))</f>
        <v>312.48716825299158</v>
      </c>
      <c r="EP38" s="59">
        <f t="shared" si="46"/>
        <v>258.68277822755357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5.3369963369963358</v>
      </c>
      <c r="FE38" s="12">
        <f>IF('Données projet'!$A$218&gt;35,FE37+FD38-FM37,IF(A38&lt;'Données projet'!$A$218,$FB$205^A38,IF(A38='Données projet'!$A$218,'Données projet'!$B$218,FE37+FD38-FM37)))</f>
        <v>114.39010989010988</v>
      </c>
      <c r="FF38" s="17">
        <f>FE38*VLOOKUP('Données projet'!$B$16,Paramètres!$A$1:$I$89,3,0)*VLOOKUP('Données projet'!$B$16,Paramètres!$A$1:$I$89,5,0)</f>
        <v>123.12951428571428</v>
      </c>
      <c r="FG38" s="13">
        <f t="shared" si="47"/>
        <v>32.40380984999895</v>
      </c>
      <c r="FH38" s="20">
        <f t="shared" si="22"/>
        <v>270.88720620303383</v>
      </c>
      <c r="FI38" s="59">
        <f t="shared" si="23"/>
        <v>564.22053953636714</v>
      </c>
      <c r="FJ38" s="59">
        <f ca="1">AVERAGE(OFFSET($FI$3,0,0,'Données projet'!$E$16+1,1))-AVERAGE(OFFSET($H$3,0,0,'Données projet'!$E$16+1,1))</f>
        <v>403.23110963096246</v>
      </c>
      <c r="FK38" s="59">
        <f t="shared" si="48"/>
        <v>245.72000393124898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5.3369963369963358</v>
      </c>
      <c r="FZ38" s="12">
        <f>IF('Données projet'!$A$244&gt;35,FZ37+FY38-GH37,IF(A38&lt;'Données projet'!$A$244,$FW$205^A38,IF(A38='Données projet'!$A$244,'Données projet'!$B$244,FZ37+FY38-GH37)))</f>
        <v>114.39010989010988</v>
      </c>
      <c r="GA38" s="17">
        <f>FZ38*VLOOKUP('Données projet'!$B$17,Paramètres!$A$1:$I$89,3,0)*VLOOKUP('Données projet'!$B$17,Paramètres!$A$1:$I$89,5,0)</f>
        <v>110.63811428571428</v>
      </c>
      <c r="GB38" s="13">
        <f t="shared" si="49"/>
        <v>29.481278625174436</v>
      </c>
      <c r="GC38" s="20">
        <f t="shared" si="25"/>
        <v>244.04127598646448</v>
      </c>
      <c r="GD38" s="59">
        <f t="shared" si="26"/>
        <v>537.37460931979786</v>
      </c>
      <c r="GE38" s="59">
        <f ca="1">AVERAGE(OFFSET($GD$3,0,0,'Données projet'!$E$17+1,1))-AVERAGE(OFFSET($H$3,0,0,'Données projet'!$E$17+1,1))</f>
        <v>336.2911850338175</v>
      </c>
      <c r="GF38" s="59">
        <f t="shared" si="50"/>
        <v>225.01415116995503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5.3369963369963358</v>
      </c>
      <c r="GU38" s="12">
        <f>IF('Données projet'!$A$270&gt;35,GU37+GT38-HC37,IF(A38&lt;'Données projet'!$A$270,$GR$205^A38,IF(A38='Données projet'!$A$270,'Données projet'!$B$270,GU37+GT38-HC37)))</f>
        <v>114.39010989010988</v>
      </c>
      <c r="GV38" s="17">
        <f>GU38*VLOOKUP('Données projet'!$B$18,Paramètres!$A$1:$I$89,3,0)*VLOOKUP('Données projet'!$B$18,Paramètres!$A$1:$I$89,5,0)</f>
        <v>76.732885714285715</v>
      </c>
      <c r="GW38" s="13">
        <f t="shared" si="51"/>
        <v>21.336429534984717</v>
      </c>
      <c r="GX38" s="20">
        <f t="shared" si="28"/>
        <v>170.80405739247931</v>
      </c>
      <c r="GY38" s="59">
        <f t="shared" si="29"/>
        <v>464.13739072581262</v>
      </c>
      <c r="GZ38" s="59">
        <f ca="1">AVERAGE(OFFSET($GY$3,0,0,'Données projet'!$E$18+1,1))-AVERAGE(OFFSET($H$3,0,0,'Données projet'!$E$18+1,1))</f>
        <v>266.37807768393191</v>
      </c>
      <c r="HA38" s="59">
        <f t="shared" si="52"/>
        <v>168.52019826233425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0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9.6</v>
      </c>
      <c r="N39" s="13">
        <f>IF('Données projet'!$A$36&gt;35,N38+M39-V38,IF(A39&lt;'Données projet'!$A$36,$K$205^A39,IF(A39='Données projet'!$A$36,'Données projet'!$B$36,N38+M39-V38)))</f>
        <v>153.60000000000002</v>
      </c>
      <c r="O39" s="13">
        <f>N39*VLOOKUP('Données projet'!$B$9,Paramètres!$A$1:$I$89,3,0)*VLOOKUP('Données projet'!$B$9,Paramètres!$A$1:$I$89,5,0)</f>
        <v>134.18496000000005</v>
      </c>
      <c r="P39" s="13">
        <f t="shared" si="33"/>
        <v>34.961590270648216</v>
      </c>
      <c r="Q39" s="20">
        <f t="shared" si="53"/>
        <v>294.59690838804573</v>
      </c>
      <c r="R39" s="59">
        <f t="shared" si="0"/>
        <v>587.93024172137905</v>
      </c>
      <c r="S39" s="59">
        <f ca="1">AVERAGE(OFFSET($R$3,0,0,'Données projet'!$E$9+1,1))-AVERAGE(OFFSET($H$3,0,0,'Données projet'!$E$9+1,1))</f>
        <v>324.86930206492627</v>
      </c>
      <c r="T39" s="59">
        <f t="shared" si="34"/>
        <v>317.03005098025352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3.0381318120618284</v>
      </c>
      <c r="AA39" s="21">
        <f>EXP(-LN(2)/25)*AA38+(1-EXP(-LN(2)/25))/(LN(2)/25)*Calculateur!V39*Calculateur!X39*VLOOKUP('Données projet'!$B$9,Paramètres!$A$1:$I$89,3,0)*0.475*44/12</f>
        <v>10.212392755397733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13.250524567459561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9.3141025641025621</v>
      </c>
      <c r="AI39" s="13">
        <f>IF('Données projet'!$A$62&gt;35,AI38+AH39-AQ38,IF(A39&lt;'Données projet'!$A$62,$AF$205^A39,IF(A39='Données projet'!$A$62,'Données projet'!$B$62,AI38+AH39-AQ38)))</f>
        <v>110.87820512820515</v>
      </c>
      <c r="AJ39" s="13">
        <f>AI39*VLOOKUP('Données projet'!$B$10,Paramètres!$A$1:$I$89,3,0)*VLOOKUP('Données projet'!$B$10,Paramètres!$A$1:$I$89,5,0)</f>
        <v>105.51170000000003</v>
      </c>
      <c r="AK39" s="13">
        <f t="shared" si="35"/>
        <v>28.2709558960075</v>
      </c>
      <c r="AL39" s="20">
        <f t="shared" si="4"/>
        <v>233.00479235221312</v>
      </c>
      <c r="AM39" s="59">
        <f t="shared" si="5"/>
        <v>526.3381256855464</v>
      </c>
      <c r="AN39" s="59">
        <f ca="1">AVERAGE(OFFSET($AM$3,0,0,'Données projet'!$E$10+1,1))-AVERAGE(OFFSET($H$3,0,0,'Données projet'!$E$10+1,1))</f>
        <v>401.81944956556271</v>
      </c>
      <c r="AO39" s="59">
        <f t="shared" si="36"/>
        <v>292.20785523952651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11.333333333333334</v>
      </c>
      <c r="BD39" s="12">
        <f>IF('Données projet'!$A$88&gt;35,BD38+BC39-BL38,IF(A39&lt;'Données projet'!$A$88,$BA$205^A39,IF(A39='Données projet'!$A$88,'Données projet'!$B$88,BD38+BC39-BL38)))</f>
        <v>176.66666666666666</v>
      </c>
      <c r="BE39" s="13">
        <f>BD39*VLOOKUP('Données projet'!$B$11,Paramètres!$A$1:$I$89,3,0)*VLOOKUP('Données projet'!$B$11,Paramètres!$A$1:$I$89,5,0)</f>
        <v>137.80000000000001</v>
      </c>
      <c r="BF39" s="13">
        <f t="shared" si="37"/>
        <v>35.792552736298617</v>
      </c>
      <c r="BG39" s="20">
        <f t="shared" si="7"/>
        <v>302.34036268238674</v>
      </c>
      <c r="BH39" s="59">
        <f t="shared" si="8"/>
        <v>595.67369601572</v>
      </c>
      <c r="BI39" s="59">
        <f ca="1">AVERAGE(OFFSET($BH$3,0,0,'Données projet'!$E$11+1,1))-AVERAGE(OFFSET($H$3,0,0,'Données projet'!$E$11+1,1))</f>
        <v>288.80569134263209</v>
      </c>
      <c r="BJ39" s="59">
        <f t="shared" si="38"/>
        <v>283.48738729114024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3.526104529918904</v>
      </c>
      <c r="BQ39" s="21">
        <f>EXP(-LN(2)/25)*BQ38+(1-EXP(-LN(2)/25))/(LN(2)/25)*Calculateur!BL39*Calculateur!BN39*VLOOKUP('Données projet'!$B$11,Paramètres!$A$1:$I$89,3,0)*0.475*44/12</f>
        <v>11.138698271249043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14.664802801167946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</v>
      </c>
      <c r="BY39" s="12">
        <f>IF('Données projet'!$A$114&gt;35,BY38+BX39-CG38,IF(A39&lt;'Données projet'!$A$114,$BV$205^A39,IF(A39='Données projet'!$A$114,'Données projet'!$B$114,BY38+BX39-CG38)))</f>
        <v>122</v>
      </c>
      <c r="BZ39" s="13">
        <f>BY39*VLOOKUP('Données projet'!$B$12,Paramètres!$A$1:$I$89,3,0)*VLOOKUP('Données projet'!$B$12,Paramètres!$A$1:$I$89,5,0)</f>
        <v>127.51440000000002</v>
      </c>
      <c r="CA39" s="13">
        <f t="shared" si="39"/>
        <v>33.421366430716283</v>
      </c>
      <c r="CB39" s="20">
        <f t="shared" si="10"/>
        <v>280.2964598668309</v>
      </c>
      <c r="CC39" s="59">
        <f t="shared" si="11"/>
        <v>573.62979320016416</v>
      </c>
      <c r="CD39" s="59">
        <f ca="1">AVERAGE(OFFSET($CC$3,0,0,'Données projet'!$E$12+1,1))-AVERAGE(OFFSET($H$3,0,0,'Données projet'!$E$12+1,1))</f>
        <v>352.22281362023102</v>
      </c>
      <c r="CE39" s="59">
        <f t="shared" si="40"/>
        <v>310.2353747925161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5.3369963369963358</v>
      </c>
      <c r="CT39" s="12">
        <f>IF('Données projet'!$A$140&gt;35,CT38+CS39-DB38,IF(A39&lt;'Données projet'!$A$140,$CQ$205^A39,IF(A39='Données projet'!$A$140,'Données projet'!$B$140,CT38+CS39-DB38)))</f>
        <v>119.72710622710622</v>
      </c>
      <c r="CU39" s="17">
        <f>CT39*VLOOKUP('Données projet'!$B$13,Paramètres!$A$1:$I$89,3,0)*VLOOKUP('Données projet'!$B$13,Paramètres!$A$1:$I$89,5,0)</f>
        <v>108.32908571428571</v>
      </c>
      <c r="CV39" s="13">
        <f t="shared" si="41"/>
        <v>28.936954111534238</v>
      </c>
      <c r="CW39" s="20">
        <f t="shared" si="13"/>
        <v>239.07168602996975</v>
      </c>
      <c r="CX39" s="59">
        <f t="shared" si="14"/>
        <v>532.40501936330304</v>
      </c>
      <c r="CY39" s="59">
        <f ca="1">AVERAGE(OFFSET($CX$3,0,0,'Données projet'!$E$13+1,1))-AVERAGE(OFFSET($H$3,0,0,'Données projet'!$E$13+1,1))</f>
        <v>345.49688858037996</v>
      </c>
      <c r="CZ39" s="59">
        <f t="shared" si="42"/>
        <v>213.15872113755023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5.3369963369963358</v>
      </c>
      <c r="DO39" s="12">
        <f>IF('Données projet'!$A$166&gt;35,DO38+DN39-DW38,IF(A39&lt;'Données projet'!$A$166,$DL$205^A39,IF(A39='Données projet'!$A$166,'Données projet'!$B$166,DO38+DN39-DW38)))</f>
        <v>119.72710622710622</v>
      </c>
      <c r="DP39" s="17">
        <f>DO39*VLOOKUP('Données projet'!$B$14,Paramètres!$A$1:$I$89,3,0)*VLOOKUP('Données projet'!$B$14,Paramètres!$A$1:$I$89,5,0)</f>
        <v>121.40328571428572</v>
      </c>
      <c r="DQ39" s="13">
        <f t="shared" si="43"/>
        <v>32.002070852076919</v>
      </c>
      <c r="DR39" s="20">
        <f t="shared" si="16"/>
        <v>267.18099601974819</v>
      </c>
      <c r="DS39" s="59">
        <f t="shared" si="17"/>
        <v>560.51432935308151</v>
      </c>
      <c r="DT39" s="59">
        <f ca="1">AVERAGE(OFFSET($DS$3,0,0,'Données projet'!$E$14+1,1))-AVERAGE(OFFSET($H$3,0,0,'Données projet'!$E$14+1,1))</f>
        <v>382.26108489744581</v>
      </c>
      <c r="DU39" s="59">
        <f t="shared" si="44"/>
        <v>233.89423996158826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9.2371794871794872</v>
      </c>
      <c r="EJ39" s="12">
        <f>IF('Données projet'!$A$192&gt;35,EJ38+EI39-ER38,IF(A39&lt;'Données projet'!$A$192,$EG$205^A39,IF(A39='Données projet'!$A$192,'Données projet'!$B$192,EJ38+EI39-ER38)))</f>
        <v>115.67307692307691</v>
      </c>
      <c r="EK39" s="17">
        <f>EJ39*VLOOKUP('Données projet'!$B$15,Paramètres!$A$1:$I$89,3,0)*VLOOKUP('Données projet'!$B$15,Paramètres!$A$1:$I$89,5,0)</f>
        <v>97.442999999999984</v>
      </c>
      <c r="EL39" s="13">
        <f t="shared" si="45"/>
        <v>26.351912262740338</v>
      </c>
      <c r="EM39" s="20">
        <f t="shared" si="19"/>
        <v>215.60947219093939</v>
      </c>
      <c r="EN39" s="59">
        <f t="shared" si="20"/>
        <v>508.94280552427267</v>
      </c>
      <c r="EO39" s="59">
        <f ca="1">AVERAGE(OFFSET($EN$3,0,0,'Données projet'!$E$15+1,1))-AVERAGE(OFFSET($H$3,0,0,'Données projet'!$E$15+1,1))</f>
        <v>312.48716825299158</v>
      </c>
      <c r="EP39" s="59">
        <f t="shared" si="46"/>
        <v>258.68277822755357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5.3369963369963358</v>
      </c>
      <c r="FE39" s="12">
        <f>IF('Données projet'!$A$218&gt;35,FE38+FD39-FM38,IF(A39&lt;'Données projet'!$A$218,$FB$205^A39,IF(A39='Données projet'!$A$218,'Données projet'!$B$218,FE38+FD39-FM38)))</f>
        <v>119.72710622710622</v>
      </c>
      <c r="FF39" s="17">
        <f>FE39*VLOOKUP('Données projet'!$B$16,Paramètres!$A$1:$I$89,3,0)*VLOOKUP('Données projet'!$B$16,Paramètres!$A$1:$I$89,5,0)</f>
        <v>128.87425714285712</v>
      </c>
      <c r="FG39" s="13">
        <f t="shared" si="47"/>
        <v>33.736101686238115</v>
      </c>
      <c r="FH39" s="20">
        <f t="shared" si="22"/>
        <v>283.21304162734083</v>
      </c>
      <c r="FI39" s="59">
        <f t="shared" si="23"/>
        <v>576.54637496067414</v>
      </c>
      <c r="FJ39" s="59">
        <f ca="1">AVERAGE(OFFSET($FI$3,0,0,'Données projet'!$E$16+1,1))-AVERAGE(OFFSET($H$3,0,0,'Données projet'!$E$16+1,1))</f>
        <v>403.23110963096246</v>
      </c>
      <c r="FK39" s="59">
        <f t="shared" si="48"/>
        <v>245.72000393124898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5.3369963369963358</v>
      </c>
      <c r="FZ39" s="12">
        <f>IF('Données projet'!$A$244&gt;35,FZ38+FY39-GH38,IF(A39&lt;'Données projet'!$A$244,$FW$205^A39,IF(A39='Données projet'!$A$244,'Données projet'!$B$244,FZ38+FY39-GH38)))</f>
        <v>119.72710622710622</v>
      </c>
      <c r="GA39" s="17">
        <f>FZ39*VLOOKUP('Données projet'!$B$17,Paramètres!$A$1:$I$89,3,0)*VLOOKUP('Données projet'!$B$17,Paramètres!$A$1:$I$89,5,0)</f>
        <v>115.80005714285714</v>
      </c>
      <c r="GB39" s="13">
        <f t="shared" si="49"/>
        <v>30.693409760865983</v>
      </c>
      <c r="GC39" s="20">
        <f t="shared" si="25"/>
        <v>255.14278819065109</v>
      </c>
      <c r="GD39" s="59">
        <f t="shared" si="26"/>
        <v>548.47612152398438</v>
      </c>
      <c r="GE39" s="59">
        <f ca="1">AVERAGE(OFFSET($GD$3,0,0,'Données projet'!$E$17+1,1))-AVERAGE(OFFSET($H$3,0,0,'Données projet'!$E$17+1,1))</f>
        <v>336.2911850338175</v>
      </c>
      <c r="GF39" s="59">
        <f t="shared" si="50"/>
        <v>225.01415116995503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5.3369963369963358</v>
      </c>
      <c r="GU39" s="12">
        <f>IF('Données projet'!$A$270&gt;35,GU38+GT39-HC38,IF(A39&lt;'Données projet'!$A$270,$GR$205^A39,IF(A39='Données projet'!$A$270,'Données projet'!$B$270,GU38+GT39-HC38)))</f>
        <v>119.72710622710622</v>
      </c>
      <c r="GV39" s="17">
        <f>GU39*VLOOKUP('Données projet'!$B$18,Paramètres!$A$1:$I$89,3,0)*VLOOKUP('Données projet'!$B$18,Paramètres!$A$1:$I$89,5,0)</f>
        <v>80.312942857142843</v>
      </c>
      <c r="GW39" s="13">
        <f t="shared" si="51"/>
        <v>22.213682889313759</v>
      </c>
      <c r="GX39" s="20">
        <f t="shared" si="28"/>
        <v>178.56720650841189</v>
      </c>
      <c r="GY39" s="59">
        <f t="shared" si="29"/>
        <v>471.90053984174517</v>
      </c>
      <c r="GZ39" s="59">
        <f ca="1">AVERAGE(OFFSET($GY$3,0,0,'Données projet'!$E$18+1,1))-AVERAGE(OFFSET($H$3,0,0,'Données projet'!$E$18+1,1))</f>
        <v>266.37807768393191</v>
      </c>
      <c r="HA39" s="59">
        <f t="shared" si="52"/>
        <v>168.52019826233425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0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9.6</v>
      </c>
      <c r="N40" s="13">
        <f>IF('Données projet'!$A$36&gt;35,N39+M40-V39,IF(A40&lt;'Données projet'!$A$36,$K$205^A40,IF(A40='Données projet'!$A$36,'Données projet'!$B$36,N39+M40-V39)))</f>
        <v>163.20000000000002</v>
      </c>
      <c r="O40" s="13">
        <f>N40*VLOOKUP('Données projet'!$B$9,Paramètres!$A$1:$I$89,3,0)*VLOOKUP('Données projet'!$B$9,Paramètres!$A$1:$I$89,5,0)</f>
        <v>142.57152000000005</v>
      </c>
      <c r="P40" s="13">
        <f t="shared" si="33"/>
        <v>36.885479122455578</v>
      </c>
      <c r="Q40" s="20">
        <f t="shared" si="53"/>
        <v>312.5542734716102</v>
      </c>
      <c r="R40" s="59">
        <f t="shared" si="0"/>
        <v>605.88760680494352</v>
      </c>
      <c r="S40" s="59">
        <f ca="1">AVERAGE(OFFSET($R$3,0,0,'Données projet'!$E$9+1,1))-AVERAGE(OFFSET($H$3,0,0,'Données projet'!$E$9+1,1))</f>
        <v>324.86930206492627</v>
      </c>
      <c r="T40" s="59">
        <f t="shared" si="34"/>
        <v>317.03005098025352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2.9785559003047251</v>
      </c>
      <c r="AA40" s="21">
        <f>EXP(-LN(2)/25)*AA39+(1-EXP(-LN(2)/25))/(LN(2)/25)*Calculateur!V40*Calculateur!X40*VLOOKUP('Données projet'!$B$9,Paramètres!$A$1:$I$89,3,0)*0.475*44/12</f>
        <v>9.9331343384549875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12.911690238759713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9.3141025641025621</v>
      </c>
      <c r="AI40" s="13">
        <f>IF('Données projet'!$A$62&gt;35,AI39+AH40-AQ39,IF(A40&lt;'Données projet'!$A$62,$AF$205^A40,IF(A40='Données projet'!$A$62,'Données projet'!$B$62,AI39+AH40-AQ39)))</f>
        <v>120.19230769230771</v>
      </c>
      <c r="AJ40" s="13">
        <f>AI40*VLOOKUP('Données projet'!$B$10,Paramètres!$A$1:$I$89,3,0)*VLOOKUP('Données projet'!$B$10,Paramètres!$A$1:$I$89,5,0)</f>
        <v>114.375</v>
      </c>
      <c r="AK40" s="13">
        <f t="shared" si="35"/>
        <v>30.359417255160196</v>
      </c>
      <c r="AL40" s="20">
        <f t="shared" si="4"/>
        <v>252.07911005273732</v>
      </c>
      <c r="AM40" s="59">
        <f t="shared" si="5"/>
        <v>545.41244338607066</v>
      </c>
      <c r="AN40" s="59">
        <f ca="1">AVERAGE(OFFSET($AM$3,0,0,'Données projet'!$E$10+1,1))-AVERAGE(OFFSET($H$3,0,0,'Données projet'!$E$10+1,1))</f>
        <v>401.81944956556271</v>
      </c>
      <c r="AO40" s="59">
        <f t="shared" si="36"/>
        <v>292.20785523952651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188</v>
      </c>
      <c r="BB40" s="12">
        <f>VLOOKUP(A40,'Données projet'!$A$87:$I$107,9,0)</f>
        <v>11.333333333333334</v>
      </c>
      <c r="BC40" s="12">
        <f t="array" ref="BC40">INDEX(BB:BB,MIN(IF(ISNUMBER(BB40:BB236),ROW(BB40:BB236),"")))</f>
        <v>11.333333333333334</v>
      </c>
      <c r="BD40" s="12">
        <f>IF('Données projet'!$A$88&gt;35,BD39+BC40-BL39,IF(A40&lt;'Données projet'!$A$88,$BA$205^A40,IF(A40='Données projet'!$A$88,'Données projet'!$B$88,BD39+BC40-BL39)))</f>
        <v>188</v>
      </c>
      <c r="BE40" s="13">
        <f>BD40*VLOOKUP('Données projet'!$B$11,Paramètres!$A$1:$I$89,3,0)*VLOOKUP('Données projet'!$B$11,Paramètres!$A$1:$I$89,5,0)</f>
        <v>146.64000000000001</v>
      </c>
      <c r="BF40" s="13">
        <f t="shared" si="37"/>
        <v>37.814009712703054</v>
      </c>
      <c r="BG40" s="20">
        <f t="shared" si="7"/>
        <v>321.25740024962448</v>
      </c>
      <c r="BH40" s="59">
        <f t="shared" si="8"/>
        <v>614.5907335829578</v>
      </c>
      <c r="BI40" s="59">
        <f ca="1">AVERAGE(OFFSET($BH$3,0,0,'Données projet'!$E$11+1,1))-AVERAGE(OFFSET($H$3,0,0,'Données projet'!$E$11+1,1))</f>
        <v>288.80569134263209</v>
      </c>
      <c r="BJ40" s="59">
        <f t="shared" si="38"/>
        <v>283.48738729114024</v>
      </c>
      <c r="BK40" s="15">
        <f>IF(ISNA(VLOOKUP(A40,'Données projet'!$A$87:$I$107,3,0)),0,VLOOKUP(A40,'Données projet'!$A$87:$I$107,3,0))</f>
        <v>5</v>
      </c>
      <c r="BL40" s="15">
        <f>IF(ISNA(VLOOKUP(A40,'Données projet'!$A$87:$I$107,4,0)),0,VLOOKUP(A40,'Données projet'!$A$87:$I$107,4,0))</f>
        <v>36</v>
      </c>
      <c r="BM40" s="16">
        <f>IF(ISNA(VLOOKUP(A40,'Données projet'!$A$87:$I$107,5,0)),0%,VLOOKUP(A40,'Données projet'!$A$87:$I$107,5,0)*VLOOKUP('Données projet'!$B$11,Paramètres!$A$1:$I$89,7,0))</f>
        <v>0.129</v>
      </c>
      <c r="BN40" s="16">
        <f>IF(ISNA(VLOOKUP(A40,'Données projet'!$A$87:$I$107,6,0)),0%,VLOOKUP(A40,'Données projet'!$A$87:$I$107,6,0)*VLOOKUP('Données projet'!$B$11,Paramètres!$A$1:$I$89,7,0))</f>
        <v>0.17200000000000001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7.4613272359883887</v>
      </c>
      <c r="BQ40" s="21">
        <f>EXP(-LN(2)/25)*BQ39+(1-EXP(-LN(2)/25))/(LN(2)/25)*Calculateur!BL40*Calculateur!BN40*VLOOKUP('Données projet'!$B$11,Paramètres!$A$1:$I$89,3,0)*0.475*44/12</f>
        <v>16.152244307524015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23.613571543512403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</v>
      </c>
      <c r="BY40" s="12">
        <f>IF('Données projet'!$A$114&gt;35,BY39+BX40-CG39,IF(A40&lt;'Données projet'!$A$114,$BV$205^A40,IF(A40='Données projet'!$A$114,'Données projet'!$B$114,BY39+BX40-CG39)))</f>
        <v>129</v>
      </c>
      <c r="BZ40" s="13">
        <f>BY40*VLOOKUP('Données projet'!$B$12,Paramètres!$A$1:$I$89,3,0)*VLOOKUP('Données projet'!$B$12,Paramètres!$A$1:$I$89,5,0)</f>
        <v>134.83080000000001</v>
      </c>
      <c r="CA40" s="13">
        <f t="shared" si="39"/>
        <v>35.110233978560416</v>
      </c>
      <c r="CB40" s="20">
        <f t="shared" si="10"/>
        <v>295.98063417932605</v>
      </c>
      <c r="CC40" s="59">
        <f t="shared" si="11"/>
        <v>589.31396751265936</v>
      </c>
      <c r="CD40" s="59">
        <f ca="1">AVERAGE(OFFSET($CC$3,0,0,'Données projet'!$E$12+1,1))-AVERAGE(OFFSET($H$3,0,0,'Données projet'!$E$12+1,1))</f>
        <v>352.22281362023102</v>
      </c>
      <c r="CE40" s="59">
        <f t="shared" si="40"/>
        <v>310.2353747925161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5.3369963369963358</v>
      </c>
      <c r="CT40" s="12">
        <f>IF('Données projet'!$A$140&gt;35,CT39+CS40-DB39,IF(A40&lt;'Données projet'!$A$140,$CQ$205^A40,IF(A40='Données projet'!$A$140,'Données projet'!$B$140,CT39+CS40-DB39)))</f>
        <v>125.06410256410255</v>
      </c>
      <c r="CU40" s="17">
        <f>CT40*VLOOKUP('Données projet'!$B$13,Paramètres!$A$1:$I$89,3,0)*VLOOKUP('Données projet'!$B$13,Paramètres!$A$1:$I$89,5,0)</f>
        <v>113.15799999999999</v>
      </c>
      <c r="CV40" s="13">
        <f t="shared" si="41"/>
        <v>30.073803878601733</v>
      </c>
      <c r="CW40" s="20">
        <f t="shared" si="13"/>
        <v>249.46205842189795</v>
      </c>
      <c r="CX40" s="59">
        <f t="shared" si="14"/>
        <v>542.79539175523132</v>
      </c>
      <c r="CY40" s="59">
        <f ca="1">AVERAGE(OFFSET($CX$3,0,0,'Données projet'!$E$13+1,1))-AVERAGE(OFFSET($H$3,0,0,'Données projet'!$E$13+1,1))</f>
        <v>345.49688858037996</v>
      </c>
      <c r="CZ40" s="59">
        <f t="shared" si="42"/>
        <v>213.15872113755023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5.3369963369963358</v>
      </c>
      <c r="DO40" s="12">
        <f>IF('Données projet'!$A$166&gt;35,DO39+DN40-DW39,IF(A40&lt;'Données projet'!$A$166,$DL$205^A40,IF(A40='Données projet'!$A$166,'Données projet'!$B$166,DO39+DN40-DW39)))</f>
        <v>125.06410256410255</v>
      </c>
      <c r="DP40" s="17">
        <f>DO40*VLOOKUP('Données projet'!$B$14,Paramètres!$A$1:$I$89,3,0)*VLOOKUP('Données projet'!$B$14,Paramètres!$A$1:$I$89,5,0)</f>
        <v>126.81499999999998</v>
      </c>
      <c r="DQ40" s="13">
        <f t="shared" si="43"/>
        <v>33.259340247246584</v>
      </c>
      <c r="DR40" s="20">
        <f t="shared" si="16"/>
        <v>278.79614259728777</v>
      </c>
      <c r="DS40" s="59">
        <f t="shared" si="17"/>
        <v>572.12947593062108</v>
      </c>
      <c r="DT40" s="59">
        <f ca="1">AVERAGE(OFFSET($DS$3,0,0,'Données projet'!$E$14+1,1))-AVERAGE(OFFSET($H$3,0,0,'Données projet'!$E$14+1,1))</f>
        <v>382.26108489744581</v>
      </c>
      <c r="DU40" s="59">
        <f t="shared" si="44"/>
        <v>233.89423996158826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124.91025641025639</v>
      </c>
      <c r="EH40" s="12">
        <f>VLOOKUP(A40,'Données projet'!$A$191:$I$211,9,0)</f>
        <v>9.2371794871794872</v>
      </c>
      <c r="EI40" s="12">
        <f t="array" ref="EI40">INDEX(EH:EH,MIN(IF(ISNUMBER(EH40:EH236),ROW(EH40:EH236),"")))</f>
        <v>9.2371794871794872</v>
      </c>
      <c r="EJ40" s="12">
        <f>IF('Données projet'!$A$192&gt;35,EJ39+EI40-ER39,IF(A40&lt;'Données projet'!$A$192,$EG$205^A40,IF(A40='Données projet'!$A$192,'Données projet'!$B$192,EJ39+EI40-ER39)))</f>
        <v>124.91025641025639</v>
      </c>
      <c r="EK40" s="17">
        <f>EJ40*VLOOKUP('Données projet'!$B$15,Paramètres!$A$1:$I$89,3,0)*VLOOKUP('Données projet'!$B$15,Paramètres!$A$1:$I$89,5,0)</f>
        <v>105.2244</v>
      </c>
      <c r="EL40" s="13">
        <f t="shared" si="45"/>
        <v>28.202925954962733</v>
      </c>
      <c r="EM40" s="20">
        <f t="shared" si="19"/>
        <v>232.38592603822676</v>
      </c>
      <c r="EN40" s="59">
        <f t="shared" si="20"/>
        <v>525.71925937156004</v>
      </c>
      <c r="EO40" s="59">
        <f ca="1">AVERAGE(OFFSET($EN$3,0,0,'Données projet'!$E$15+1,1))-AVERAGE(OFFSET($H$3,0,0,'Données projet'!$E$15+1,1))</f>
        <v>312.48716825299158</v>
      </c>
      <c r="EP40" s="59">
        <f t="shared" si="46"/>
        <v>258.68277822755357</v>
      </c>
      <c r="EQ40" s="15">
        <f>IF(ISNA(VLOOKUP(A40,'Données projet'!$A$191:$I$211,3,0)),0,VLOOKUP(A40,'Données projet'!$A$191:$I$211,3,0))</f>
        <v>2</v>
      </c>
      <c r="ER40" s="15">
        <f>IF(ISNA(VLOOKUP(A40,'Données projet'!$A$191:$I$211,4,0)),0,VLOOKUP(A40,'Données projet'!$A$191:$I$211,4,0))</f>
        <v>33.801282051282051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5.3369963369963358</v>
      </c>
      <c r="FE40" s="12">
        <f>IF('Données projet'!$A$218&gt;35,FE39+FD40-FM39,IF(A40&lt;'Données projet'!$A$218,$FB$205^A40,IF(A40='Données projet'!$A$218,'Données projet'!$B$218,FE39+FD40-FM39)))</f>
        <v>125.06410256410255</v>
      </c>
      <c r="FF40" s="17">
        <f>FE40*VLOOKUP('Données projet'!$B$16,Paramètres!$A$1:$I$89,3,0)*VLOOKUP('Données projet'!$B$16,Paramètres!$A$1:$I$89,5,0)</f>
        <v>134.61899999999997</v>
      </c>
      <c r="FG40" s="13">
        <f t="shared" si="47"/>
        <v>35.06149616956688</v>
      </c>
      <c r="FH40" s="20">
        <f t="shared" si="22"/>
        <v>295.52686416199555</v>
      </c>
      <c r="FI40" s="59">
        <f t="shared" si="23"/>
        <v>588.86019749532886</v>
      </c>
      <c r="FJ40" s="59">
        <f ca="1">AVERAGE(OFFSET($FI$3,0,0,'Données projet'!$E$16+1,1))-AVERAGE(OFFSET($H$3,0,0,'Données projet'!$E$16+1,1))</f>
        <v>403.23110963096246</v>
      </c>
      <c r="FK40" s="59">
        <f t="shared" si="48"/>
        <v>245.72000393124898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5.3369963369963358</v>
      </c>
      <c r="FZ40" s="12">
        <f>IF('Données projet'!$A$244&gt;35,FZ39+FY40-GH39,IF(A40&lt;'Données projet'!$A$244,$FW$205^A40,IF(A40='Données projet'!$A$244,'Données projet'!$B$244,FZ39+FY40-GH39)))</f>
        <v>125.06410256410255</v>
      </c>
      <c r="GA40" s="17">
        <f>FZ40*VLOOKUP('Données projet'!$B$17,Paramètres!$A$1:$I$89,3,0)*VLOOKUP('Données projet'!$B$17,Paramètres!$A$1:$I$89,5,0)</f>
        <v>120.96199999999999</v>
      </c>
      <c r="GB40" s="13">
        <f t="shared" si="49"/>
        <v>31.899265622635451</v>
      </c>
      <c r="GC40" s="20">
        <f t="shared" si="25"/>
        <v>266.23337095942338</v>
      </c>
      <c r="GD40" s="59">
        <f t="shared" si="26"/>
        <v>559.56670429275664</v>
      </c>
      <c r="GE40" s="59">
        <f ca="1">AVERAGE(OFFSET($GD$3,0,0,'Données projet'!$E$17+1,1))-AVERAGE(OFFSET($H$3,0,0,'Données projet'!$E$17+1,1))</f>
        <v>336.2911850338175</v>
      </c>
      <c r="GF40" s="59">
        <f t="shared" si="50"/>
        <v>225.01415116995503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5.3369963369963358</v>
      </c>
      <c r="GU40" s="12">
        <f>IF('Données projet'!$A$270&gt;35,GU39+GT40-HC39,IF(A40&lt;'Données projet'!$A$270,$GR$205^A40,IF(A40='Données projet'!$A$270,'Données projet'!$B$270,GU39+GT40-HC39)))</f>
        <v>125.06410256410255</v>
      </c>
      <c r="GV40" s="17">
        <f>GU40*VLOOKUP('Données projet'!$B$18,Paramètres!$A$1:$I$89,3,0)*VLOOKUP('Données projet'!$B$18,Paramètres!$A$1:$I$89,5,0)</f>
        <v>83.893000000000001</v>
      </c>
      <c r="GW40" s="13">
        <f t="shared" si="51"/>
        <v>23.08639465161918</v>
      </c>
      <c r="GX40" s="20">
        <f t="shared" si="28"/>
        <v>186.32244568490339</v>
      </c>
      <c r="GY40" s="59">
        <f t="shared" si="29"/>
        <v>479.65577901823667</v>
      </c>
      <c r="GZ40" s="59">
        <f ca="1">AVERAGE(OFFSET($GY$3,0,0,'Données projet'!$E$18+1,1))-AVERAGE(OFFSET($H$3,0,0,'Données projet'!$E$18+1,1))</f>
        <v>266.37807768393191</v>
      </c>
      <c r="HA40" s="59">
        <f t="shared" si="52"/>
        <v>168.52019826233425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0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9.6</v>
      </c>
      <c r="N41" s="13">
        <f>IF('Données projet'!$A$36&gt;35,N40+M41-V40,IF(A41&lt;'Données projet'!$A$36,$K$205^A41,IF(A41='Données projet'!$A$36,'Données projet'!$B$36,N40+M41-V40)))</f>
        <v>172.8</v>
      </c>
      <c r="O41" s="13">
        <f>N41*VLOOKUP('Données projet'!$B$9,Paramètres!$A$1:$I$89,3,0)*VLOOKUP('Données projet'!$B$9,Paramètres!$A$1:$I$89,5,0)</f>
        <v>150.95808000000002</v>
      </c>
      <c r="P41" s="13">
        <f t="shared" si="33"/>
        <v>38.796231993724774</v>
      </c>
      <c r="Q41" s="20">
        <f t="shared" si="53"/>
        <v>330.48876005573732</v>
      </c>
      <c r="R41" s="59">
        <f t="shared" si="0"/>
        <v>623.82209338907069</v>
      </c>
      <c r="S41" s="59">
        <f ca="1">AVERAGE(OFFSET($R$3,0,0,'Données projet'!$E$9+1,1))-AVERAGE(OFFSET($H$3,0,0,'Données projet'!$E$9+1,1))</f>
        <v>324.86930206492627</v>
      </c>
      <c r="T41" s="59">
        <f t="shared" si="34"/>
        <v>317.03005098025352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2.9201482358394606</v>
      </c>
      <c r="AA41" s="21">
        <f>EXP(-LN(2)/25)*AA40+(1-EXP(-LN(2)/25))/(LN(2)/25)*Calculateur!V41*Calculateur!X41*VLOOKUP('Données projet'!$B$9,Paramètres!$A$1:$I$89,3,0)*0.475*44/12</f>
        <v>9.6615122576091039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12.581660493448565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9.3141025641025621</v>
      </c>
      <c r="AI41" s="13">
        <f>IF('Données projet'!$A$62&gt;35,AI40+AH41-AQ40,IF(A41&lt;'Données projet'!$A$62,$AF$205^A41,IF(A41='Données projet'!$A$62,'Données projet'!$B$62,AI40+AH41-AQ40)))</f>
        <v>129.50641025641028</v>
      </c>
      <c r="AJ41" s="13">
        <f>AI41*VLOOKUP('Données projet'!$B$10,Paramètres!$A$1:$I$89,3,0)*VLOOKUP('Données projet'!$B$10,Paramètres!$A$1:$I$89,5,0)</f>
        <v>123.23830000000002</v>
      </c>
      <c r="AK41" s="13">
        <f t="shared" si="35"/>
        <v>32.429105110649651</v>
      </c>
      <c r="AL41" s="20">
        <f t="shared" si="4"/>
        <v>271.12073056771482</v>
      </c>
      <c r="AM41" s="59">
        <f t="shared" si="5"/>
        <v>564.45406390104813</v>
      </c>
      <c r="AN41" s="59">
        <f ca="1">AVERAGE(OFFSET($AM$3,0,0,'Données projet'!$E$10+1,1))-AVERAGE(OFFSET($H$3,0,0,'Données projet'!$E$10+1,1))</f>
        <v>401.81944956556271</v>
      </c>
      <c r="AO41" s="59">
        <f t="shared" si="36"/>
        <v>292.20785523952651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11.142857142857142</v>
      </c>
      <c r="BD41" s="12">
        <f>IF('Données projet'!$A$88&gt;35,BD40+BC41-BL40,IF(A41&lt;'Données projet'!$A$88,$BA$205^A41,IF(A41='Données projet'!$A$88,'Données projet'!$B$88,BD40+BC41-BL40)))</f>
        <v>163.14285714285714</v>
      </c>
      <c r="BE41" s="13">
        <f>BD41*VLOOKUP('Données projet'!$B$11,Paramètres!$A$1:$I$89,3,0)*VLOOKUP('Données projet'!$B$11,Paramètres!$A$1:$I$89,5,0)</f>
        <v>127.25142857142858</v>
      </c>
      <c r="BF41" s="13">
        <f t="shared" si="37"/>
        <v>33.360457439554281</v>
      </c>
      <c r="BG41" s="20">
        <f t="shared" si="7"/>
        <v>279.73236813579513</v>
      </c>
      <c r="BH41" s="59">
        <f t="shared" si="8"/>
        <v>573.0657014691285</v>
      </c>
      <c r="BI41" s="59">
        <f ca="1">AVERAGE(OFFSET($BH$3,0,0,'Données projet'!$E$11+1,1))-AVERAGE(OFFSET($H$3,0,0,'Données projet'!$E$11+1,1))</f>
        <v>288.80569134263209</v>
      </c>
      <c r="BJ41" s="59">
        <f t="shared" si="38"/>
        <v>283.48738729114024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7.3150151598509003</v>
      </c>
      <c r="BQ41" s="21">
        <f>EXP(-LN(2)/25)*BQ40+(1-EXP(-LN(2)/25))/(LN(2)/25)*Calculateur!BL41*Calculateur!BN41*VLOOKUP('Données projet'!$B$11,Paramètres!$A$1:$I$89,3,0)*0.475*44/12</f>
        <v>15.710560337525159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23.02557549737606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</v>
      </c>
      <c r="BY41" s="12">
        <f>IF('Données projet'!$A$114&gt;35,BY40+BX41-CG40,IF(A41&lt;'Données projet'!$A$114,$BV$205^A41,IF(A41='Données projet'!$A$114,'Données projet'!$B$114,BY40+BX41-CG40)))</f>
        <v>136</v>
      </c>
      <c r="BZ41" s="13">
        <f>BY41*VLOOKUP('Données projet'!$B$12,Paramètres!$A$1:$I$89,3,0)*VLOOKUP('Données projet'!$B$12,Paramètres!$A$1:$I$89,5,0)</f>
        <v>142.1472</v>
      </c>
      <c r="CA41" s="13">
        <f t="shared" si="39"/>
        <v>36.788462274191929</v>
      </c>
      <c r="CB41" s="20">
        <f t="shared" si="10"/>
        <v>311.64627846088428</v>
      </c>
      <c r="CC41" s="59">
        <f t="shared" si="11"/>
        <v>604.97961179421759</v>
      </c>
      <c r="CD41" s="59">
        <f ca="1">AVERAGE(OFFSET($CC$3,0,0,'Données projet'!$E$12+1,1))-AVERAGE(OFFSET($H$3,0,0,'Données projet'!$E$12+1,1))</f>
        <v>352.22281362023102</v>
      </c>
      <c r="CE41" s="59">
        <f t="shared" si="40"/>
        <v>310.2353747925161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5.3369963369963358</v>
      </c>
      <c r="CT41" s="12">
        <f>IF('Données projet'!$A$140&gt;35,CT40+CS41-DB40,IF(A41&lt;'Données projet'!$A$140,$CQ$205^A41,IF(A41='Données projet'!$A$140,'Données projet'!$B$140,CT40+CS41-DB40)))</f>
        <v>130.40109890109889</v>
      </c>
      <c r="CU41" s="17">
        <f>CT41*VLOOKUP('Données projet'!$B$13,Paramètres!$A$1:$I$89,3,0)*VLOOKUP('Données projet'!$B$13,Paramètres!$A$1:$I$89,5,0)</f>
        <v>117.98691428571428</v>
      </c>
      <c r="CV41" s="13">
        <f t="shared" si="41"/>
        <v>31.205018808985951</v>
      </c>
      <c r="CW41" s="20">
        <f t="shared" si="13"/>
        <v>259.8426168066029</v>
      </c>
      <c r="CX41" s="59">
        <f t="shared" si="14"/>
        <v>553.17595013993628</v>
      </c>
      <c r="CY41" s="59">
        <f ca="1">AVERAGE(OFFSET($CX$3,0,0,'Données projet'!$E$13+1,1))-AVERAGE(OFFSET($H$3,0,0,'Données projet'!$E$13+1,1))</f>
        <v>345.49688858037996</v>
      </c>
      <c r="CZ41" s="59">
        <f t="shared" si="42"/>
        <v>213.15872113755023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5.3369963369963358</v>
      </c>
      <c r="DO41" s="12">
        <f>IF('Données projet'!$A$166&gt;35,DO40+DN41-DW40,IF(A41&lt;'Données projet'!$A$166,$DL$205^A41,IF(A41='Données projet'!$A$166,'Données projet'!$B$166,DO40+DN41-DW40)))</f>
        <v>130.40109890109889</v>
      </c>
      <c r="DP41" s="17">
        <f>DO41*VLOOKUP('Données projet'!$B$14,Paramètres!$A$1:$I$89,3,0)*VLOOKUP('Données projet'!$B$14,Paramètres!$A$1:$I$89,5,0)</f>
        <v>132.22671428571428</v>
      </c>
      <c r="DQ41" s="13">
        <f t="shared" si="43"/>
        <v>34.510377941523238</v>
      </c>
      <c r="DR41" s="20">
        <f t="shared" si="16"/>
        <v>290.4004356291054</v>
      </c>
      <c r="DS41" s="59">
        <f t="shared" si="17"/>
        <v>583.73376896243872</v>
      </c>
      <c r="DT41" s="59">
        <f ca="1">AVERAGE(OFFSET($DS$3,0,0,'Données projet'!$E$14+1,1))-AVERAGE(OFFSET($H$3,0,0,'Données projet'!$E$14+1,1))</f>
        <v>382.26108489744581</v>
      </c>
      <c r="DU41" s="59">
        <f t="shared" si="44"/>
        <v>233.89423996158826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9.78571428571429</v>
      </c>
      <c r="EJ41" s="12">
        <f>IF('Données projet'!$A$192&gt;35,EJ40+EI41-ER40,IF(A41&lt;'Données projet'!$A$192,$EG$205^A41,IF(A41='Données projet'!$A$192,'Données projet'!$B$192,EJ40+EI41-ER40)))</f>
        <v>100.89468864468864</v>
      </c>
      <c r="EK41" s="17">
        <f>EJ41*VLOOKUP('Données projet'!$B$15,Paramètres!$A$1:$I$89,3,0)*VLOOKUP('Données projet'!$B$15,Paramètres!$A$1:$I$89,5,0)</f>
        <v>84.993685714285718</v>
      </c>
      <c r="EL41" s="13">
        <f t="shared" si="45"/>
        <v>23.353830293778831</v>
      </c>
      <c r="EM41" s="20">
        <f t="shared" si="19"/>
        <v>188.70525704737906</v>
      </c>
      <c r="EN41" s="59">
        <f t="shared" si="20"/>
        <v>482.03859038071238</v>
      </c>
      <c r="EO41" s="59">
        <f ca="1">AVERAGE(OFFSET($EN$3,0,0,'Données projet'!$E$15+1,1))-AVERAGE(OFFSET($H$3,0,0,'Données projet'!$E$15+1,1))</f>
        <v>312.48716825299158</v>
      </c>
      <c r="EP41" s="59">
        <f t="shared" si="46"/>
        <v>258.68277822755357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5.3369963369963358</v>
      </c>
      <c r="FE41" s="12">
        <f>IF('Données projet'!$A$218&gt;35,FE40+FD41-FM40,IF(A41&lt;'Données projet'!$A$218,$FB$205^A41,IF(A41='Données projet'!$A$218,'Données projet'!$B$218,FE40+FD41-FM40)))</f>
        <v>130.40109890109889</v>
      </c>
      <c r="FF41" s="17">
        <f>FE41*VLOOKUP('Données projet'!$B$16,Paramètres!$A$1:$I$89,3,0)*VLOOKUP('Données projet'!$B$16,Paramètres!$A$1:$I$89,5,0)</f>
        <v>140.36374285714285</v>
      </c>
      <c r="FG41" s="13">
        <f t="shared" si="47"/>
        <v>36.380321287557514</v>
      </c>
      <c r="FH41" s="20">
        <f t="shared" si="22"/>
        <v>307.82924505201976</v>
      </c>
      <c r="FI41" s="59">
        <f t="shared" si="23"/>
        <v>601.16257838535307</v>
      </c>
      <c r="FJ41" s="59">
        <f ca="1">AVERAGE(OFFSET($FI$3,0,0,'Données projet'!$E$16+1,1))-AVERAGE(OFFSET($H$3,0,0,'Données projet'!$E$16+1,1))</f>
        <v>403.23110963096246</v>
      </c>
      <c r="FK41" s="59">
        <f t="shared" si="48"/>
        <v>245.72000393124898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5.3369963369963358</v>
      </c>
      <c r="FZ41" s="12">
        <f>IF('Données projet'!$A$244&gt;35,FZ40+FY41-GH40,IF(A41&lt;'Données projet'!$A$244,$FW$205^A41,IF(A41='Données projet'!$A$244,'Données projet'!$B$244,FZ40+FY41-GH40)))</f>
        <v>130.40109890109889</v>
      </c>
      <c r="GA41" s="17">
        <f>FZ41*VLOOKUP('Données projet'!$B$17,Paramètres!$A$1:$I$89,3,0)*VLOOKUP('Données projet'!$B$17,Paramètres!$A$1:$I$89,5,0)</f>
        <v>126.12394285714285</v>
      </c>
      <c r="GB41" s="13">
        <f t="shared" si="49"/>
        <v>33.099144616535966</v>
      </c>
      <c r="GC41" s="20">
        <f t="shared" si="25"/>
        <v>277.31354401665726</v>
      </c>
      <c r="GD41" s="59">
        <f t="shared" si="26"/>
        <v>570.64687734999052</v>
      </c>
      <c r="GE41" s="59">
        <f ca="1">AVERAGE(OFFSET($GD$3,0,0,'Données projet'!$E$17+1,1))-AVERAGE(OFFSET($H$3,0,0,'Données projet'!$E$17+1,1))</f>
        <v>336.2911850338175</v>
      </c>
      <c r="GF41" s="59">
        <f t="shared" si="50"/>
        <v>225.01415116995503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5.3369963369963358</v>
      </c>
      <c r="GU41" s="12">
        <f>IF('Données projet'!$A$270&gt;35,GU40+GT41-HC40,IF(A41&lt;'Données projet'!$A$270,$GR$205^A41,IF(A41='Données projet'!$A$270,'Données projet'!$B$270,GU40+GT41-HC40)))</f>
        <v>130.40109890109889</v>
      </c>
      <c r="GV41" s="17">
        <f>GU41*VLOOKUP('Données projet'!$B$18,Paramètres!$A$1:$I$89,3,0)*VLOOKUP('Données projet'!$B$18,Paramètres!$A$1:$I$89,5,0)</f>
        <v>87.47305714285713</v>
      </c>
      <c r="GW41" s="13">
        <f t="shared" si="51"/>
        <v>23.954780786744429</v>
      </c>
      <c r="GX41" s="20">
        <f t="shared" si="28"/>
        <v>194.07015106072274</v>
      </c>
      <c r="GY41" s="59">
        <f t="shared" si="29"/>
        <v>487.40348439405602</v>
      </c>
      <c r="GZ41" s="59">
        <f ca="1">AVERAGE(OFFSET($GY$3,0,0,'Données projet'!$E$18+1,1))-AVERAGE(OFFSET($H$3,0,0,'Données projet'!$E$18+1,1))</f>
        <v>266.37807768393191</v>
      </c>
      <c r="HA41" s="59">
        <f t="shared" si="52"/>
        <v>168.52019826233425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0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9.6</v>
      </c>
      <c r="N42" s="13">
        <f>IF('Données projet'!$A$36&gt;35,N41+M42-V41,IF(A42&lt;'Données projet'!$A$36,$K$205^A42,IF(A42='Données projet'!$A$36,'Données projet'!$B$36,N41+M42-V41)))</f>
        <v>182.4</v>
      </c>
      <c r="O42" s="13">
        <f>N42*VLOOKUP('Données projet'!$B$9,Paramètres!$A$1:$I$89,3,0)*VLOOKUP('Données projet'!$B$9,Paramètres!$A$1:$I$89,5,0)</f>
        <v>159.34464000000003</v>
      </c>
      <c r="P42" s="13">
        <f t="shared" si="33"/>
        <v>40.694661837553809</v>
      </c>
      <c r="Q42" s="20">
        <f t="shared" si="53"/>
        <v>348.4017840337396</v>
      </c>
      <c r="R42" s="59">
        <f t="shared" si="0"/>
        <v>641.73511736707292</v>
      </c>
      <c r="S42" s="59">
        <f ca="1">AVERAGE(OFFSET($R$3,0,0,'Données projet'!$E$9+1,1))-AVERAGE(OFFSET($H$3,0,0,'Données projet'!$E$9+1,1))</f>
        <v>324.86930206492627</v>
      </c>
      <c r="T42" s="59">
        <f t="shared" si="34"/>
        <v>317.03005098025352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2.8628859100492021</v>
      </c>
      <c r="AA42" s="21">
        <f>EXP(-LN(2)/25)*AA41+(1-EXP(-LN(2)/25))/(LN(2)/25)*Calculateur!V42*Calculateur!X42*VLOOKUP('Données projet'!$B$9,Paramètres!$A$1:$I$89,3,0)*0.475*44/12</f>
        <v>9.3973176968479351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12.260203606897138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9.3141025641025621</v>
      </c>
      <c r="AI42" s="13">
        <f>IF('Données projet'!$A$62&gt;35,AI41+AH42-AQ41,IF(A42&lt;'Données projet'!$A$62,$AF$205^A42,IF(A42='Données projet'!$A$62,'Données projet'!$B$62,AI41+AH42-AQ41)))</f>
        <v>138.82051282051285</v>
      </c>
      <c r="AJ42" s="13">
        <f>AI42*VLOOKUP('Données projet'!$B$10,Paramètres!$A$1:$I$89,3,0)*VLOOKUP('Données projet'!$B$10,Paramètres!$A$1:$I$89,5,0)</f>
        <v>132.10160000000002</v>
      </c>
      <c r="AK42" s="13">
        <f t="shared" si="35"/>
        <v>34.481523209759253</v>
      </c>
      <c r="AL42" s="20">
        <f t="shared" si="4"/>
        <v>290.13227292366406</v>
      </c>
      <c r="AM42" s="59">
        <f t="shared" si="5"/>
        <v>583.46560625699738</v>
      </c>
      <c r="AN42" s="59">
        <f ca="1">AVERAGE(OFFSET($AM$3,0,0,'Données projet'!$E$10+1,1))-AVERAGE(OFFSET($H$3,0,0,'Données projet'!$E$10+1,1))</f>
        <v>401.81944956556271</v>
      </c>
      <c r="AO42" s="59">
        <f t="shared" si="36"/>
        <v>292.20785523952651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11.142857142857142</v>
      </c>
      <c r="BD42" s="12">
        <f>IF('Données projet'!$A$88&gt;35,BD41+BC42-BL41,IF(A42&lt;'Données projet'!$A$88,$BA$205^A42,IF(A42='Données projet'!$A$88,'Données projet'!$B$88,BD41+BC42-BL41)))</f>
        <v>174.28571428571428</v>
      </c>
      <c r="BE42" s="13">
        <f>BD42*VLOOKUP('Données projet'!$B$11,Paramètres!$A$1:$I$89,3,0)*VLOOKUP('Données projet'!$B$11,Paramètres!$A$1:$I$89,5,0)</f>
        <v>135.94285714285715</v>
      </c>
      <c r="BF42" s="13">
        <f t="shared" si="37"/>
        <v>35.365986273808367</v>
      </c>
      <c r="BG42" s="20">
        <f t="shared" si="7"/>
        <v>298.36290228402578</v>
      </c>
      <c r="BH42" s="59">
        <f t="shared" si="8"/>
        <v>591.69623561735909</v>
      </c>
      <c r="BI42" s="59">
        <f ca="1">AVERAGE(OFFSET($BH$3,0,0,'Données projet'!$E$11+1,1))-AVERAGE(OFFSET($H$3,0,0,'Données projet'!$E$11+1,1))</f>
        <v>288.80569134263209</v>
      </c>
      <c r="BJ42" s="59">
        <f t="shared" si="38"/>
        <v>283.48738729114024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7.1715721742849139</v>
      </c>
      <c r="BQ42" s="21">
        <f>EXP(-LN(2)/25)*BQ41+(1-EXP(-LN(2)/25))/(LN(2)/25)*Calculateur!BL42*Calculateur!BN42*VLOOKUP('Données projet'!$B$11,Paramètres!$A$1:$I$89,3,0)*0.475*44/12</f>
        <v>15.280954238913072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22.452526413197987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</v>
      </c>
      <c r="BY42" s="12">
        <f>IF('Données projet'!$A$114&gt;35,BY41+BX42-CG41,IF(A42&lt;'Données projet'!$A$114,$BV$205^A42,IF(A42='Données projet'!$A$114,'Données projet'!$B$114,BY41+BX42-CG41)))</f>
        <v>143</v>
      </c>
      <c r="BZ42" s="13">
        <f>BY42*VLOOKUP('Données projet'!$B$12,Paramètres!$A$1:$I$89,3,0)*VLOOKUP('Données projet'!$B$12,Paramètres!$A$1:$I$89,5,0)</f>
        <v>149.46360000000001</v>
      </c>
      <c r="CA42" s="13">
        <f t="shared" si="39"/>
        <v>38.45666139225672</v>
      </c>
      <c r="CB42" s="20">
        <f t="shared" si="10"/>
        <v>327.29445525818045</v>
      </c>
      <c r="CC42" s="59">
        <f t="shared" si="11"/>
        <v>620.62778859151376</v>
      </c>
      <c r="CD42" s="59">
        <f ca="1">AVERAGE(OFFSET($CC$3,0,0,'Données projet'!$E$12+1,1))-AVERAGE(OFFSET($H$3,0,0,'Données projet'!$E$12+1,1))</f>
        <v>352.22281362023102</v>
      </c>
      <c r="CE42" s="59">
        <f t="shared" si="40"/>
        <v>310.2353747925161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5.3369963369963358</v>
      </c>
      <c r="CT42" s="12">
        <f>IF('Données projet'!$A$140&gt;35,CT41+CS42-DB41,IF(A42&lt;'Données projet'!$A$140,$CQ$205^A42,IF(A42='Données projet'!$A$140,'Données projet'!$B$140,CT41+CS42-DB41)))</f>
        <v>135.73809523809524</v>
      </c>
      <c r="CU42" s="17">
        <f>CT42*VLOOKUP('Données projet'!$B$13,Paramètres!$A$1:$I$89,3,0)*VLOOKUP('Données projet'!$B$13,Paramètres!$A$1:$I$89,5,0)</f>
        <v>122.81582857142857</v>
      </c>
      <c r="CV42" s="13">
        <f t="shared" si="41"/>
        <v>32.330855900842984</v>
      </c>
      <c r="CW42" s="20">
        <f t="shared" si="13"/>
        <v>270.21380878920627</v>
      </c>
      <c r="CX42" s="59">
        <f t="shared" si="14"/>
        <v>563.54714212253953</v>
      </c>
      <c r="CY42" s="59">
        <f ca="1">AVERAGE(OFFSET($CX$3,0,0,'Données projet'!$E$13+1,1))-AVERAGE(OFFSET($H$3,0,0,'Données projet'!$E$13+1,1))</f>
        <v>345.49688858037996</v>
      </c>
      <c r="CZ42" s="59">
        <f t="shared" si="42"/>
        <v>213.15872113755023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5.3369963369963358</v>
      </c>
      <c r="DO42" s="12">
        <f>IF('Données projet'!$A$166&gt;35,DO41+DN42-DW41,IF(A42&lt;'Données projet'!$A$166,$DL$205^A42,IF(A42='Données projet'!$A$166,'Données projet'!$B$166,DO41+DN42-DW41)))</f>
        <v>135.73809523809524</v>
      </c>
      <c r="DP42" s="17">
        <f>DO42*VLOOKUP('Données projet'!$B$14,Paramètres!$A$1:$I$89,3,0)*VLOOKUP('Données projet'!$B$14,Paramètres!$A$1:$I$89,5,0)</f>
        <v>137.63842857142859</v>
      </c>
      <c r="DQ42" s="13">
        <f t="shared" si="43"/>
        <v>35.755468155325104</v>
      </c>
      <c r="DR42" s="20">
        <f t="shared" si="16"/>
        <v>301.99437013242931</v>
      </c>
      <c r="DS42" s="59">
        <f t="shared" si="17"/>
        <v>595.32770346576262</v>
      </c>
      <c r="DT42" s="59">
        <f ca="1">AVERAGE(OFFSET($DS$3,0,0,'Données projet'!$E$14+1,1))-AVERAGE(OFFSET($H$3,0,0,'Données projet'!$E$14+1,1))</f>
        <v>382.26108489744581</v>
      </c>
      <c r="DU42" s="59">
        <f t="shared" si="44"/>
        <v>233.89423996158826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9.78571428571429</v>
      </c>
      <c r="EJ42" s="12">
        <f>IF('Données projet'!$A$192&gt;35,EJ41+EI42-ER41,IF(A42&lt;'Données projet'!$A$192,$EG$205^A42,IF(A42='Données projet'!$A$192,'Données projet'!$B$192,EJ41+EI42-ER41)))</f>
        <v>110.68040293040293</v>
      </c>
      <c r="EK42" s="17">
        <f>EJ42*VLOOKUP('Données projet'!$B$15,Paramètres!$A$1:$I$89,3,0)*VLOOKUP('Données projet'!$B$15,Paramètres!$A$1:$I$89,5,0)</f>
        <v>93.237171428571443</v>
      </c>
      <c r="EL42" s="13">
        <f t="shared" si="45"/>
        <v>25.344339907510765</v>
      </c>
      <c r="EM42" s="20">
        <f t="shared" si="19"/>
        <v>206.5294655770098</v>
      </c>
      <c r="EN42" s="59">
        <f t="shared" si="20"/>
        <v>499.86279891034314</v>
      </c>
      <c r="EO42" s="59">
        <f ca="1">AVERAGE(OFFSET($EN$3,0,0,'Données projet'!$E$15+1,1))-AVERAGE(OFFSET($H$3,0,0,'Données projet'!$E$15+1,1))</f>
        <v>312.48716825299158</v>
      </c>
      <c r="EP42" s="59">
        <f t="shared" si="46"/>
        <v>258.68277822755357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5.3369963369963358</v>
      </c>
      <c r="FE42" s="12">
        <f>IF('Données projet'!$A$218&gt;35,FE41+FD42-FM41,IF(A42&lt;'Données projet'!$A$218,$FB$205^A42,IF(A42='Données projet'!$A$218,'Données projet'!$B$218,FE41+FD42-FM41)))</f>
        <v>135.73809523809524</v>
      </c>
      <c r="FF42" s="17">
        <f>FE42*VLOOKUP('Données projet'!$B$16,Paramètres!$A$1:$I$89,3,0)*VLOOKUP('Données projet'!$B$16,Paramètres!$A$1:$I$89,5,0)</f>
        <v>146.10848571428573</v>
      </c>
      <c r="FG42" s="13">
        <f t="shared" si="47"/>
        <v>37.692876661099341</v>
      </c>
      <c r="FH42" s="20">
        <f t="shared" si="22"/>
        <v>320.12070613712899</v>
      </c>
      <c r="FI42" s="59">
        <f t="shared" si="23"/>
        <v>613.45403947046225</v>
      </c>
      <c r="FJ42" s="59">
        <f ca="1">AVERAGE(OFFSET($FI$3,0,0,'Données projet'!$E$16+1,1))-AVERAGE(OFFSET($H$3,0,0,'Données projet'!$E$16+1,1))</f>
        <v>403.23110963096246</v>
      </c>
      <c r="FK42" s="59">
        <f t="shared" si="48"/>
        <v>245.72000393124898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5.3369963369963358</v>
      </c>
      <c r="FZ42" s="12">
        <f>IF('Données projet'!$A$244&gt;35,FZ41+FY42-GH41,IF(A42&lt;'Données projet'!$A$244,$FW$205^A42,IF(A42='Données projet'!$A$244,'Données projet'!$B$244,FZ41+FY42-GH41)))</f>
        <v>135.73809523809524</v>
      </c>
      <c r="GA42" s="17">
        <f>FZ42*VLOOKUP('Données projet'!$B$17,Paramètres!$A$1:$I$89,3,0)*VLOOKUP('Données projet'!$B$17,Paramètres!$A$1:$I$89,5,0)</f>
        <v>131.28588571428571</v>
      </c>
      <c r="GB42" s="13">
        <f t="shared" si="49"/>
        <v>34.293319340356497</v>
      </c>
      <c r="GC42" s="20">
        <f t="shared" si="25"/>
        <v>288.38378213683524</v>
      </c>
      <c r="GD42" s="59">
        <f t="shared" si="26"/>
        <v>581.71711547016855</v>
      </c>
      <c r="GE42" s="59">
        <f ca="1">AVERAGE(OFFSET($GD$3,0,0,'Données projet'!$E$17+1,1))-AVERAGE(OFFSET($H$3,0,0,'Données projet'!$E$17+1,1))</f>
        <v>336.2911850338175</v>
      </c>
      <c r="GF42" s="59">
        <f t="shared" si="50"/>
        <v>225.01415116995503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5.3369963369963358</v>
      </c>
      <c r="GU42" s="12">
        <f>IF('Données projet'!$A$270&gt;35,GU41+GT42-HC41,IF(A42&lt;'Données projet'!$A$270,$GR$205^A42,IF(A42='Données projet'!$A$270,'Données projet'!$B$270,GU41+GT42-HC41)))</f>
        <v>135.73809523809524</v>
      </c>
      <c r="GV42" s="17">
        <f>GU42*VLOOKUP('Données projet'!$B$18,Paramètres!$A$1:$I$89,3,0)*VLOOKUP('Données projet'!$B$18,Paramètres!$A$1:$I$89,5,0)</f>
        <v>91.053114285714287</v>
      </c>
      <c r="GW42" s="13">
        <f t="shared" si="51"/>
        <v>24.819038581367352</v>
      </c>
      <c r="GX42" s="20">
        <f t="shared" si="28"/>
        <v>201.81066624350049</v>
      </c>
      <c r="GY42" s="59">
        <f t="shared" si="29"/>
        <v>495.14399957683383</v>
      </c>
      <c r="GZ42" s="59">
        <f ca="1">AVERAGE(OFFSET($GY$3,0,0,'Données projet'!$E$18+1,1))-AVERAGE(OFFSET($H$3,0,0,'Données projet'!$E$18+1,1))</f>
        <v>266.37807768393191</v>
      </c>
      <c r="HA42" s="59">
        <f t="shared" si="52"/>
        <v>168.52019826233425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0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192</v>
      </c>
      <c r="L43" s="12">
        <f>VLOOKUP(A43,'Données projet'!$A$35:$I$55,9,0)</f>
        <v>9.6</v>
      </c>
      <c r="M43" s="12">
        <f t="array" ref="M43">INDEX(L:L,MIN(IF(ISNUMBER(L43:L239),ROW(L43:L239),"")))</f>
        <v>9.6</v>
      </c>
      <c r="N43" s="13">
        <f>IF('Données projet'!$A$36&gt;35,N42+M43-V42,IF(A43&lt;'Données projet'!$A$36,$K$205^A43,IF(A43='Données projet'!$A$36,'Données projet'!$B$36,N42+M43-V42)))</f>
        <v>192</v>
      </c>
      <c r="O43" s="13">
        <f>N43*VLOOKUP('Données projet'!$B$9,Paramètres!$A$1:$I$89,3,0)*VLOOKUP('Données projet'!$B$9,Paramètres!$A$1:$I$89,5,0)</f>
        <v>167.73120000000003</v>
      </c>
      <c r="P43" s="13">
        <f t="shared" si="33"/>
        <v>42.581491199832655</v>
      </c>
      <c r="Q43" s="20">
        <f t="shared" si="53"/>
        <v>366.29460383970854</v>
      </c>
      <c r="R43" s="59">
        <f t="shared" si="0"/>
        <v>659.6279371730418</v>
      </c>
      <c r="S43" s="59">
        <f ca="1">AVERAGE(OFFSET($R$3,0,0,'Données projet'!$E$9+1,1))-AVERAGE(OFFSET($H$3,0,0,'Données projet'!$E$9+1,1))</f>
        <v>324.86930206492627</v>
      </c>
      <c r="T43" s="59">
        <f t="shared" si="34"/>
        <v>317.03005098025352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0.20670000000000002</v>
      </c>
      <c r="X43" s="16">
        <f>IF(ISNA(VLOOKUP(A43,'Données projet'!$A$35:$I$55,6,0)),0%,VLOOKUP(A43,'Données projet'!$A$35:$I$55,6,0)*VLOOKUP('Données projet'!$B$9,Paramètres!$A$1:$I$89,7,0))</f>
        <v>0.20670000000000002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8.3960570575368934</v>
      </c>
      <c r="AA43" s="21">
        <f>EXP(-LN(2)/25)*AA42+(1-EXP(-LN(2)/25))/(LN(2)/25)*Calculateur!V43*Calculateur!X43*VLOOKUP('Données projet'!$B$9,Paramètres!$A$1:$I$89,3,0)*0.475*44/12</f>
        <v>14.707650898737079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23.103707956273972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9.3141025641025621</v>
      </c>
      <c r="AI43" s="13">
        <f>IF('Données projet'!$A$62&gt;35,AI42+AH43-AQ42,IF(A43&lt;'Données projet'!$A$62,$AF$205^A43,IF(A43='Données projet'!$A$62,'Données projet'!$B$62,AI42+AH43-AQ42)))</f>
        <v>148.13461538461542</v>
      </c>
      <c r="AJ43" s="13">
        <f>AI43*VLOOKUP('Données projet'!$B$10,Paramètres!$A$1:$I$89,3,0)*VLOOKUP('Données projet'!$B$10,Paramètres!$A$1:$I$89,5,0)</f>
        <v>140.96490000000003</v>
      </c>
      <c r="AK43" s="13">
        <f t="shared" si="35"/>
        <v>36.51796209583523</v>
      </c>
      <c r="AL43" s="20">
        <f t="shared" si="4"/>
        <v>309.115984816913</v>
      </c>
      <c r="AM43" s="59">
        <f t="shared" si="5"/>
        <v>602.44931815024631</v>
      </c>
      <c r="AN43" s="59">
        <f ca="1">AVERAGE(OFFSET($AM$3,0,0,'Données projet'!$E$10+1,1))-AVERAGE(OFFSET($H$3,0,0,'Données projet'!$E$10+1,1))</f>
        <v>401.81944956556271</v>
      </c>
      <c r="AO43" s="59">
        <f t="shared" si="36"/>
        <v>292.20785523952651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11.142857142857142</v>
      </c>
      <c r="BD43" s="12">
        <f>IF('Données projet'!$A$88&gt;35,BD42+BC43-BL42,IF(A43&lt;'Données projet'!$A$88,$BA$205^A43,IF(A43='Données projet'!$A$88,'Données projet'!$B$88,BD42+BC43-BL42)))</f>
        <v>185.42857142857142</v>
      </c>
      <c r="BE43" s="13">
        <f>BD43*VLOOKUP('Données projet'!$B$11,Paramètres!$A$1:$I$89,3,0)*VLOOKUP('Données projet'!$B$11,Paramètres!$A$1:$I$89,5,0)</f>
        <v>144.63428571428571</v>
      </c>
      <c r="BF43" s="13">
        <f t="shared" si="37"/>
        <v>37.356634728420524</v>
      </c>
      <c r="BG43" s="20">
        <f t="shared" si="7"/>
        <v>316.96751977104668</v>
      </c>
      <c r="BH43" s="59">
        <f t="shared" si="8"/>
        <v>610.30085310437994</v>
      </c>
      <c r="BI43" s="59">
        <f ca="1">AVERAGE(OFFSET($BH$3,0,0,'Données projet'!$E$11+1,1))-AVERAGE(OFFSET($H$3,0,0,'Données projet'!$E$11+1,1))</f>
        <v>288.80569134263209</v>
      </c>
      <c r="BJ43" s="59">
        <f t="shared" si="38"/>
        <v>283.48738729114024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7.0309420181742937</v>
      </c>
      <c r="BQ43" s="21">
        <f>EXP(-LN(2)/25)*BQ42+(1-EXP(-LN(2)/25))/(LN(2)/25)*Calculateur!BL43*Calculateur!BN43*VLOOKUP('Données projet'!$B$11,Paramètres!$A$1:$I$89,3,0)*0.475*44/12</f>
        <v>14.863095741659535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21.894037759833829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150</v>
      </c>
      <c r="BW43" s="12">
        <f>VLOOKUP(A43,'Données projet'!$A$113:$I$133,9,0)</f>
        <v>7</v>
      </c>
      <c r="BX43" s="12">
        <f t="array" ref="BX43">INDEX(BW:BW,MIN(IF(ISNUMBER(BW43:BW239),ROW(BW43:BW239),"")))</f>
        <v>7</v>
      </c>
      <c r="BY43" s="12">
        <f>IF('Données projet'!$A$114&gt;35,BY42+BX43-CG42,IF(A43&lt;'Données projet'!$A$114,$BV$205^A43,IF(A43='Données projet'!$A$114,'Données projet'!$B$114,BY42+BX43-CG42)))</f>
        <v>150</v>
      </c>
      <c r="BZ43" s="13">
        <f>BY43*VLOOKUP('Données projet'!$B$12,Paramètres!$A$1:$I$89,3,0)*VLOOKUP('Données projet'!$B$12,Paramètres!$A$1:$I$89,5,0)</f>
        <v>156.78</v>
      </c>
      <c r="CA43" s="13">
        <f t="shared" si="39"/>
        <v>40.115378305457973</v>
      </c>
      <c r="CB43" s="20">
        <f t="shared" si="10"/>
        <v>342.92611721533927</v>
      </c>
      <c r="CC43" s="59">
        <f t="shared" si="11"/>
        <v>636.25945054867259</v>
      </c>
      <c r="CD43" s="59">
        <f ca="1">AVERAGE(OFFSET($CC$3,0,0,'Données projet'!$E$12+1,1))-AVERAGE(OFFSET($H$3,0,0,'Données projet'!$E$12+1,1))</f>
        <v>352.22281362023102</v>
      </c>
      <c r="CE43" s="59">
        <f t="shared" si="40"/>
        <v>310.2353747925161</v>
      </c>
      <c r="CF43" s="15">
        <f>IF(ISNA(VLOOKUP(A43,'Données projet'!$A$113:$I$133,3,0)),0,VLOOKUP(A43,'Données projet'!$A$113:$I$133,3,0))</f>
        <v>5</v>
      </c>
      <c r="CG43" s="15" t="str">
        <f>IF(ISNA(VLOOKUP(A43,'Données projet'!$A$113:$I$133,4,0)),0,VLOOKUP(A43,'Données projet'!$A$113:$I$133,4,0))</f>
        <v>20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0.215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4.9488194424928373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4.9488194424928373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5.3369963369963358</v>
      </c>
      <c r="CT43" s="12">
        <f>IF('Données projet'!$A$140&gt;35,CT42+CS43-DB42,IF(A43&lt;'Données projet'!$A$140,$CQ$205^A43,IF(A43='Données projet'!$A$140,'Données projet'!$B$140,CT42+CS43-DB42)))</f>
        <v>141.07509157509156</v>
      </c>
      <c r="CU43" s="17">
        <f>CT43*VLOOKUP('Données projet'!$B$13,Paramètres!$A$1:$I$89,3,0)*VLOOKUP('Données projet'!$B$13,Paramètres!$A$1:$I$89,5,0)</f>
        <v>127.64474285714284</v>
      </c>
      <c r="CV43" s="13">
        <f t="shared" si="41"/>
        <v>33.451550798682433</v>
      </c>
      <c r="CW43" s="20">
        <f t="shared" si="13"/>
        <v>280.57604478389567</v>
      </c>
      <c r="CX43" s="59">
        <f t="shared" si="14"/>
        <v>573.90937811722893</v>
      </c>
      <c r="CY43" s="59">
        <f ca="1">AVERAGE(OFFSET($CX$3,0,0,'Données projet'!$E$13+1,1))-AVERAGE(OFFSET($H$3,0,0,'Données projet'!$E$13+1,1))</f>
        <v>345.49688858037996</v>
      </c>
      <c r="CZ43" s="59">
        <f t="shared" si="42"/>
        <v>213.15872113755023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5.3369963369963358</v>
      </c>
      <c r="DO43" s="12">
        <f>IF('Données projet'!$A$166&gt;35,DO42+DN43-DW42,IF(A43&lt;'Données projet'!$A$166,$DL$205^A43,IF(A43='Données projet'!$A$166,'Données projet'!$B$166,DO42+DN43-DW42)))</f>
        <v>141.07509157509156</v>
      </c>
      <c r="DP43" s="17">
        <f>DO43*VLOOKUP('Données projet'!$B$14,Paramètres!$A$1:$I$89,3,0)*VLOOKUP('Données projet'!$B$14,Paramètres!$A$1:$I$89,5,0)</f>
        <v>143.05014285714284</v>
      </c>
      <c r="DQ43" s="13">
        <f t="shared" si="43"/>
        <v>36.994871493561163</v>
      </c>
      <c r="DR43" s="20">
        <f t="shared" si="16"/>
        <v>313.57839999414279</v>
      </c>
      <c r="DS43" s="59">
        <f t="shared" si="17"/>
        <v>606.9117333274761</v>
      </c>
      <c r="DT43" s="59">
        <f ca="1">AVERAGE(OFFSET($DS$3,0,0,'Données projet'!$E$14+1,1))-AVERAGE(OFFSET($H$3,0,0,'Données projet'!$E$14+1,1))</f>
        <v>382.26108489744581</v>
      </c>
      <c r="DU43" s="59">
        <f t="shared" si="44"/>
        <v>233.89423996158826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9.78571428571429</v>
      </c>
      <c r="EJ43" s="12">
        <f>IF('Données projet'!$A$192&gt;35,EJ42+EI43-ER42,IF(A43&lt;'Données projet'!$A$192,$EG$205^A43,IF(A43='Données projet'!$A$192,'Données projet'!$B$192,EJ42+EI43-ER42)))</f>
        <v>120.46611721611723</v>
      </c>
      <c r="EK43" s="17">
        <f>EJ43*VLOOKUP('Données projet'!$B$15,Paramètres!$A$1:$I$89,3,0)*VLOOKUP('Données projet'!$B$15,Paramètres!$A$1:$I$89,5,0)</f>
        <v>101.48065714285717</v>
      </c>
      <c r="EL43" s="13">
        <f t="shared" si="45"/>
        <v>27.3144413804566</v>
      </c>
      <c r="EM43" s="20">
        <f t="shared" si="19"/>
        <v>224.31812992810478</v>
      </c>
      <c r="EN43" s="59">
        <f t="shared" si="20"/>
        <v>517.65146326143804</v>
      </c>
      <c r="EO43" s="59">
        <f ca="1">AVERAGE(OFFSET($EN$3,0,0,'Données projet'!$E$15+1,1))-AVERAGE(OFFSET($H$3,0,0,'Données projet'!$E$15+1,1))</f>
        <v>312.48716825299158</v>
      </c>
      <c r="EP43" s="59">
        <f t="shared" si="46"/>
        <v>258.68277822755357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5.3369963369963358</v>
      </c>
      <c r="FE43" s="12">
        <f>IF('Données projet'!$A$218&gt;35,FE42+FD43-FM42,IF(A43&lt;'Données projet'!$A$218,$FB$205^A43,IF(A43='Données projet'!$A$218,'Données projet'!$B$218,FE42+FD43-FM42)))</f>
        <v>141.07509157509156</v>
      </c>
      <c r="FF43" s="17">
        <f>FE43*VLOOKUP('Données projet'!$B$16,Paramètres!$A$1:$I$89,3,0)*VLOOKUP('Données projet'!$B$16,Paramètres!$A$1:$I$89,5,0)</f>
        <v>151.85322857142856</v>
      </c>
      <c r="FG43" s="13">
        <f t="shared" si="47"/>
        <v>38.99943701596716</v>
      </c>
      <c r="FH43" s="20">
        <f t="shared" si="22"/>
        <v>332.40172589804757</v>
      </c>
      <c r="FI43" s="59">
        <f t="shared" si="23"/>
        <v>625.73505923138089</v>
      </c>
      <c r="FJ43" s="59">
        <f ca="1">AVERAGE(OFFSET($FI$3,0,0,'Données projet'!$E$16+1,1))-AVERAGE(OFFSET($H$3,0,0,'Données projet'!$E$16+1,1))</f>
        <v>403.23110963096246</v>
      </c>
      <c r="FK43" s="59">
        <f t="shared" si="48"/>
        <v>245.72000393124898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5.3369963369963358</v>
      </c>
      <c r="FZ43" s="12">
        <f>IF('Données projet'!$A$244&gt;35,FZ42+FY43-GH42,IF(A43&lt;'Données projet'!$A$244,$FW$205^A43,IF(A43='Données projet'!$A$244,'Données projet'!$B$244,FZ42+FY43-GH42)))</f>
        <v>141.07509157509156</v>
      </c>
      <c r="GA43" s="17">
        <f>FZ43*VLOOKUP('Données projet'!$B$17,Paramètres!$A$1:$I$89,3,0)*VLOOKUP('Données projet'!$B$17,Paramètres!$A$1:$I$89,5,0)</f>
        <v>136.44782857142857</v>
      </c>
      <c r="GB43" s="13">
        <f t="shared" si="49"/>
        <v>35.482039742086272</v>
      </c>
      <c r="GC43" s="20">
        <f t="shared" si="25"/>
        <v>299.44452064603837</v>
      </c>
      <c r="GD43" s="59">
        <f t="shared" si="26"/>
        <v>592.77785397937168</v>
      </c>
      <c r="GE43" s="59">
        <f ca="1">AVERAGE(OFFSET($GD$3,0,0,'Données projet'!$E$17+1,1))-AVERAGE(OFFSET($H$3,0,0,'Données projet'!$E$17+1,1))</f>
        <v>336.2911850338175</v>
      </c>
      <c r="GF43" s="59">
        <f t="shared" si="50"/>
        <v>225.01415116995503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5.3369963369963358</v>
      </c>
      <c r="GU43" s="12">
        <f>IF('Données projet'!$A$270&gt;35,GU42+GT43-HC42,IF(A43&lt;'Données projet'!$A$270,$GR$205^A43,IF(A43='Données projet'!$A$270,'Données projet'!$B$270,GU42+GT43-HC42)))</f>
        <v>141.07509157509156</v>
      </c>
      <c r="GV43" s="17">
        <f>GU43*VLOOKUP('Données projet'!$B$18,Paramètres!$A$1:$I$89,3,0)*VLOOKUP('Données projet'!$B$18,Paramètres!$A$1:$I$89,5,0)</f>
        <v>94.633171428571416</v>
      </c>
      <c r="GW43" s="13">
        <f t="shared" si="51"/>
        <v>25.679348929869267</v>
      </c>
      <c r="GX43" s="20">
        <f t="shared" si="28"/>
        <v>209.54430629095086</v>
      </c>
      <c r="GY43" s="59">
        <f t="shared" si="29"/>
        <v>502.87763962428414</v>
      </c>
      <c r="GZ43" s="59">
        <f ca="1">AVERAGE(OFFSET($GY$3,0,0,'Données projet'!$E$18+1,1))-AVERAGE(OFFSET($H$3,0,0,'Données projet'!$E$18+1,1))</f>
        <v>266.37807768393191</v>
      </c>
      <c r="HA43" s="59">
        <f t="shared" si="52"/>
        <v>168.52019826233425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0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8.1999999999999993</v>
      </c>
      <c r="N44" s="13">
        <f>IF('Données projet'!$A$36&gt;35,N43+M44-V43,IF(A44&lt;'Données projet'!$A$36,$K$205^A44,IF(A44='Données projet'!$A$36,'Données projet'!$B$36,N43+M44-V43)))</f>
        <v>172.2</v>
      </c>
      <c r="O44" s="13">
        <f>N44*VLOOKUP('Données projet'!$B$9,Paramètres!$A$1:$I$89,3,0)*VLOOKUP('Données projet'!$B$9,Paramètres!$A$1:$I$89,5,0)</f>
        <v>150.43392</v>
      </c>
      <c r="P44" s="13">
        <f t="shared" si="33"/>
        <v>38.677178913707927</v>
      </c>
      <c r="Q44" s="20">
        <f t="shared" si="53"/>
        <v>329.36849727470798</v>
      </c>
      <c r="R44" s="59">
        <f t="shared" si="0"/>
        <v>622.70183060804129</v>
      </c>
      <c r="S44" s="59">
        <f ca="1">AVERAGE(OFFSET($R$3,0,0,'Données projet'!$E$9+1,1))-AVERAGE(OFFSET($H$3,0,0,'Données projet'!$E$9+1,1))</f>
        <v>324.86930206492627</v>
      </c>
      <c r="T44" s="59">
        <f t="shared" si="34"/>
        <v>317.03005098025352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8.2314154997277349</v>
      </c>
      <c r="AA44" s="21">
        <f>EXP(-LN(2)/25)*AA43+(1-EXP(-LN(2)/25))/(LN(2)/25)*Calculateur!V44*Calculateur!X44*VLOOKUP('Données projet'!$B$9,Paramètres!$A$1:$I$89,3,0)*0.475*44/12</f>
        <v>14.305469411469367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22.536884911197102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157.44871794871796</v>
      </c>
      <c r="AG44" s="12">
        <f>VLOOKUP(A44,'Données projet'!$A$61:$I$81,9,0)</f>
        <v>9.3141025641025621</v>
      </c>
      <c r="AH44" s="12">
        <f t="array" ref="AH44">INDEX(AG:AG,MIN(IF(ISNUMBER(AG44:AG240),ROW(AG44:AG240),"")))</f>
        <v>9.3141025641025621</v>
      </c>
      <c r="AI44" s="13">
        <f>IF('Données projet'!$A$62&gt;35,AI43+AH44-AQ43,IF(A44&lt;'Données projet'!$A$62,$AF$205^A44,IF(A44='Données projet'!$A$62,'Données projet'!$B$62,AI43+AH44-AQ43)))</f>
        <v>157.44871794871798</v>
      </c>
      <c r="AJ44" s="13">
        <f>AI44*VLOOKUP('Données projet'!$B$10,Paramètres!$A$1:$I$89,3,0)*VLOOKUP('Données projet'!$B$10,Paramètres!$A$1:$I$89,5,0)</f>
        <v>149.82820000000004</v>
      </c>
      <c r="AK44" s="13">
        <f t="shared" si="35"/>
        <v>38.539540850774493</v>
      </c>
      <c r="AL44" s="20">
        <f t="shared" si="4"/>
        <v>328.07381531509895</v>
      </c>
      <c r="AM44" s="59">
        <f t="shared" si="5"/>
        <v>621.40714864843221</v>
      </c>
      <c r="AN44" s="59">
        <f ca="1">AVERAGE(OFFSET($AM$3,0,0,'Données projet'!$E$10+1,1))-AVERAGE(OFFSET($H$3,0,0,'Données projet'!$E$10+1,1))</f>
        <v>401.81944956556271</v>
      </c>
      <c r="AO44" s="59">
        <f t="shared" si="36"/>
        <v>292.20785523952651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38.512820512820511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11.142857142857142</v>
      </c>
      <c r="BD44" s="12">
        <f>IF('Données projet'!$A$88&gt;35,BD43+BC44-BL43,IF(A44&lt;'Données projet'!$A$88,$BA$205^A44,IF(A44='Données projet'!$A$88,'Données projet'!$B$88,BD43+BC44-BL43)))</f>
        <v>196.57142857142856</v>
      </c>
      <c r="BE44" s="13">
        <f>BD44*VLOOKUP('Données projet'!$B$11,Paramètres!$A$1:$I$89,3,0)*VLOOKUP('Données projet'!$B$11,Paramètres!$A$1:$I$89,5,0)</f>
        <v>153.32571428571427</v>
      </c>
      <c r="BF44" s="13">
        <f t="shared" si="37"/>
        <v>39.33339883761419</v>
      </c>
      <c r="BG44" s="20">
        <f t="shared" si="7"/>
        <v>335.54795535646372</v>
      </c>
      <c r="BH44" s="59">
        <f t="shared" si="8"/>
        <v>628.88128868979697</v>
      </c>
      <c r="BI44" s="59">
        <f ca="1">AVERAGE(OFFSET($BH$3,0,0,'Données projet'!$E$11+1,1))-AVERAGE(OFFSET($H$3,0,0,'Données projet'!$E$11+1,1))</f>
        <v>288.80569134263209</v>
      </c>
      <c r="BJ44" s="59">
        <f t="shared" si="38"/>
        <v>283.48738729114024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6.8930695336490775</v>
      </c>
      <c r="BQ44" s="21">
        <f>EXP(-LN(2)/25)*BQ43+(1-EXP(-LN(2)/25))/(LN(2)/25)*Calculateur!BL44*Calculateur!BN44*VLOOKUP('Données projet'!$B$11,Paramètres!$A$1:$I$89,3,0)*0.475*44/12</f>
        <v>14.45666360698762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21.349733140636697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136.4</v>
      </c>
      <c r="BZ44" s="13">
        <f>BY44*VLOOKUP('Données projet'!$B$12,Paramètres!$A$1:$I$89,3,0)*VLOOKUP('Données projet'!$B$12,Paramètres!$A$1:$I$89,5,0)</f>
        <v>142.56528</v>
      </c>
      <c r="CA44" s="13">
        <f t="shared" si="39"/>
        <v>36.884052647824326</v>
      </c>
      <c r="CB44" s="20">
        <f t="shared" si="10"/>
        <v>312.54092102829401</v>
      </c>
      <c r="CC44" s="59">
        <f t="shared" si="11"/>
        <v>605.87425436162732</v>
      </c>
      <c r="CD44" s="59">
        <f ca="1">AVERAGE(OFFSET($CC$3,0,0,'Données projet'!$E$12+1,1))-AVERAGE(OFFSET($H$3,0,0,'Données projet'!$E$12+1,1))</f>
        <v>352.22281362023102</v>
      </c>
      <c r="CE44" s="59">
        <f t="shared" si="40"/>
        <v>310.2353747925161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4.8134937145907672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4.8134937145907672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5.3369963369963358</v>
      </c>
      <c r="CT44" s="12">
        <f>IF('Données projet'!$A$140&gt;35,CT43+CS44-DB43,IF(A44&lt;'Données projet'!$A$140,$CQ$205^A44,IF(A44='Données projet'!$A$140,'Données projet'!$B$140,CT43+CS44-DB43)))</f>
        <v>146.41208791208788</v>
      </c>
      <c r="CU44" s="17">
        <f>CT44*VLOOKUP('Données projet'!$B$13,Paramètres!$A$1:$I$89,3,0)*VLOOKUP('Données projet'!$B$13,Paramètres!$A$1:$I$89,5,0)</f>
        <v>132.47365714285712</v>
      </c>
      <c r="CV44" s="13">
        <f t="shared" si="41"/>
        <v>34.567320307816402</v>
      </c>
      <c r="CW44" s="20">
        <f t="shared" si="13"/>
        <v>290.92970239325638</v>
      </c>
      <c r="CX44" s="59">
        <f t="shared" si="14"/>
        <v>584.26303572658969</v>
      </c>
      <c r="CY44" s="59">
        <f ca="1">AVERAGE(OFFSET($CX$3,0,0,'Données projet'!$E$13+1,1))-AVERAGE(OFFSET($H$3,0,0,'Données projet'!$E$13+1,1))</f>
        <v>345.49688858037996</v>
      </c>
      <c r="CZ44" s="59">
        <f t="shared" si="42"/>
        <v>213.15872113755023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5.3369963369963358</v>
      </c>
      <c r="DO44" s="12">
        <f>IF('Données projet'!$A$166&gt;35,DO43+DN44-DW43,IF(A44&lt;'Données projet'!$A$166,$DL$205^A44,IF(A44='Données projet'!$A$166,'Données projet'!$B$166,DO43+DN44-DW43)))</f>
        <v>146.41208791208788</v>
      </c>
      <c r="DP44" s="17">
        <f>DO44*VLOOKUP('Données projet'!$B$14,Paramètres!$A$1:$I$89,3,0)*VLOOKUP('Données projet'!$B$14,Paramètres!$A$1:$I$89,5,0)</f>
        <v>148.46185714285713</v>
      </c>
      <c r="DQ44" s="13">
        <f t="shared" si="43"/>
        <v>38.228827726420505</v>
      </c>
      <c r="DR44" s="20">
        <f t="shared" si="16"/>
        <v>325.15294281399184</v>
      </c>
      <c r="DS44" s="59">
        <f t="shared" si="17"/>
        <v>618.48627614732516</v>
      </c>
      <c r="DT44" s="59">
        <f ca="1">AVERAGE(OFFSET($DS$3,0,0,'Données projet'!$E$14+1,1))-AVERAGE(OFFSET($H$3,0,0,'Données projet'!$E$14+1,1))</f>
        <v>382.26108489744581</v>
      </c>
      <c r="DU44" s="59">
        <f t="shared" si="44"/>
        <v>233.89423996158826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9.78571428571429</v>
      </c>
      <c r="EJ44" s="12">
        <f>IF('Données projet'!$A$192&gt;35,EJ43+EI44-ER43,IF(A44&lt;'Données projet'!$A$192,$EG$205^A44,IF(A44='Données projet'!$A$192,'Données projet'!$B$192,EJ43+EI44-ER43)))</f>
        <v>130.2518315018315</v>
      </c>
      <c r="EK44" s="17">
        <f>EJ44*VLOOKUP('Données projet'!$B$15,Paramètres!$A$1:$I$89,3,0)*VLOOKUP('Données projet'!$B$15,Paramètres!$A$1:$I$89,5,0)</f>
        <v>109.72414285714287</v>
      </c>
      <c r="EL44" s="13">
        <f t="shared" si="45"/>
        <v>29.265980983115128</v>
      </c>
      <c r="EM44" s="20">
        <f t="shared" si="19"/>
        <v>242.07446568844929</v>
      </c>
      <c r="EN44" s="59">
        <f t="shared" si="20"/>
        <v>535.40779902178258</v>
      </c>
      <c r="EO44" s="59">
        <f ca="1">AVERAGE(OFFSET($EN$3,0,0,'Données projet'!$E$15+1,1))-AVERAGE(OFFSET($H$3,0,0,'Données projet'!$E$15+1,1))</f>
        <v>312.48716825299158</v>
      </c>
      <c r="EP44" s="59">
        <f t="shared" si="46"/>
        <v>258.68277822755357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5.3369963369963358</v>
      </c>
      <c r="FE44" s="12">
        <f>IF('Données projet'!$A$218&gt;35,FE43+FD44-FM43,IF(A44&lt;'Données projet'!$A$218,$FB$205^A44,IF(A44='Données projet'!$A$218,'Données projet'!$B$218,FE43+FD44-FM43)))</f>
        <v>146.41208791208788</v>
      </c>
      <c r="FF44" s="17">
        <f>FE44*VLOOKUP('Données projet'!$B$16,Paramètres!$A$1:$I$89,3,0)*VLOOKUP('Données projet'!$B$16,Paramètres!$A$1:$I$89,5,0)</f>
        <v>157.59797142857141</v>
      </c>
      <c r="FG44" s="13">
        <f t="shared" si="47"/>
        <v>40.300255114287417</v>
      </c>
      <c r="FH44" s="20">
        <f t="shared" si="22"/>
        <v>344.67274456214574</v>
      </c>
      <c r="FI44" s="59">
        <f t="shared" si="23"/>
        <v>638.00607789547905</v>
      </c>
      <c r="FJ44" s="59">
        <f ca="1">AVERAGE(OFFSET($FI$3,0,0,'Données projet'!$E$16+1,1))-AVERAGE(OFFSET($H$3,0,0,'Données projet'!$E$16+1,1))</f>
        <v>403.23110963096246</v>
      </c>
      <c r="FK44" s="59">
        <f t="shared" si="48"/>
        <v>245.72000393124898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5.3369963369963358</v>
      </c>
      <c r="FZ44" s="12">
        <f>IF('Données projet'!$A$244&gt;35,FZ43+FY44-GH43,IF(A44&lt;'Données projet'!$A$244,$FW$205^A44,IF(A44='Données projet'!$A$244,'Données projet'!$B$244,FZ43+FY44-GH43)))</f>
        <v>146.41208791208788</v>
      </c>
      <c r="GA44" s="17">
        <f>FZ44*VLOOKUP('Données projet'!$B$17,Paramètres!$A$1:$I$89,3,0)*VLOOKUP('Données projet'!$B$17,Paramètres!$A$1:$I$89,5,0)</f>
        <v>141.60977142857141</v>
      </c>
      <c r="GB44" s="13">
        <f t="shared" si="49"/>
        <v>36.665535786988855</v>
      </c>
      <c r="GC44" s="20">
        <f t="shared" si="25"/>
        <v>310.49616006710073</v>
      </c>
      <c r="GD44" s="59">
        <f t="shared" si="26"/>
        <v>603.8294934004341</v>
      </c>
      <c r="GE44" s="59">
        <f ca="1">AVERAGE(OFFSET($GD$3,0,0,'Données projet'!$E$17+1,1))-AVERAGE(OFFSET($H$3,0,0,'Données projet'!$E$17+1,1))</f>
        <v>336.2911850338175</v>
      </c>
      <c r="GF44" s="59">
        <f t="shared" si="50"/>
        <v>225.01415116995503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5.3369963369963358</v>
      </c>
      <c r="GU44" s="12">
        <f>IF('Données projet'!$A$270&gt;35,GU43+GT44-HC43,IF(A44&lt;'Données projet'!$A$270,$GR$205^A44,IF(A44='Données projet'!$A$270,'Données projet'!$B$270,GU43+GT44-HC43)))</f>
        <v>146.41208791208788</v>
      </c>
      <c r="GV44" s="17">
        <f>GU44*VLOOKUP('Données projet'!$B$18,Paramètres!$A$1:$I$89,3,0)*VLOOKUP('Données projet'!$B$18,Paramètres!$A$1:$I$89,5,0)</f>
        <v>98.213228571428559</v>
      </c>
      <c r="GW44" s="13">
        <f t="shared" si="51"/>
        <v>26.5358782645717</v>
      </c>
      <c r="GX44" s="20">
        <f t="shared" si="28"/>
        <v>217.27136107270044</v>
      </c>
      <c r="GY44" s="59">
        <f t="shared" si="29"/>
        <v>510.60469440603379</v>
      </c>
      <c r="GZ44" s="59">
        <f ca="1">AVERAGE(OFFSET($GY$3,0,0,'Données projet'!$E$18+1,1))-AVERAGE(OFFSET($H$3,0,0,'Données projet'!$E$18+1,1))</f>
        <v>266.37807768393191</v>
      </c>
      <c r="HA44" s="59">
        <f t="shared" si="52"/>
        <v>168.52019826233425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0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8.1999999999999993</v>
      </c>
      <c r="N45" s="13">
        <f>IF('Données projet'!$A$36&gt;35,N44+M45-V44,IF(A45&lt;'Données projet'!$A$36,$K$205^A45,IF(A45='Données projet'!$A$36,'Données projet'!$B$36,N44+M45-V44)))</f>
        <v>180.39999999999998</v>
      </c>
      <c r="O45" s="13">
        <f>N45*VLOOKUP('Données projet'!$B$9,Paramètres!$A$1:$I$89,3,0)*VLOOKUP('Données projet'!$B$9,Paramètres!$A$1:$I$89,5,0)</f>
        <v>157.59744000000001</v>
      </c>
      <c r="P45" s="13">
        <f t="shared" si="33"/>
        <v>40.300135037830529</v>
      </c>
      <c r="Q45" s="20">
        <f t="shared" si="53"/>
        <v>344.67160985755481</v>
      </c>
      <c r="R45" s="59">
        <f t="shared" si="0"/>
        <v>638.00494319088807</v>
      </c>
      <c r="S45" s="59">
        <f ca="1">AVERAGE(OFFSET($R$3,0,0,'Données projet'!$E$9+1,1))-AVERAGE(OFFSET($H$3,0,0,'Données projet'!$E$9+1,1))</f>
        <v>324.86930206492627</v>
      </c>
      <c r="T45" s="59">
        <f t="shared" si="34"/>
        <v>317.03005098025352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8.0700024624457782</v>
      </c>
      <c r="AA45" s="21">
        <f>EXP(-LN(2)/25)*AA44+(1-EXP(-LN(2)/25))/(LN(2)/25)*Calculateur!V45*Calculateur!X45*VLOOKUP('Données projet'!$B$9,Paramètres!$A$1:$I$89,3,0)*0.475*44/12</f>
        <v>13.914285598120797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21.984288060566577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9.3452380952380913</v>
      </c>
      <c r="AI45" s="13">
        <f>IF('Données projet'!$A$62&gt;35,AI44+AH45-AQ44,IF(A45&lt;'Données projet'!$A$62,$AF$205^A45,IF(A45='Données projet'!$A$62,'Données projet'!$B$62,AI44+AH45-AQ44)))</f>
        <v>128.28113553113559</v>
      </c>
      <c r="AJ45" s="13">
        <f>AI45*VLOOKUP('Données projet'!$B$10,Paramètres!$A$1:$I$89,3,0)*VLOOKUP('Données projet'!$B$10,Paramètres!$A$1:$I$89,5,0)</f>
        <v>122.07232857142864</v>
      </c>
      <c r="AK45" s="13">
        <f t="shared" si="35"/>
        <v>32.157853203990967</v>
      </c>
      <c r="AL45" s="20">
        <f t="shared" si="4"/>
        <v>268.61756659218918</v>
      </c>
      <c r="AM45" s="59">
        <f t="shared" si="5"/>
        <v>561.95089992552244</v>
      </c>
      <c r="AN45" s="59">
        <f ca="1">AVERAGE(OFFSET($AM$3,0,0,'Données projet'!$E$10+1,1))-AVERAGE(OFFSET($H$3,0,0,'Données projet'!$E$10+1,1))</f>
        <v>401.81944956556271</v>
      </c>
      <c r="AO45" s="59">
        <f t="shared" si="36"/>
        <v>292.20785523952651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11.142857142857142</v>
      </c>
      <c r="BD45" s="12">
        <f>IF('Données projet'!$A$88&gt;35,BD44+BC45-BL44,IF(A45&lt;'Données projet'!$A$88,$BA$205^A45,IF(A45='Données projet'!$A$88,'Données projet'!$B$88,BD44+BC45-BL44)))</f>
        <v>207.71428571428569</v>
      </c>
      <c r="BE45" s="13">
        <f>BD45*VLOOKUP('Données projet'!$B$11,Paramètres!$A$1:$I$89,3,0)*VLOOKUP('Données projet'!$B$11,Paramètres!$A$1:$I$89,5,0)</f>
        <v>162.01714285714286</v>
      </c>
      <c r="BF45" s="13">
        <f t="shared" si="37"/>
        <v>41.297155335096676</v>
      </c>
      <c r="BG45" s="20">
        <f t="shared" si="7"/>
        <v>354.10573601815054</v>
      </c>
      <c r="BH45" s="59">
        <f t="shared" si="8"/>
        <v>647.43906935148379</v>
      </c>
      <c r="BI45" s="59">
        <f ca="1">AVERAGE(OFFSET($BH$3,0,0,'Données projet'!$E$11+1,1))-AVERAGE(OFFSET($H$3,0,0,'Données projet'!$E$11+1,1))</f>
        <v>288.80569134263209</v>
      </c>
      <c r="BJ45" s="59">
        <f t="shared" si="38"/>
        <v>283.48738729114024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6.7579006444514889</v>
      </c>
      <c r="BQ45" s="21">
        <f>EXP(-LN(2)/25)*BQ44+(1-EXP(-LN(2)/25))/(LN(2)/25)*Calculateur!BL45*Calculateur!BN45*VLOOKUP('Données projet'!$B$11,Paramètres!$A$1:$I$89,3,0)*0.475*44/12</f>
        <v>14.061345380411646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20.819246024863133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142.80000000000001</v>
      </c>
      <c r="BZ45" s="13">
        <f>BY45*VLOOKUP('Données projet'!$B$12,Paramètres!$A$1:$I$89,3,0)*VLOOKUP('Données projet'!$B$12,Paramètres!$A$1:$I$89,5,0)</f>
        <v>149.25456000000003</v>
      </c>
      <c r="CA45" s="13">
        <f t="shared" si="39"/>
        <v>38.409132618275962</v>
      </c>
      <c r="CB45" s="20">
        <f t="shared" si="10"/>
        <v>326.84759797683068</v>
      </c>
      <c r="CC45" s="59">
        <f t="shared" si="11"/>
        <v>620.18093131016394</v>
      </c>
      <c r="CD45" s="59">
        <f ca="1">AVERAGE(OFFSET($CC$3,0,0,'Données projet'!$E$12+1,1))-AVERAGE(OFFSET($H$3,0,0,'Données projet'!$E$12+1,1))</f>
        <v>352.22281362023102</v>
      </c>
      <c r="CE45" s="59">
        <f t="shared" si="40"/>
        <v>310.2353747925161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4.6818684758346496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4.6818684758346496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5.3369963369963358</v>
      </c>
      <c r="CT45" s="12">
        <f>IF('Données projet'!$A$140&gt;35,CT44+CS45-DB44,IF(A45&lt;'Données projet'!$A$140,$CQ$205^A45,IF(A45='Données projet'!$A$140,'Données projet'!$B$140,CT44+CS45-DB44)))</f>
        <v>151.74908424908421</v>
      </c>
      <c r="CU45" s="17">
        <f>CT45*VLOOKUP('Données projet'!$B$13,Paramètres!$A$1:$I$89,3,0)*VLOOKUP('Données projet'!$B$13,Paramètres!$A$1:$I$89,5,0)</f>
        <v>137.30257142857138</v>
      </c>
      <c r="CV45" s="13">
        <f t="shared" si="41"/>
        <v>35.678364531877897</v>
      </c>
      <c r="CW45" s="20">
        <f t="shared" si="13"/>
        <v>301.27513013111576</v>
      </c>
      <c r="CX45" s="59">
        <f t="shared" si="14"/>
        <v>594.60846346444907</v>
      </c>
      <c r="CY45" s="59">
        <f ca="1">AVERAGE(OFFSET($CX$3,0,0,'Données projet'!$E$13+1,1))-AVERAGE(OFFSET($H$3,0,0,'Données projet'!$E$13+1,1))</f>
        <v>345.49688858037996</v>
      </c>
      <c r="CZ45" s="59">
        <f t="shared" si="42"/>
        <v>213.15872113755023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5.3369963369963358</v>
      </c>
      <c r="DO45" s="12">
        <f>IF('Données projet'!$A$166&gt;35,DO44+DN45-DW44,IF(A45&lt;'Données projet'!$A$166,$DL$205^A45,IF(A45='Données projet'!$A$166,'Données projet'!$B$166,DO44+DN45-DW44)))</f>
        <v>151.74908424908421</v>
      </c>
      <c r="DP45" s="17">
        <f>DO45*VLOOKUP('Données projet'!$B$14,Paramètres!$A$1:$I$89,3,0)*VLOOKUP('Données projet'!$B$14,Paramètres!$A$1:$I$89,5,0)</f>
        <v>153.87357142857138</v>
      </c>
      <c r="DQ45" s="13">
        <f t="shared" si="43"/>
        <v>39.457558153305143</v>
      </c>
      <c r="DR45" s="20">
        <f t="shared" si="16"/>
        <v>336.71838402176826</v>
      </c>
      <c r="DS45" s="59">
        <f t="shared" si="17"/>
        <v>630.05171735510157</v>
      </c>
      <c r="DT45" s="59">
        <f ca="1">AVERAGE(OFFSET($DS$3,0,0,'Données projet'!$E$14+1,1))-AVERAGE(OFFSET($H$3,0,0,'Données projet'!$E$14+1,1))</f>
        <v>382.26108489744581</v>
      </c>
      <c r="DU45" s="59">
        <f t="shared" si="44"/>
        <v>233.89423996158826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9.78571428571429</v>
      </c>
      <c r="EJ45" s="12">
        <f>IF('Données projet'!$A$192&gt;35,EJ44+EI45-ER44,IF(A45&lt;'Données projet'!$A$192,$EG$205^A45,IF(A45='Données projet'!$A$192,'Données projet'!$B$192,EJ44+EI45-ER44)))</f>
        <v>140.03754578754578</v>
      </c>
      <c r="EK45" s="17">
        <f>EJ45*VLOOKUP('Données projet'!$B$15,Paramètres!$A$1:$I$89,3,0)*VLOOKUP('Données projet'!$B$15,Paramètres!$A$1:$I$89,5,0)</f>
        <v>117.96762857142858</v>
      </c>
      <c r="EL45" s="13">
        <f t="shared" si="45"/>
        <v>31.200511823360365</v>
      </c>
      <c r="EM45" s="20">
        <f t="shared" si="19"/>
        <v>259.80117785425745</v>
      </c>
      <c r="EN45" s="59">
        <f t="shared" si="20"/>
        <v>553.13451118759076</v>
      </c>
      <c r="EO45" s="59">
        <f ca="1">AVERAGE(OFFSET($EN$3,0,0,'Données projet'!$E$15+1,1))-AVERAGE(OFFSET($H$3,0,0,'Données projet'!$E$15+1,1))</f>
        <v>312.48716825299158</v>
      </c>
      <c r="EP45" s="59">
        <f t="shared" si="46"/>
        <v>258.68277822755357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5.3369963369963358</v>
      </c>
      <c r="FE45" s="12">
        <f>IF('Données projet'!$A$218&gt;35,FE44+FD45-FM44,IF(A45&lt;'Données projet'!$A$218,$FB$205^A45,IF(A45='Données projet'!$A$218,'Données projet'!$B$218,FE44+FD45-FM44)))</f>
        <v>151.74908424908421</v>
      </c>
      <c r="FF45" s="17">
        <f>FE45*VLOOKUP('Données projet'!$B$16,Paramètres!$A$1:$I$89,3,0)*VLOOKUP('Données projet'!$B$16,Paramètres!$A$1:$I$89,5,0)</f>
        <v>163.34271428571424</v>
      </c>
      <c r="FG45" s="13">
        <f t="shared" si="47"/>
        <v>41.595564246560798</v>
      </c>
      <c r="FH45" s="20">
        <f t="shared" si="22"/>
        <v>356.93416844371239</v>
      </c>
      <c r="FI45" s="59">
        <f t="shared" si="23"/>
        <v>650.26750177704571</v>
      </c>
      <c r="FJ45" s="59">
        <f ca="1">AVERAGE(OFFSET($FI$3,0,0,'Données projet'!$E$16+1,1))-AVERAGE(OFFSET($H$3,0,0,'Données projet'!$E$16+1,1))</f>
        <v>403.23110963096246</v>
      </c>
      <c r="FK45" s="59">
        <f t="shared" si="48"/>
        <v>245.72000393124898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5.3369963369963358</v>
      </c>
      <c r="FZ45" s="12">
        <f>IF('Données projet'!$A$244&gt;35,FZ44+FY45-GH44,IF(A45&lt;'Données projet'!$A$244,$FW$205^A45,IF(A45='Données projet'!$A$244,'Données projet'!$B$244,FZ44+FY45-GH44)))</f>
        <v>151.74908424908421</v>
      </c>
      <c r="GA45" s="17">
        <f>FZ45*VLOOKUP('Données projet'!$B$17,Paramètres!$A$1:$I$89,3,0)*VLOOKUP('Données projet'!$B$17,Paramètres!$A$1:$I$89,5,0)</f>
        <v>146.77171428571427</v>
      </c>
      <c r="GB45" s="13">
        <f t="shared" si="49"/>
        <v>37.844019724867131</v>
      </c>
      <c r="GC45" s="20">
        <f t="shared" si="25"/>
        <v>321.53907006842928</v>
      </c>
      <c r="GD45" s="59">
        <f t="shared" si="26"/>
        <v>614.87240340176254</v>
      </c>
      <c r="GE45" s="59">
        <f ca="1">AVERAGE(OFFSET($GD$3,0,0,'Données projet'!$E$17+1,1))-AVERAGE(OFFSET($H$3,0,0,'Données projet'!$E$17+1,1))</f>
        <v>336.2911850338175</v>
      </c>
      <c r="GF45" s="59">
        <f t="shared" si="50"/>
        <v>225.01415116995503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5.3369963369963358</v>
      </c>
      <c r="GU45" s="12">
        <f>IF('Données projet'!$A$270&gt;35,GU44+GT45-HC44,IF(A45&lt;'Données projet'!$A$270,$GR$205^A45,IF(A45='Données projet'!$A$270,'Données projet'!$B$270,GU44+GT45-HC44)))</f>
        <v>151.74908424908421</v>
      </c>
      <c r="GV45" s="17">
        <f>GU45*VLOOKUP('Données projet'!$B$18,Paramètres!$A$1:$I$89,3,0)*VLOOKUP('Données projet'!$B$18,Paramètres!$A$1:$I$89,5,0)</f>
        <v>101.79328571428569</v>
      </c>
      <c r="GW45" s="13">
        <f t="shared" si="51"/>
        <v>27.388780196619486</v>
      </c>
      <c r="GX45" s="20">
        <f t="shared" si="28"/>
        <v>224.99209812815982</v>
      </c>
      <c r="GY45" s="59">
        <f t="shared" si="29"/>
        <v>518.32543146149317</v>
      </c>
      <c r="GZ45" s="59">
        <f ca="1">AVERAGE(OFFSET($GY$3,0,0,'Données projet'!$E$18+1,1))-AVERAGE(OFFSET($H$3,0,0,'Données projet'!$E$18+1,1))</f>
        <v>266.37807768393191</v>
      </c>
      <c r="HA45" s="59">
        <f t="shared" si="52"/>
        <v>168.52019826233425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0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8.1999999999999993</v>
      </c>
      <c r="N46" s="13">
        <f>IF('Données projet'!$A$36&gt;35,N45+M46-V45,IF(A46&lt;'Données projet'!$A$36,$K$205^A46,IF(A46='Données projet'!$A$36,'Données projet'!$B$36,N45+M46-V45)))</f>
        <v>188.59999999999997</v>
      </c>
      <c r="O46" s="13">
        <f>N46*VLOOKUP('Données projet'!$B$9,Paramètres!$A$1:$I$89,3,0)*VLOOKUP('Données projet'!$B$9,Paramètres!$A$1:$I$89,5,0)</f>
        <v>164.76095999999998</v>
      </c>
      <c r="P46" s="13">
        <f t="shared" si="33"/>
        <v>41.91452380971991</v>
      </c>
      <c r="Q46" s="20">
        <f t="shared" si="53"/>
        <v>359.9598009685954</v>
      </c>
      <c r="R46" s="59">
        <f t="shared" si="0"/>
        <v>653.29313430192872</v>
      </c>
      <c r="S46" s="59">
        <f ca="1">AVERAGE(OFFSET($R$3,0,0,'Données projet'!$E$9+1,1))-AVERAGE(OFFSET($H$3,0,0,'Données projet'!$E$9+1,1))</f>
        <v>324.86930206492627</v>
      </c>
      <c r="T46" s="59">
        <f t="shared" si="34"/>
        <v>317.03005098025352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7.9117546363726898</v>
      </c>
      <c r="AA46" s="21">
        <f>EXP(-LN(2)/25)*AA45+(1-EXP(-LN(2)/25))/(LN(2)/25)*Calculateur!V46*Calculateur!X46*VLOOKUP('Données projet'!$B$9,Paramètres!$A$1:$I$89,3,0)*0.475*44/12</f>
        <v>13.533798726719706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21.445553363092394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9.3452380952380913</v>
      </c>
      <c r="AI46" s="13">
        <f>IF('Données projet'!$A$62&gt;35,AI45+AH46-AQ45,IF(A46&lt;'Données projet'!$A$62,$AF$205^A46,IF(A46='Données projet'!$A$62,'Données projet'!$B$62,AI45+AH46-AQ45)))</f>
        <v>137.62637362637369</v>
      </c>
      <c r="AJ46" s="13">
        <f>AI46*VLOOKUP('Données projet'!$B$10,Paramètres!$A$1:$I$89,3,0)*VLOOKUP('Données projet'!$B$10,Paramètres!$A$1:$I$89,5,0)</f>
        <v>130.96525714285721</v>
      </c>
      <c r="AK46" s="13">
        <f t="shared" si="35"/>
        <v>34.219305797477681</v>
      </c>
      <c r="AL46" s="20">
        <f t="shared" si="4"/>
        <v>287.69644712108328</v>
      </c>
      <c r="AM46" s="59">
        <f t="shared" si="5"/>
        <v>581.0297804544166</v>
      </c>
      <c r="AN46" s="59">
        <f ca="1">AVERAGE(OFFSET($AM$3,0,0,'Données projet'!$E$10+1,1))-AVERAGE(OFFSET($H$3,0,0,'Données projet'!$E$10+1,1))</f>
        <v>401.81944956556271</v>
      </c>
      <c r="AO46" s="59">
        <f t="shared" si="36"/>
        <v>292.20785523952651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11.142857142857142</v>
      </c>
      <c r="BD46" s="12">
        <f>IF('Données projet'!$A$88&gt;35,BD45+BC46-BL45,IF(A46&lt;'Données projet'!$A$88,$BA$205^A46,IF(A46='Données projet'!$A$88,'Données projet'!$B$88,BD45+BC46-BL45)))</f>
        <v>218.85714285714283</v>
      </c>
      <c r="BE46" s="13">
        <f>BD46*VLOOKUP('Données projet'!$B$11,Paramètres!$A$1:$I$89,3,0)*VLOOKUP('Données projet'!$B$11,Paramètres!$A$1:$I$89,5,0)</f>
        <v>170.70857142857142</v>
      </c>
      <c r="BF46" s="13">
        <f t="shared" si="37"/>
        <v>43.248681576985412</v>
      </c>
      <c r="BG46" s="20">
        <f t="shared" si="7"/>
        <v>372.64221565134477</v>
      </c>
      <c r="BH46" s="59">
        <f t="shared" si="8"/>
        <v>665.97554898467808</v>
      </c>
      <c r="BI46" s="59">
        <f ca="1">AVERAGE(OFFSET($BH$3,0,0,'Données projet'!$E$11+1,1))-AVERAGE(OFFSET($H$3,0,0,'Données projet'!$E$11+1,1))</f>
        <v>288.80569134263209</v>
      </c>
      <c r="BJ46" s="59">
        <f t="shared" si="38"/>
        <v>283.48738729114024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6.6253823347261829</v>
      </c>
      <c r="BQ46" s="21">
        <f>EXP(-LN(2)/25)*BQ45+(1-EXP(-LN(2)/25))/(LN(2)/25)*Calculateur!BL46*Calculateur!BN46*VLOOKUP('Données projet'!$B$11,Paramètres!$A$1:$I$89,3,0)*0.475*44/12</f>
        <v>13.676837151530274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20.302219486256455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149.20000000000002</v>
      </c>
      <c r="BZ46" s="13">
        <f>BY46*VLOOKUP('Données projet'!$B$12,Paramètres!$A$1:$I$89,3,0)*VLOOKUP('Données projet'!$B$12,Paramètres!$A$1:$I$89,5,0)</f>
        <v>155.94384000000002</v>
      </c>
      <c r="CA46" s="13">
        <f t="shared" si="39"/>
        <v>39.926274451636601</v>
      </c>
      <c r="CB46" s="20">
        <f t="shared" si="10"/>
        <v>341.1404493366004</v>
      </c>
      <c r="CC46" s="59">
        <f t="shared" si="11"/>
        <v>634.47378266993371</v>
      </c>
      <c r="CD46" s="59">
        <f ca="1">AVERAGE(OFFSET($CC$3,0,0,'Données projet'!$E$12+1,1))-AVERAGE(OFFSET($H$3,0,0,'Données projet'!$E$12+1,1))</f>
        <v>352.22281362023102</v>
      </c>
      <c r="CE46" s="59">
        <f t="shared" si="40"/>
        <v>310.2353747925161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4.5538425361541881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4.5538425361541881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5.3369963369963358</v>
      </c>
      <c r="CT46" s="12">
        <f>IF('Données projet'!$A$140&gt;35,CT45+CS46-DB45,IF(A46&lt;'Données projet'!$A$140,$CQ$205^A46,IF(A46='Données projet'!$A$140,'Données projet'!$B$140,CT45+CS46-DB45)))</f>
        <v>157.08608058608053</v>
      </c>
      <c r="CU46" s="17">
        <f>CT46*VLOOKUP('Données projet'!$B$13,Paramètres!$A$1:$I$89,3,0)*VLOOKUP('Données projet'!$B$13,Paramètres!$A$1:$I$89,5,0)</f>
        <v>142.13148571428567</v>
      </c>
      <c r="CV46" s="13">
        <f t="shared" si="41"/>
        <v>36.784868701185438</v>
      </c>
      <c r="CW46" s="20">
        <f t="shared" si="13"/>
        <v>311.61265060694552</v>
      </c>
      <c r="CX46" s="59">
        <f t="shared" si="14"/>
        <v>604.94598394027889</v>
      </c>
      <c r="CY46" s="59">
        <f ca="1">AVERAGE(OFFSET($CX$3,0,0,'Données projet'!$E$13+1,1))-AVERAGE(OFFSET($H$3,0,0,'Données projet'!$E$13+1,1))</f>
        <v>345.49688858037996</v>
      </c>
      <c r="CZ46" s="59">
        <f t="shared" si="42"/>
        <v>213.15872113755023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5.3369963369963358</v>
      </c>
      <c r="DO46" s="12">
        <f>IF('Données projet'!$A$166&gt;35,DO45+DN46-DW45,IF(A46&lt;'Données projet'!$A$166,$DL$205^A46,IF(A46='Données projet'!$A$166,'Données projet'!$B$166,DO45+DN46-DW45)))</f>
        <v>157.08608058608053</v>
      </c>
      <c r="DP46" s="17">
        <f>DO46*VLOOKUP('Données projet'!$B$14,Paramètres!$A$1:$I$89,3,0)*VLOOKUP('Données projet'!$B$14,Paramètres!$A$1:$I$89,5,0)</f>
        <v>159.28528571428566</v>
      </c>
      <c r="DQ46" s="13">
        <f t="shared" si="43"/>
        <v>40.681267624862308</v>
      </c>
      <c r="DR46" s="20">
        <f t="shared" si="16"/>
        <v>348.27508039901596</v>
      </c>
      <c r="DS46" s="59">
        <f t="shared" si="17"/>
        <v>641.60841373234928</v>
      </c>
      <c r="DT46" s="59">
        <f ca="1">AVERAGE(OFFSET($DS$3,0,0,'Données projet'!$E$14+1,1))-AVERAGE(OFFSET($H$3,0,0,'Données projet'!$E$14+1,1))</f>
        <v>382.26108489744581</v>
      </c>
      <c r="DU46" s="59">
        <f t="shared" si="44"/>
        <v>233.89423996158826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9.78571428571429</v>
      </c>
      <c r="EJ46" s="12">
        <f>IF('Données projet'!$A$192&gt;35,EJ45+EI46-ER45,IF(A46&lt;'Données projet'!$A$192,$EG$205^A46,IF(A46='Données projet'!$A$192,'Données projet'!$B$192,EJ45+EI46-ER45)))</f>
        <v>149.82326007326006</v>
      </c>
      <c r="EK46" s="17">
        <f>EJ46*VLOOKUP('Données projet'!$B$15,Paramètres!$A$1:$I$89,3,0)*VLOOKUP('Données projet'!$B$15,Paramètres!$A$1:$I$89,5,0)</f>
        <v>126.21111428571429</v>
      </c>
      <c r="EL46" s="13">
        <f t="shared" si="45"/>
        <v>33.119357656576909</v>
      </c>
      <c r="EM46" s="20">
        <f t="shared" si="19"/>
        <v>277.50057196615711</v>
      </c>
      <c r="EN46" s="59">
        <f t="shared" si="20"/>
        <v>570.83390529949043</v>
      </c>
      <c r="EO46" s="59">
        <f ca="1">AVERAGE(OFFSET($EN$3,0,0,'Données projet'!$E$15+1,1))-AVERAGE(OFFSET($H$3,0,0,'Données projet'!$E$15+1,1))</f>
        <v>312.48716825299158</v>
      </c>
      <c r="EP46" s="59">
        <f t="shared" si="46"/>
        <v>258.68277822755357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5.3369963369963358</v>
      </c>
      <c r="FE46" s="12">
        <f>IF('Données projet'!$A$218&gt;35,FE45+FD46-FM45,IF(A46&lt;'Données projet'!$A$218,$FB$205^A46,IF(A46='Données projet'!$A$218,'Données projet'!$B$218,FE45+FD46-FM45)))</f>
        <v>157.08608058608053</v>
      </c>
      <c r="FF46" s="17">
        <f>FE46*VLOOKUP('Données projet'!$B$16,Paramètres!$A$1:$I$89,3,0)*VLOOKUP('Données projet'!$B$16,Paramètres!$A$1:$I$89,5,0)</f>
        <v>169.08745714285709</v>
      </c>
      <c r="FG46" s="13">
        <f t="shared" si="47"/>
        <v>42.885580363258008</v>
      </c>
      <c r="FH46" s="20">
        <f t="shared" si="22"/>
        <v>369.1863736564838</v>
      </c>
      <c r="FI46" s="59">
        <f t="shared" si="23"/>
        <v>662.51970698981711</v>
      </c>
      <c r="FJ46" s="59">
        <f ca="1">AVERAGE(OFFSET($FI$3,0,0,'Données projet'!$E$16+1,1))-AVERAGE(OFFSET($H$3,0,0,'Données projet'!$E$16+1,1))</f>
        <v>403.23110963096246</v>
      </c>
      <c r="FK46" s="59">
        <f t="shared" si="48"/>
        <v>245.72000393124898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5.3369963369963358</v>
      </c>
      <c r="FZ46" s="12">
        <f>IF('Données projet'!$A$244&gt;35,FZ45+FY46-GH45,IF(A46&lt;'Données projet'!$A$244,$FW$205^A46,IF(A46='Données projet'!$A$244,'Données projet'!$B$244,FZ45+FY46-GH45)))</f>
        <v>157.08608058608053</v>
      </c>
      <c r="GA46" s="17">
        <f>FZ46*VLOOKUP('Données projet'!$B$17,Paramètres!$A$1:$I$89,3,0)*VLOOKUP('Données projet'!$B$17,Paramètres!$A$1:$I$89,5,0)</f>
        <v>151.93365714285707</v>
      </c>
      <c r="GB46" s="13">
        <f t="shared" si="49"/>
        <v>39.017688029408021</v>
      </c>
      <c r="GC46" s="20">
        <f t="shared" si="25"/>
        <v>332.57359284169502</v>
      </c>
      <c r="GD46" s="59">
        <f t="shared" si="26"/>
        <v>625.90692617502827</v>
      </c>
      <c r="GE46" s="59">
        <f ca="1">AVERAGE(OFFSET($GD$3,0,0,'Données projet'!$E$17+1,1))-AVERAGE(OFFSET($H$3,0,0,'Données projet'!$E$17+1,1))</f>
        <v>336.2911850338175</v>
      </c>
      <c r="GF46" s="59">
        <f t="shared" si="50"/>
        <v>225.01415116995503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5.3369963369963358</v>
      </c>
      <c r="GU46" s="12">
        <f>IF('Données projet'!$A$270&gt;35,GU45+GT46-HC45,IF(A46&lt;'Données projet'!$A$270,$GR$205^A46,IF(A46='Données projet'!$A$270,'Données projet'!$B$270,GU45+GT46-HC45)))</f>
        <v>157.08608058608053</v>
      </c>
      <c r="GV46" s="17">
        <f>GU46*VLOOKUP('Données projet'!$B$18,Paramètres!$A$1:$I$89,3,0)*VLOOKUP('Données projet'!$B$18,Paramètres!$A$1:$I$89,5,0)</f>
        <v>105.37334285714282</v>
      </c>
      <c r="GW46" s="13">
        <f t="shared" si="51"/>
        <v>28.238196919539327</v>
      </c>
      <c r="GX46" s="20">
        <f t="shared" si="28"/>
        <v>232.70676511105475</v>
      </c>
      <c r="GY46" s="59">
        <f t="shared" si="29"/>
        <v>526.04009844438804</v>
      </c>
      <c r="GZ46" s="59">
        <f ca="1">AVERAGE(OFFSET($GY$3,0,0,'Données projet'!$E$18+1,1))-AVERAGE(OFFSET($H$3,0,0,'Données projet'!$E$18+1,1))</f>
        <v>266.37807768393191</v>
      </c>
      <c r="HA46" s="59">
        <f t="shared" si="52"/>
        <v>168.52019826233425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0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8.1999999999999993</v>
      </c>
      <c r="N47" s="13">
        <f>IF('Données projet'!$A$36&gt;35,N46+M47-V46,IF(A47&lt;'Données projet'!$A$36,$K$205^A47,IF(A47='Données projet'!$A$36,'Données projet'!$B$36,N46+M47-V46)))</f>
        <v>196.79999999999995</v>
      </c>
      <c r="O47" s="13">
        <f>N47*VLOOKUP('Données projet'!$B$9,Paramètres!$A$1:$I$89,3,0)*VLOOKUP('Données projet'!$B$9,Paramètres!$A$1:$I$89,5,0)</f>
        <v>171.92447999999999</v>
      </c>
      <c r="P47" s="13">
        <f t="shared" si="33"/>
        <v>43.520760297647755</v>
      </c>
      <c r="Q47" s="20">
        <f t="shared" si="53"/>
        <v>375.23379351840316</v>
      </c>
      <c r="R47" s="59">
        <f t="shared" si="0"/>
        <v>668.56712685173648</v>
      </c>
      <c r="S47" s="59">
        <f ca="1">AVERAGE(OFFSET($R$3,0,0,'Données projet'!$E$9+1,1))-AVERAGE(OFFSET($H$3,0,0,'Données projet'!$E$9+1,1))</f>
        <v>324.86930206492627</v>
      </c>
      <c r="T47" s="59">
        <f t="shared" si="34"/>
        <v>317.03005098025352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7.7566099536472519</v>
      </c>
      <c r="AA47" s="21">
        <f>EXP(-LN(2)/25)*AA46+(1-EXP(-LN(2)/25))/(LN(2)/25)*Calculateur!V47*Calculateur!X47*VLOOKUP('Données projet'!$B$9,Paramètres!$A$1:$I$89,3,0)*0.475*44/12</f>
        <v>13.163716288826013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20.920326242473266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9.3452380952380913</v>
      </c>
      <c r="AI47" s="13">
        <f>IF('Données projet'!$A$62&gt;35,AI46+AH47-AQ46,IF(A47&lt;'Données projet'!$A$62,$AF$205^A47,IF(A47='Données projet'!$A$62,'Données projet'!$B$62,AI46+AH47-AQ46)))</f>
        <v>146.97161172161179</v>
      </c>
      <c r="AJ47" s="13">
        <f>AI47*VLOOKUP('Données projet'!$B$10,Paramètres!$A$1:$I$89,3,0)*VLOOKUP('Données projet'!$B$10,Paramètres!$A$1:$I$89,5,0)</f>
        <v>139.85818571428578</v>
      </c>
      <c r="AK47" s="13">
        <f t="shared" si="35"/>
        <v>36.264515917565241</v>
      </c>
      <c r="AL47" s="20">
        <f t="shared" si="4"/>
        <v>306.74703867547379</v>
      </c>
      <c r="AM47" s="59">
        <f t="shared" si="5"/>
        <v>600.0803720088071</v>
      </c>
      <c r="AN47" s="59">
        <f ca="1">AVERAGE(OFFSET($AM$3,0,0,'Données projet'!$E$10+1,1))-AVERAGE(OFFSET($H$3,0,0,'Données projet'!$E$10+1,1))</f>
        <v>401.81944956556271</v>
      </c>
      <c r="AO47" s="59">
        <f t="shared" si="36"/>
        <v>292.20785523952651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230</v>
      </c>
      <c r="BB47" s="12">
        <f>VLOOKUP(A47,'Données projet'!$A$87:$I$107,9,0)</f>
        <v>11.142857142857142</v>
      </c>
      <c r="BC47" s="12">
        <f t="array" ref="BC47">INDEX(BB:BB,MIN(IF(ISNUMBER(BB47:BB243),ROW(BB47:BB243),"")))</f>
        <v>11.142857142857142</v>
      </c>
      <c r="BD47" s="12">
        <f>IF('Données projet'!$A$88&gt;35,BD46+BC47-BL46,IF(A47&lt;'Données projet'!$A$88,$BA$205^A47,IF(A47='Données projet'!$A$88,'Données projet'!$B$88,BD46+BC47-BL46)))</f>
        <v>229.99999999999997</v>
      </c>
      <c r="BE47" s="13">
        <f>BD47*VLOOKUP('Données projet'!$B$11,Paramètres!$A$1:$I$89,3,0)*VLOOKUP('Données projet'!$B$11,Paramètres!$A$1:$I$89,5,0)</f>
        <v>179.39999999999998</v>
      </c>
      <c r="BF47" s="13">
        <f t="shared" si="37"/>
        <v>45.188671291872232</v>
      </c>
      <c r="BG47" s="20">
        <f t="shared" si="7"/>
        <v>391.15860250001077</v>
      </c>
      <c r="BH47" s="59">
        <f t="shared" si="8"/>
        <v>684.49193583334409</v>
      </c>
      <c r="BI47" s="59">
        <f ca="1">AVERAGE(OFFSET($BH$3,0,0,'Données projet'!$E$11+1,1))-AVERAGE(OFFSET($H$3,0,0,'Données projet'!$E$11+1,1))</f>
        <v>288.80569134263209</v>
      </c>
      <c r="BJ47" s="59">
        <f t="shared" si="38"/>
        <v>283.48738729114024</v>
      </c>
      <c r="BK47" s="15">
        <f>IF(ISNA(VLOOKUP(A47,'Données projet'!$A$87:$I$107,3,0)),0,VLOOKUP(A47,'Données projet'!$A$87:$I$107,3,0))</f>
        <v>6</v>
      </c>
      <c r="BL47" s="15">
        <f>IF(ISNA(VLOOKUP(A47,'Données projet'!$A$87:$I$107,4,0)),0,VLOOKUP(A47,'Données projet'!$A$87:$I$107,4,0))</f>
        <v>43</v>
      </c>
      <c r="BM47" s="16">
        <f>IF(ISNA(VLOOKUP(A47,'Données projet'!$A$87:$I$107,5,0)),0%,VLOOKUP(A47,'Données projet'!$A$87:$I$107,5,0)*VLOOKUP('Données projet'!$B$11,Paramètres!$A$1:$I$89,7,0))</f>
        <v>0.17200000000000001</v>
      </c>
      <c r="BN47" s="16">
        <f>IF(ISNA(VLOOKUP(A47,'Données projet'!$A$87:$I$107,6,0)),0%,VLOOKUP(A47,'Données projet'!$A$87:$I$107,6,0)*VLOOKUP('Données projet'!$B$11,Paramètres!$A$1:$I$89,7,0))</f>
        <v>0.17200000000000001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12.872788591306449</v>
      </c>
      <c r="BQ47" s="21">
        <f>EXP(-LN(2)/25)*BQ46+(1-EXP(-LN(2)/25))/(LN(2)/25)*Calculateur!BL47*Calculateur!BN47*VLOOKUP('Données projet'!$B$11,Paramètres!$A$1:$I$89,3,0)*0.475*44/12</f>
        <v>19.655059321199772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32.527847912506218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155.60000000000002</v>
      </c>
      <c r="BZ47" s="13">
        <f>BY47*VLOOKUP('Données projet'!$B$12,Paramètres!$A$1:$I$89,3,0)*VLOOKUP('Données projet'!$B$12,Paramètres!$A$1:$I$89,5,0)</f>
        <v>162.63312000000005</v>
      </c>
      <c r="CA47" s="13">
        <f t="shared" si="39"/>
        <v>41.435857583171057</v>
      </c>
      <c r="CB47" s="20">
        <f t="shared" si="10"/>
        <v>355.42013595735625</v>
      </c>
      <c r="CC47" s="59">
        <f t="shared" si="11"/>
        <v>648.75346929068951</v>
      </c>
      <c r="CD47" s="59">
        <f ca="1">AVERAGE(OFFSET($CC$3,0,0,'Données projet'!$E$12+1,1))-AVERAGE(OFFSET($H$3,0,0,'Données projet'!$E$12+1,1))</f>
        <v>352.22281362023102</v>
      </c>
      <c r="CE47" s="59">
        <f t="shared" si="40"/>
        <v>310.2353747925161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4.4293174725268809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4.4293174725268809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162.42307692307691</v>
      </c>
      <c r="CR47" s="12">
        <f>VLOOKUP(A47,'Données projet'!$A$139:$I$159,9,0)</f>
        <v>5.3369963369963358</v>
      </c>
      <c r="CS47" s="12">
        <f t="array" ref="CS47">INDEX(CR:CR,MIN(IF(ISNUMBER(CR47:CR243),ROW(CR47:CR243),"")))</f>
        <v>5.3369963369963358</v>
      </c>
      <c r="CT47" s="12">
        <f>IF('Données projet'!$A$140&gt;35,CT46+CS47-DB46,IF(A47&lt;'Données projet'!$A$140,$CQ$205^A47,IF(A47='Données projet'!$A$140,'Données projet'!$B$140,CT46+CS47-DB46)))</f>
        <v>162.42307692307685</v>
      </c>
      <c r="CU47" s="17">
        <f>CT47*VLOOKUP('Données projet'!$B$13,Paramètres!$A$1:$I$89,3,0)*VLOOKUP('Données projet'!$B$13,Paramètres!$A$1:$I$89,5,0)</f>
        <v>146.96039999999991</v>
      </c>
      <c r="CV47" s="13">
        <f t="shared" si="41"/>
        <v>37.887004745652405</v>
      </c>
      <c r="CW47" s="20">
        <f t="shared" si="13"/>
        <v>321.94256326534446</v>
      </c>
      <c r="CX47" s="59">
        <f t="shared" si="14"/>
        <v>615.27589659867772</v>
      </c>
      <c r="CY47" s="59">
        <f ca="1">AVERAGE(OFFSET($CX$3,0,0,'Données projet'!$E$13+1,1))-AVERAGE(OFFSET($H$3,0,0,'Données projet'!$E$13+1,1))</f>
        <v>345.49688858037996</v>
      </c>
      <c r="CZ47" s="59">
        <f t="shared" si="42"/>
        <v>213.15872113755023</v>
      </c>
      <c r="DA47" s="15">
        <f>IF(ISNA(VLOOKUP(A47,'Données projet'!$A$139:$I$159,3,0)),0,VLOOKUP(A47,'Données projet'!$A$139:$I$159,3,0))</f>
        <v>1</v>
      </c>
      <c r="DB47" s="15">
        <f>IF(ISNA(VLOOKUP(A47,'Données projet'!$A$139:$I$159,4,0)),0,VLOOKUP(A47,'Données projet'!$A$139:$I$159,4,0))</f>
        <v>64.416666666666657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162.42307692307691</v>
      </c>
      <c r="DM47" s="12">
        <f>VLOOKUP(A47,'Données projet'!$A$165:$I$185,9,0)</f>
        <v>5.3369963369963358</v>
      </c>
      <c r="DN47" s="12">
        <f t="array" ref="DN47">INDEX(DM:DM,MIN(IF(ISNUMBER(DM47:DM243),ROW(DM47:DM243),"")))</f>
        <v>5.3369963369963358</v>
      </c>
      <c r="DO47" s="12">
        <f>IF('Données projet'!$A$166&gt;35,DO46+DN47-DW46,IF(A47&lt;'Données projet'!$A$166,$DL$205^A47,IF(A47='Données projet'!$A$166,'Données projet'!$B$166,DO46+DN47-DW46)))</f>
        <v>162.42307692307685</v>
      </c>
      <c r="DP47" s="17">
        <f>DO47*VLOOKUP('Données projet'!$B$14,Paramètres!$A$1:$I$89,3,0)*VLOOKUP('Données projet'!$B$14,Paramètres!$A$1:$I$89,5,0)</f>
        <v>164.69699999999995</v>
      </c>
      <c r="DQ47" s="13">
        <f t="shared" si="43"/>
        <v>41.900146282502362</v>
      </c>
      <c r="DR47" s="20">
        <f t="shared" si="16"/>
        <v>359.82336310869147</v>
      </c>
      <c r="DS47" s="59">
        <f t="shared" si="17"/>
        <v>653.15669644202478</v>
      </c>
      <c r="DT47" s="59">
        <f ca="1">AVERAGE(OFFSET($DS$3,0,0,'Données projet'!$E$14+1,1))-AVERAGE(OFFSET($H$3,0,0,'Données projet'!$E$14+1,1))</f>
        <v>382.26108489744581</v>
      </c>
      <c r="DU47" s="59">
        <f t="shared" si="44"/>
        <v>233.89423996158826</v>
      </c>
      <c r="DV47" s="15">
        <f>IF(ISNA(VLOOKUP(A47,'Données projet'!$A$165:$I$185,3,0)),0,VLOOKUP(A47,'Données projet'!$A$165:$I$185,3,0))</f>
        <v>1</v>
      </c>
      <c r="DW47" s="15">
        <f>IF(ISNA(VLOOKUP(A47,'Données projet'!$A$165:$I$185,4,0)),0,VLOOKUP(A47,'Données projet'!$A$165:$I$185,4,0))</f>
        <v>64.416666666666657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159.60897435897436</v>
      </c>
      <c r="EH47" s="12">
        <f>VLOOKUP(A47,'Données projet'!$A$191:$I$211,9,0)</f>
        <v>9.78571428571429</v>
      </c>
      <c r="EI47" s="12">
        <f t="array" ref="EI47">INDEX(EH:EH,MIN(IF(ISNUMBER(EH47:EH243),ROW(EH47:EH243),"")))</f>
        <v>9.78571428571429</v>
      </c>
      <c r="EJ47" s="12">
        <f>IF('Données projet'!$A$192&gt;35,EJ46+EI47-ER46,IF(A47&lt;'Données projet'!$A$192,$EG$205^A47,IF(A47='Données projet'!$A$192,'Données projet'!$B$192,EJ46+EI47-ER46)))</f>
        <v>159.60897435897434</v>
      </c>
      <c r="EK47" s="17">
        <f>EJ47*VLOOKUP('Données projet'!$B$15,Paramètres!$A$1:$I$89,3,0)*VLOOKUP('Données projet'!$B$15,Paramètres!$A$1:$I$89,5,0)</f>
        <v>134.4546</v>
      </c>
      <c r="EL47" s="13">
        <f t="shared" si="45"/>
        <v>35.02365953630899</v>
      </c>
      <c r="EM47" s="20">
        <f t="shared" si="19"/>
        <v>295.17463535907149</v>
      </c>
      <c r="EN47" s="59">
        <f t="shared" si="20"/>
        <v>588.5079686924048</v>
      </c>
      <c r="EO47" s="59">
        <f ca="1">AVERAGE(OFFSET($EN$3,0,0,'Données projet'!$E$15+1,1))-AVERAGE(OFFSET($H$3,0,0,'Données projet'!$E$15+1,1))</f>
        <v>312.48716825299158</v>
      </c>
      <c r="EP47" s="59">
        <f t="shared" si="46"/>
        <v>258.68277822755357</v>
      </c>
      <c r="EQ47" s="15">
        <f>IF(ISNA(VLOOKUP(A47,'Données projet'!$A$191:$I$211,3,0)),0,VLOOKUP(A47,'Données projet'!$A$191:$I$211,3,0))</f>
        <v>3</v>
      </c>
      <c r="ER47" s="15">
        <f>IF(ISNA(VLOOKUP(A47,'Données projet'!$A$191:$I$211,4,0)),0,VLOOKUP(A47,'Données projet'!$A$191:$I$211,4,0))</f>
        <v>41.506410256410255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>
        <f>VLOOKUP(A47,'Données projet'!$A$217:$I$237,2,0)</f>
        <v>162.42307692307691</v>
      </c>
      <c r="FC47" s="12">
        <f>VLOOKUP(A47,'Données projet'!$A$217:$I$237,9,0)</f>
        <v>5.3369963369963358</v>
      </c>
      <c r="FD47" s="12">
        <f t="array" ref="FD47">INDEX(FC:FC,MIN(IF(ISNUMBER(FC47:FC243),ROW(FC47:FC243),"")))</f>
        <v>5.3369963369963358</v>
      </c>
      <c r="FE47" s="12">
        <f>IF('Données projet'!$A$218&gt;35,FE46+FD47-FM46,IF(A47&lt;'Données projet'!$A$218,$FB$205^A47,IF(A47='Données projet'!$A$218,'Données projet'!$B$218,FE46+FD47-FM46)))</f>
        <v>162.42307692307685</v>
      </c>
      <c r="FF47" s="17">
        <f>FE47*VLOOKUP('Données projet'!$B$16,Paramètres!$A$1:$I$89,3,0)*VLOOKUP('Données projet'!$B$16,Paramètres!$A$1:$I$89,5,0)</f>
        <v>174.83219999999992</v>
      </c>
      <c r="FG47" s="13">
        <f t="shared" si="47"/>
        <v>44.17050390859356</v>
      </c>
      <c r="FH47" s="20">
        <f t="shared" si="22"/>
        <v>381.42970930746696</v>
      </c>
      <c r="FI47" s="59">
        <f t="shared" si="23"/>
        <v>674.76304264080022</v>
      </c>
      <c r="FJ47" s="59">
        <f ca="1">AVERAGE(OFFSET($FI$3,0,0,'Données projet'!$E$16+1,1))-AVERAGE(OFFSET($H$3,0,0,'Données projet'!$E$16+1,1))</f>
        <v>403.23110963096246</v>
      </c>
      <c r="FK47" s="59">
        <f t="shared" si="48"/>
        <v>245.72000393124898</v>
      </c>
      <c r="FL47" s="15">
        <f>IF(ISNA(VLOOKUP(A47,'Données projet'!$A$217:$I$237,3,0)),0,VLOOKUP(A47,'Données projet'!$A$217:$I$237,3,0))</f>
        <v>1</v>
      </c>
      <c r="FM47" s="15">
        <f>IF(ISNA(VLOOKUP(A47,'Données projet'!$A$217:$I$237,4,0)),0,VLOOKUP(A47,'Données projet'!$A$217:$I$237,4,0))</f>
        <v>64.416666666666657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>
        <f>VLOOKUP(A47,'Données projet'!$A$243:$I$263,2,0)</f>
        <v>162.42307692307691</v>
      </c>
      <c r="FX47" s="12">
        <f>VLOOKUP(A47,'Données projet'!$A$243:$I$263,9,0)</f>
        <v>5.3369963369963358</v>
      </c>
      <c r="FY47" s="12">
        <f t="array" ref="FY47">INDEX(FX:FX,MIN(IF(ISNUMBER(FX47:FX243),ROW(FX47:FX243),"")))</f>
        <v>5.3369963369963358</v>
      </c>
      <c r="FZ47" s="12">
        <f>IF('Données projet'!$A$244&gt;35,FZ46+FY47-GH46,IF(A47&lt;'Données projet'!$A$244,$FW$205^A47,IF(A47='Données projet'!$A$244,'Données projet'!$B$244,FZ46+FY47-GH46)))</f>
        <v>162.42307692307685</v>
      </c>
      <c r="GA47" s="17">
        <f>FZ47*VLOOKUP('Données projet'!$B$17,Paramètres!$A$1:$I$89,3,0)*VLOOKUP('Données projet'!$B$17,Paramètres!$A$1:$I$89,5,0)</f>
        <v>157.09559999999993</v>
      </c>
      <c r="GB47" s="13">
        <f t="shared" si="49"/>
        <v>40.186723066567019</v>
      </c>
      <c r="GC47" s="20">
        <f t="shared" si="25"/>
        <v>343.60004600760408</v>
      </c>
      <c r="GD47" s="59">
        <f t="shared" si="26"/>
        <v>636.93337934093734</v>
      </c>
      <c r="GE47" s="59">
        <f ca="1">AVERAGE(OFFSET($GD$3,0,0,'Données projet'!$E$17+1,1))-AVERAGE(OFFSET($H$3,0,0,'Données projet'!$E$17+1,1))</f>
        <v>336.2911850338175</v>
      </c>
      <c r="GF47" s="59">
        <f t="shared" si="50"/>
        <v>225.01415116995503</v>
      </c>
      <c r="GG47" s="15">
        <f>IF(ISNA(VLOOKUP(A47,'Données projet'!$A$243:$I$263,3,0)),0,VLOOKUP(A47,'Données projet'!$A$243:$I$263,3,0))</f>
        <v>1</v>
      </c>
      <c r="GH47" s="15">
        <f>IF(ISNA(VLOOKUP(A47,'Données projet'!$A$243:$I$263,4,0)),0,VLOOKUP(A47,'Données projet'!$A$243:$I$263,4,0))</f>
        <v>64.416666666666657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>
        <f>VLOOKUP(A47,'Données projet'!$A$269:$I$289,2,0)</f>
        <v>162.42307692307691</v>
      </c>
      <c r="GS47" s="12">
        <f>VLOOKUP(A47,'Données projet'!$A$269:$I$289,9,0)</f>
        <v>5.3369963369963358</v>
      </c>
      <c r="GT47" s="12">
        <f t="array" ref="GT47">INDEX(GS:GS,MIN(IF(ISNUMBER(GS47:GS243),ROW(GS47:GS243),"")))</f>
        <v>5.3369963369963358</v>
      </c>
      <c r="GU47" s="12">
        <f>IF('Données projet'!$A$270&gt;35,GU46+GT47-HC46,IF(A47&lt;'Données projet'!$A$270,$GR$205^A47,IF(A47='Données projet'!$A$270,'Données projet'!$B$270,GU46+GT47-HC46)))</f>
        <v>162.42307692307685</v>
      </c>
      <c r="GV47" s="17">
        <f>GU47*VLOOKUP('Données projet'!$B$18,Paramètres!$A$1:$I$89,3,0)*VLOOKUP('Données projet'!$B$18,Paramètres!$A$1:$I$89,5,0)</f>
        <v>108.95339999999995</v>
      </c>
      <c r="GW47" s="13">
        <f t="shared" si="51"/>
        <v>29.084260416696175</v>
      </c>
      <c r="GX47" s="20">
        <f t="shared" si="28"/>
        <v>240.41559189241241</v>
      </c>
      <c r="GY47" s="59">
        <f t="shared" si="29"/>
        <v>533.74892522574578</v>
      </c>
      <c r="GZ47" s="59">
        <f ca="1">AVERAGE(OFFSET($GY$3,0,0,'Données projet'!$E$18+1,1))-AVERAGE(OFFSET($H$3,0,0,'Données projet'!$E$18+1,1))</f>
        <v>266.37807768393191</v>
      </c>
      <c r="HA47" s="59">
        <f t="shared" si="52"/>
        <v>168.52019826233425</v>
      </c>
      <c r="HB47" s="15">
        <f>IF(ISNA(VLOOKUP(A47,'Données projet'!$A$269:$I$289,3,0)),0,VLOOKUP(A47,'Données projet'!$A$269:$I$289,3,0))</f>
        <v>1</v>
      </c>
      <c r="HC47" s="15">
        <f>IF(ISNA(VLOOKUP(A47,'Données projet'!$A$269:$I$289,4,0)),0,VLOOKUP(A47,'Données projet'!$A$269:$I$289,4,0))</f>
        <v>64.416666666666657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0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205</v>
      </c>
      <c r="L48" s="12">
        <f>VLOOKUP(A48,'Données projet'!$A$35:$I$55,9,0)</f>
        <v>8.1999999999999993</v>
      </c>
      <c r="M48" s="12">
        <f t="array" ref="M48">INDEX(L:L,MIN(IF(ISNUMBER(L48:L244),ROW(L48:L244),"")))</f>
        <v>8.1999999999999993</v>
      </c>
      <c r="N48" s="13">
        <f>IF('Données projet'!$A$36&gt;35,N47+M48-V47,IF(A48&lt;'Données projet'!$A$36,$K$205^A48,IF(A48='Données projet'!$A$36,'Données projet'!$B$36,N47+M48-V47)))</f>
        <v>204.99999999999994</v>
      </c>
      <c r="O48" s="13">
        <f>N48*VLOOKUP('Données projet'!$B$9,Paramètres!$A$1:$I$89,3,0)*VLOOKUP('Données projet'!$B$9,Paramètres!$A$1:$I$89,5,0)</f>
        <v>179.08799999999997</v>
      </c>
      <c r="P48" s="13">
        <f t="shared" si="33"/>
        <v>45.119223023956835</v>
      </c>
      <c r="Q48" s="20">
        <f t="shared" si="53"/>
        <v>390.49424676672476</v>
      </c>
      <c r="R48" s="59">
        <f t="shared" si="0"/>
        <v>683.82758010005807</v>
      </c>
      <c r="S48" s="59">
        <f ca="1">AVERAGE(OFFSET($R$3,0,0,'Données projet'!$E$9+1,1))-AVERAGE(OFFSET($H$3,0,0,'Données projet'!$E$9+1,1))</f>
        <v>324.86930206492627</v>
      </c>
      <c r="T48" s="59">
        <f t="shared" si="34"/>
        <v>317.03005098025352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22</v>
      </c>
      <c r="W48" s="16">
        <f>IF(ISNA(VLOOKUP(A48,'Données projet'!$A$35:$I$55,5,0)),0%,VLOOKUP(A48,'Données projet'!$A$35:$I$55,5,0)*VLOOKUP('Données projet'!$B$9,Paramètres!$A$1:$I$89,7,0))</f>
        <v>0.31269999999999998</v>
      </c>
      <c r="X48" s="16">
        <f>IF(ISNA(VLOOKUP(A48,'Données projet'!$A$35:$I$55,6,0)),0%,VLOOKUP(A48,'Données projet'!$A$35:$I$55,6,0)*VLOOKUP('Données projet'!$B$9,Paramètres!$A$1:$I$89,7,0))</f>
        <v>0.1431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14.248211914259709</v>
      </c>
      <c r="AA48" s="21">
        <f>EXP(-LN(2)/25)*AA47+(1-EXP(-LN(2)/25))/(LN(2)/25)*Calculateur!V48*Calculateur!X48*VLOOKUP('Données projet'!$B$9,Paramètres!$A$1:$I$89,3,0)*0.475*44/12</f>
        <v>15.83212207960775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30.080333993867459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9.3452380952380913</v>
      </c>
      <c r="AI48" s="13">
        <f>IF('Données projet'!$A$62&gt;35,AI47+AH48-AQ47,IF(A48&lt;'Données projet'!$A$62,$AF$205^A48,IF(A48='Données projet'!$A$62,'Données projet'!$B$62,AI47+AH48-AQ47)))</f>
        <v>156.3168498168499</v>
      </c>
      <c r="AJ48" s="13">
        <f>AI48*VLOOKUP('Données projet'!$B$10,Paramètres!$A$1:$I$89,3,0)*VLOOKUP('Données projet'!$B$10,Paramètres!$A$1:$I$89,5,0)</f>
        <v>148.75111428571438</v>
      </c>
      <c r="AK48" s="13">
        <f t="shared" si="35"/>
        <v>38.294633905863954</v>
      </c>
      <c r="AL48" s="20">
        <f t="shared" si="4"/>
        <v>325.77134476699888</v>
      </c>
      <c r="AM48" s="59">
        <f t="shared" si="5"/>
        <v>619.10467810033219</v>
      </c>
      <c r="AN48" s="59">
        <f ca="1">AVERAGE(OFFSET($AM$3,0,0,'Données projet'!$E$10+1,1))-AVERAGE(OFFSET($H$3,0,0,'Données projet'!$E$10+1,1))</f>
        <v>401.81944956556271</v>
      </c>
      <c r="AO48" s="59">
        <f t="shared" si="36"/>
        <v>292.20785523952651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10.375</v>
      </c>
      <c r="BD48" s="12">
        <f>IF('Données projet'!$A$88&gt;35,BD47+BC48-BL47,IF(A48&lt;'Données projet'!$A$88,$BA$205^A48,IF(A48='Données projet'!$A$88,'Données projet'!$B$88,BD47+BC48-BL47)))</f>
        <v>197.37499999999997</v>
      </c>
      <c r="BE48" s="13">
        <f>BD48*VLOOKUP('Données projet'!$B$11,Paramètres!$A$1:$I$89,3,0)*VLOOKUP('Données projet'!$B$11,Paramètres!$A$1:$I$89,5,0)</f>
        <v>153.95249999999999</v>
      </c>
      <c r="BF48" s="13">
        <f t="shared" si="37"/>
        <v>39.475441267837397</v>
      </c>
      <c r="BG48" s="20">
        <f t="shared" si="7"/>
        <v>336.88699770815009</v>
      </c>
      <c r="BH48" s="59">
        <f t="shared" si="8"/>
        <v>630.2203310414834</v>
      </c>
      <c r="BI48" s="59">
        <f ca="1">AVERAGE(OFFSET($BH$3,0,0,'Données projet'!$E$11+1,1))-AVERAGE(OFFSET($H$3,0,0,'Données projet'!$E$11+1,1))</f>
        <v>288.80569134263209</v>
      </c>
      <c r="BJ48" s="59">
        <f t="shared" si="38"/>
        <v>283.48738729114024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12.620361058656687</v>
      </c>
      <c r="BQ48" s="21">
        <f>EXP(-LN(2)/25)*BQ47+(1-EXP(-LN(2)/25))/(LN(2)/25)*Calculateur!BL48*Calculateur!BN48*VLOOKUP('Données projet'!$B$11,Paramètres!$A$1:$I$89,3,0)*0.475*44/12</f>
        <v>19.117590690446917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31.737951749103605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162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162.00000000000003</v>
      </c>
      <c r="BZ48" s="13">
        <f>BY48*VLOOKUP('Données projet'!$B$12,Paramètres!$A$1:$I$89,3,0)*VLOOKUP('Données projet'!$B$12,Paramètres!$A$1:$I$89,5,0)</f>
        <v>169.32240000000004</v>
      </c>
      <c r="CA48" s="13">
        <f t="shared" si="39"/>
        <v>42.938228468783223</v>
      </c>
      <c r="CB48" s="20">
        <f t="shared" si="10"/>
        <v>369.68726124979753</v>
      </c>
      <c r="CC48" s="59">
        <f t="shared" si="11"/>
        <v>663.02059458313079</v>
      </c>
      <c r="CD48" s="59">
        <f ca="1">AVERAGE(OFFSET($CC$3,0,0,'Données projet'!$E$12+1,1))-AVERAGE(OFFSET($H$3,0,0,'Données projet'!$E$12+1,1))</f>
        <v>352.22281362023102</v>
      </c>
      <c r="CE48" s="59">
        <f t="shared" si="40"/>
        <v>310.2353747925161</v>
      </c>
      <c r="CF48" s="15">
        <f>IF(ISNA(VLOOKUP(A48,'Données projet'!$A$113:$I$133,3,0)),0,VLOOKUP(A48,'Données projet'!$A$113:$I$133,3,0))</f>
        <v>6</v>
      </c>
      <c r="CG48" s="15" t="str">
        <f>IF(ISNA(VLOOKUP(A48,'Données projet'!$A$113:$I$133,4,0)),0,VLOOKUP(A48,'Données projet'!$A$113:$I$133,4,0))</f>
        <v>19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0.215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9.0095760236811469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9.0095760236811469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6.826007326007324</v>
      </c>
      <c r="CT48" s="12">
        <f>IF('Données projet'!$A$140&gt;35,CT47+CS48-DB47,IF(A48&lt;'Données projet'!$A$140,$CQ$205^A48,IF(A48='Données projet'!$A$140,'Données projet'!$B$140,CT47+CS48-DB47)))</f>
        <v>104.83241758241752</v>
      </c>
      <c r="CU48" s="17">
        <f>CT48*VLOOKUP('Données projet'!$B$13,Paramètres!$A$1:$I$89,3,0)*VLOOKUP('Données projet'!$B$13,Paramètres!$A$1:$I$89,5,0)</f>
        <v>94.852371428571374</v>
      </c>
      <c r="CV48" s="13">
        <f t="shared" si="41"/>
        <v>25.731899613510901</v>
      </c>
      <c r="CW48" s="20">
        <f t="shared" si="13"/>
        <v>210.01760539829328</v>
      </c>
      <c r="CX48" s="59">
        <f t="shared" si="14"/>
        <v>503.35093873162657</v>
      </c>
      <c r="CY48" s="59">
        <f ca="1">AVERAGE(OFFSET($CX$3,0,0,'Données projet'!$E$13+1,1))-AVERAGE(OFFSET($H$3,0,0,'Données projet'!$E$13+1,1))</f>
        <v>345.49688858037996</v>
      </c>
      <c r="CZ48" s="59">
        <f t="shared" si="42"/>
        <v>213.15872113755023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6.826007326007324</v>
      </c>
      <c r="DO48" s="12">
        <f>IF('Données projet'!$A$166&gt;35,DO47+DN48-DW47,IF(A48&lt;'Données projet'!$A$166,$DL$205^A48,IF(A48='Données projet'!$A$166,'Données projet'!$B$166,DO47+DN48-DW47)))</f>
        <v>104.83241758241752</v>
      </c>
      <c r="DP48" s="17">
        <f>DO48*VLOOKUP('Données projet'!$B$14,Paramètres!$A$1:$I$89,3,0)*VLOOKUP('Données projet'!$B$14,Paramètres!$A$1:$I$89,5,0)</f>
        <v>106.30007142857137</v>
      </c>
      <c r="DQ48" s="13">
        <f t="shared" si="43"/>
        <v>28.457524292851215</v>
      </c>
      <c r="DR48" s="20">
        <f t="shared" si="16"/>
        <v>234.70281254814427</v>
      </c>
      <c r="DS48" s="59">
        <f t="shared" si="17"/>
        <v>528.03614588147752</v>
      </c>
      <c r="DT48" s="59">
        <f ca="1">AVERAGE(OFFSET($DS$3,0,0,'Données projet'!$E$14+1,1))-AVERAGE(OFFSET($H$3,0,0,'Données projet'!$E$14+1,1))</f>
        <v>382.26108489744581</v>
      </c>
      <c r="DU48" s="59">
        <f t="shared" si="44"/>
        <v>233.89423996158826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9.8424908424908359</v>
      </c>
      <c r="EJ48" s="12">
        <f>IF('Données projet'!$A$192&gt;35,EJ47+EI48-ER47,IF(A48&lt;'Données projet'!$A$192,$EG$205^A48,IF(A48='Données projet'!$A$192,'Données projet'!$B$192,EJ47+EI48-ER47)))</f>
        <v>127.94505494505492</v>
      </c>
      <c r="EK48" s="17">
        <f>EJ48*VLOOKUP('Données projet'!$B$15,Paramètres!$A$1:$I$89,3,0)*VLOOKUP('Données projet'!$B$15,Paramètres!$A$1:$I$89,5,0)</f>
        <v>107.78091428571429</v>
      </c>
      <c r="EL48" s="13">
        <f t="shared" si="45"/>
        <v>28.807532153569991</v>
      </c>
      <c r="EM48" s="20">
        <f t="shared" si="19"/>
        <v>237.89154421508678</v>
      </c>
      <c r="EN48" s="59">
        <f t="shared" si="20"/>
        <v>531.22487754842007</v>
      </c>
      <c r="EO48" s="59">
        <f ca="1">AVERAGE(OFFSET($EN$3,0,0,'Données projet'!$E$15+1,1))-AVERAGE(OFFSET($H$3,0,0,'Données projet'!$E$15+1,1))</f>
        <v>312.48716825299158</v>
      </c>
      <c r="EP48" s="59">
        <f t="shared" si="46"/>
        <v>258.68277822755357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6.826007326007324</v>
      </c>
      <c r="FE48" s="12">
        <f>IF('Données projet'!$A$218&gt;35,FE47+FD48-FM47,IF(A48&lt;'Données projet'!$A$218,$FB$205^A48,IF(A48='Données projet'!$A$218,'Données projet'!$B$218,FE47+FD48-FM47)))</f>
        <v>104.83241758241752</v>
      </c>
      <c r="FF48" s="17">
        <f>FE48*VLOOKUP('Données projet'!$B$16,Paramètres!$A$1:$I$89,3,0)*VLOOKUP('Données projet'!$B$16,Paramètres!$A$1:$I$89,5,0)</f>
        <v>112.84161428571423</v>
      </c>
      <c r="FG48" s="13">
        <f t="shared" si="47"/>
        <v>29.999494023991062</v>
      </c>
      <c r="FH48" s="20">
        <f t="shared" si="22"/>
        <v>248.78159697273676</v>
      </c>
      <c r="FI48" s="59">
        <f t="shared" si="23"/>
        <v>542.11493030607005</v>
      </c>
      <c r="FJ48" s="59">
        <f ca="1">AVERAGE(OFFSET($FI$3,0,0,'Données projet'!$E$16+1,1))-AVERAGE(OFFSET($H$3,0,0,'Données projet'!$E$16+1,1))</f>
        <v>403.23110963096246</v>
      </c>
      <c r="FK48" s="59">
        <f t="shared" si="48"/>
        <v>245.72000393124898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6.826007326007324</v>
      </c>
      <c r="FZ48" s="12">
        <f>IF('Données projet'!$A$244&gt;35,FZ47+FY48-GH47,IF(A48&lt;'Données projet'!$A$244,$FW$205^A48,IF(A48='Données projet'!$A$244,'Données projet'!$B$244,FZ47+FY48-GH47)))</f>
        <v>104.83241758241752</v>
      </c>
      <c r="GA48" s="17">
        <f>FZ48*VLOOKUP('Données projet'!$B$17,Paramètres!$A$1:$I$89,3,0)*VLOOKUP('Données projet'!$B$17,Paramètres!$A$1:$I$89,5,0)</f>
        <v>101.39391428571423</v>
      </c>
      <c r="GB48" s="13">
        <f t="shared" si="49"/>
        <v>27.293810389260898</v>
      </c>
      <c r="GC48" s="20">
        <f t="shared" si="25"/>
        <v>224.13112047558164</v>
      </c>
      <c r="GD48" s="59">
        <f t="shared" si="26"/>
        <v>517.46445380891498</v>
      </c>
      <c r="GE48" s="59">
        <f ca="1">AVERAGE(OFFSET($GD$3,0,0,'Données projet'!$E$17+1,1))-AVERAGE(OFFSET($H$3,0,0,'Données projet'!$E$17+1,1))</f>
        <v>336.2911850338175</v>
      </c>
      <c r="GF48" s="59">
        <f t="shared" si="50"/>
        <v>225.01415116995503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0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6.826007326007324</v>
      </c>
      <c r="GU48" s="12">
        <f>IF('Données projet'!$A$270&gt;35,GU47+GT48-HC47,IF(A48&lt;'Données projet'!$A$270,$GR$205^A48,IF(A48='Données projet'!$A$270,'Données projet'!$B$270,GU47+GT48-HC47)))</f>
        <v>104.83241758241752</v>
      </c>
      <c r="GV48" s="17">
        <f>GU48*VLOOKUP('Données projet'!$B$18,Paramètres!$A$1:$I$89,3,0)*VLOOKUP('Données projet'!$B$18,Paramètres!$A$1:$I$89,5,0)</f>
        <v>70.321585714285675</v>
      </c>
      <c r="GW48" s="13">
        <f t="shared" si="51"/>
        <v>19.753297321861105</v>
      </c>
      <c r="GX48" s="20">
        <f t="shared" si="28"/>
        <v>156.88042128795567</v>
      </c>
      <c r="GY48" s="59">
        <f t="shared" si="29"/>
        <v>450.21375462128901</v>
      </c>
      <c r="GZ48" s="59">
        <f ca="1">AVERAGE(OFFSET($GY$3,0,0,'Données projet'!$E$18+1,1))-AVERAGE(OFFSET($H$3,0,0,'Données projet'!$E$18+1,1))</f>
        <v>266.37807768393191</v>
      </c>
      <c r="HA48" s="59">
        <f t="shared" si="52"/>
        <v>168.52019826233425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0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7.2</v>
      </c>
      <c r="N49" s="13">
        <f>IF('Données projet'!$A$36&gt;35,N48+M49-V48,IF(A49&lt;'Données projet'!$A$36,$K$205^A49,IF(A49='Données projet'!$A$36,'Données projet'!$B$36,N48+M49-V48)))</f>
        <v>190.19999999999993</v>
      </c>
      <c r="O49" s="13">
        <f>N49*VLOOKUP('Données projet'!$B$9,Paramètres!$A$1:$I$89,3,0)*VLOOKUP('Données projet'!$B$9,Paramètres!$A$1:$I$89,5,0)</f>
        <v>166.15871999999996</v>
      </c>
      <c r="P49" s="13">
        <f t="shared" si="33"/>
        <v>42.228563636586387</v>
      </c>
      <c r="Q49" s="20">
        <f t="shared" si="53"/>
        <v>362.94118566705453</v>
      </c>
      <c r="R49" s="59">
        <f t="shared" si="0"/>
        <v>656.27451900038784</v>
      </c>
      <c r="S49" s="59">
        <f ca="1">AVERAGE(OFFSET($R$3,0,0,'Données projet'!$E$9+1,1))-AVERAGE(OFFSET($H$3,0,0,'Données projet'!$E$9+1,1))</f>
        <v>324.86930206492627</v>
      </c>
      <c r="T49" s="59">
        <f t="shared" si="34"/>
        <v>317.03005098025352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13.968813169172224</v>
      </c>
      <c r="AA49" s="21">
        <f>EXP(-LN(2)/25)*AA48+(1-EXP(-LN(2)/25))/(LN(2)/25)*Calculateur!V49*Calculateur!X49*VLOOKUP('Données projet'!$B$9,Paramètres!$A$1:$I$89,3,0)*0.475*44/12</f>
        <v>15.39919186876576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29.368005037937984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9.3452380952380913</v>
      </c>
      <c r="AI49" s="13">
        <f>IF('Données projet'!$A$62&gt;35,AI48+AH49-AQ48,IF(A49&lt;'Données projet'!$A$62,$AF$205^A49,IF(A49='Données projet'!$A$62,'Données projet'!$B$62,AI48+AH49-AQ48)))</f>
        <v>165.662087912088</v>
      </c>
      <c r="AJ49" s="13">
        <f>AI49*VLOOKUP('Données projet'!$B$10,Paramètres!$A$1:$I$89,3,0)*VLOOKUP('Données projet'!$B$10,Paramètres!$A$1:$I$89,5,0)</f>
        <v>157.64404285714292</v>
      </c>
      <c r="AK49" s="13">
        <f t="shared" si="35"/>
        <v>40.31066478927707</v>
      </c>
      <c r="AL49" s="20">
        <f t="shared" si="4"/>
        <v>344.77111581751478</v>
      </c>
      <c r="AM49" s="59">
        <f t="shared" si="5"/>
        <v>638.10444915084804</v>
      </c>
      <c r="AN49" s="59">
        <f ca="1">AVERAGE(OFFSET($AM$3,0,0,'Données projet'!$E$10+1,1))-AVERAGE(OFFSET($H$3,0,0,'Données projet'!$E$10+1,1))</f>
        <v>401.81944956556271</v>
      </c>
      <c r="AO49" s="59">
        <f t="shared" si="36"/>
        <v>292.20785523952651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10.375</v>
      </c>
      <c r="BD49" s="12">
        <f>IF('Données projet'!$A$88&gt;35,BD48+BC49-BL48,IF(A49&lt;'Données projet'!$A$88,$BA$205^A49,IF(A49='Données projet'!$A$88,'Données projet'!$B$88,BD48+BC49-BL48)))</f>
        <v>207.74999999999997</v>
      </c>
      <c r="BE49" s="13">
        <f>BD49*VLOOKUP('Données projet'!$B$11,Paramètres!$A$1:$I$89,3,0)*VLOOKUP('Données projet'!$B$11,Paramètres!$A$1:$I$89,5,0)</f>
        <v>162.04499999999999</v>
      </c>
      <c r="BF49" s="13">
        <f t="shared" si="37"/>
        <v>41.303429372463391</v>
      </c>
      <c r="BG49" s="20">
        <f t="shared" si="7"/>
        <v>354.16518115704031</v>
      </c>
      <c r="BH49" s="59">
        <f t="shared" si="8"/>
        <v>647.49851449037362</v>
      </c>
      <c r="BI49" s="59">
        <f ca="1">AVERAGE(OFFSET($BH$3,0,0,'Données projet'!$E$11+1,1))-AVERAGE(OFFSET($H$3,0,0,'Données projet'!$E$11+1,1))</f>
        <v>288.80569134263209</v>
      </c>
      <c r="BJ49" s="59">
        <f t="shared" si="38"/>
        <v>283.48738729114024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12.372883475956595</v>
      </c>
      <c r="BQ49" s="21">
        <f>EXP(-LN(2)/25)*BQ48+(1-EXP(-LN(2)/25))/(LN(2)/25)*Calculateur!BL49*Calculateur!BN49*VLOOKUP('Données projet'!$B$11,Paramètres!$A$1:$I$89,3,0)*0.475*44/12</f>
        <v>18.594819167666245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30.96770264362284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</v>
      </c>
      <c r="BY49" s="12">
        <f>IF('Données projet'!$A$114&gt;35,BY48+BX49-CG48,IF(A49&lt;'Données projet'!$A$114,$BV$205^A49,IF(A49='Données projet'!$A$114,'Données projet'!$B$114,BY48+BX49-CG48)))</f>
        <v>149.00000000000003</v>
      </c>
      <c r="BZ49" s="13">
        <f>BY49*VLOOKUP('Données projet'!$B$12,Paramètres!$A$1:$I$89,3,0)*VLOOKUP('Données projet'!$B$12,Paramètres!$A$1:$I$89,5,0)</f>
        <v>155.73480000000004</v>
      </c>
      <c r="CA49" s="13">
        <f t="shared" si="39"/>
        <v>39.878980068529806</v>
      </c>
      <c r="CB49" s="20">
        <f t="shared" si="10"/>
        <v>340.6940002860228</v>
      </c>
      <c r="CC49" s="59">
        <f t="shared" si="11"/>
        <v>634.02733361935611</v>
      </c>
      <c r="CD49" s="59">
        <f ca="1">AVERAGE(OFFSET($CC$3,0,0,'Données projet'!$E$12+1,1))-AVERAGE(OFFSET($H$3,0,0,'Données projet'!$E$12+1,1))</f>
        <v>352.22281362023102</v>
      </c>
      <c r="CE49" s="59">
        <f t="shared" si="40"/>
        <v>310.2353747925161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8.7632086935205749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8.7632086935205749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6.826007326007324</v>
      </c>
      <c r="CT49" s="12">
        <f>IF('Données projet'!$A$140&gt;35,CT48+CS49-DB48,IF(A49&lt;'Données projet'!$A$140,$CQ$205^A49,IF(A49='Données projet'!$A$140,'Données projet'!$B$140,CT48+CS49-DB48)))</f>
        <v>111.65842490842485</v>
      </c>
      <c r="CU49" s="17">
        <f>CT49*VLOOKUP('Données projet'!$B$13,Paramètres!$A$1:$I$89,3,0)*VLOOKUP('Données projet'!$B$13,Paramètres!$A$1:$I$89,5,0)</f>
        <v>101.0285428571428</v>
      </c>
      <c r="CV49" s="13">
        <f t="shared" si="41"/>
        <v>27.206887577634099</v>
      </c>
      <c r="CW49" s="20">
        <f t="shared" si="13"/>
        <v>223.3433746739031</v>
      </c>
      <c r="CX49" s="59">
        <f t="shared" si="14"/>
        <v>516.67670800723636</v>
      </c>
      <c r="CY49" s="59">
        <f ca="1">AVERAGE(OFFSET($CX$3,0,0,'Données projet'!$E$13+1,1))-AVERAGE(OFFSET($H$3,0,0,'Données projet'!$E$13+1,1))</f>
        <v>345.49688858037996</v>
      </c>
      <c r="CZ49" s="59">
        <f t="shared" si="42"/>
        <v>213.15872113755023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6.826007326007324</v>
      </c>
      <c r="DO49" s="12">
        <f>IF('Données projet'!$A$166&gt;35,DO48+DN49-DW48,IF(A49&lt;'Données projet'!$A$166,$DL$205^A49,IF(A49='Données projet'!$A$166,'Données projet'!$B$166,DO48+DN49-DW48)))</f>
        <v>111.65842490842485</v>
      </c>
      <c r="DP49" s="17">
        <f>DO49*VLOOKUP('Données projet'!$B$14,Paramètres!$A$1:$I$89,3,0)*VLOOKUP('Données projet'!$B$14,Paramètres!$A$1:$I$89,5,0)</f>
        <v>113.2216428571428</v>
      </c>
      <c r="DQ49" s="13">
        <f t="shared" si="43"/>
        <v>30.088748821593761</v>
      </c>
      <c r="DR49" s="20">
        <f t="shared" si="16"/>
        <v>249.59893217379951</v>
      </c>
      <c r="DS49" s="59">
        <f t="shared" si="17"/>
        <v>542.9322655071328</v>
      </c>
      <c r="DT49" s="59">
        <f ca="1">AVERAGE(OFFSET($DS$3,0,0,'Données projet'!$E$14+1,1))-AVERAGE(OFFSET($H$3,0,0,'Données projet'!$E$14+1,1))</f>
        <v>382.26108489744581</v>
      </c>
      <c r="DU49" s="59">
        <f t="shared" si="44"/>
        <v>233.89423996158826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9.8424908424908359</v>
      </c>
      <c r="EJ49" s="12">
        <f>IF('Données projet'!$A$192&gt;35,EJ48+EI49-ER48,IF(A49&lt;'Données projet'!$A$192,$EG$205^A49,IF(A49='Données projet'!$A$192,'Données projet'!$B$192,EJ48+EI49-ER48)))</f>
        <v>137.78754578754575</v>
      </c>
      <c r="EK49" s="17">
        <f>EJ49*VLOOKUP('Données projet'!$B$15,Paramètres!$A$1:$I$89,3,0)*VLOOKUP('Données projet'!$B$15,Paramètres!$A$1:$I$89,5,0)</f>
        <v>116.07222857142855</v>
      </c>
      <c r="EL49" s="13">
        <f t="shared" si="45"/>
        <v>30.757144357856795</v>
      </c>
      <c r="EM49" s="20">
        <f t="shared" si="19"/>
        <v>255.72782451850529</v>
      </c>
      <c r="EN49" s="59">
        <f t="shared" si="20"/>
        <v>549.06115785183863</v>
      </c>
      <c r="EO49" s="59">
        <f ca="1">AVERAGE(OFFSET($EN$3,0,0,'Données projet'!$E$15+1,1))-AVERAGE(OFFSET($H$3,0,0,'Données projet'!$E$15+1,1))</f>
        <v>312.48716825299158</v>
      </c>
      <c r="EP49" s="59">
        <f t="shared" si="46"/>
        <v>258.68277822755357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6.826007326007324</v>
      </c>
      <c r="FE49" s="12">
        <f>IF('Données projet'!$A$218&gt;35,FE48+FD49-FM48,IF(A49&lt;'Données projet'!$A$218,$FB$205^A49,IF(A49='Données projet'!$A$218,'Données projet'!$B$218,FE48+FD49-FM48)))</f>
        <v>111.65842490842485</v>
      </c>
      <c r="FF49" s="17">
        <f>FE49*VLOOKUP('Données projet'!$B$16,Paramètres!$A$1:$I$89,3,0)*VLOOKUP('Données projet'!$B$16,Paramètres!$A$1:$I$89,5,0)</f>
        <v>120.18912857142851</v>
      </c>
      <c r="FG49" s="13">
        <f t="shared" si="47"/>
        <v>31.719106383738488</v>
      </c>
      <c r="FH49" s="20">
        <f t="shared" si="22"/>
        <v>264.5735092135825</v>
      </c>
      <c r="FI49" s="59">
        <f t="shared" si="23"/>
        <v>557.90684254691587</v>
      </c>
      <c r="FJ49" s="59">
        <f ca="1">AVERAGE(OFFSET($FI$3,0,0,'Données projet'!$E$16+1,1))-AVERAGE(OFFSET($H$3,0,0,'Données projet'!$E$16+1,1))</f>
        <v>403.23110963096246</v>
      </c>
      <c r="FK49" s="59">
        <f t="shared" si="48"/>
        <v>245.72000393124898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6.826007326007324</v>
      </c>
      <c r="FZ49" s="12">
        <f>IF('Données projet'!$A$244&gt;35,FZ48+FY49-GH48,IF(A49&lt;'Données projet'!$A$244,$FW$205^A49,IF(A49='Données projet'!$A$244,'Données projet'!$B$244,FZ48+FY49-GH48)))</f>
        <v>111.65842490842485</v>
      </c>
      <c r="GA49" s="17">
        <f>FZ49*VLOOKUP('Données projet'!$B$17,Paramètres!$A$1:$I$89,3,0)*VLOOKUP('Données projet'!$B$17,Paramètres!$A$1:$I$89,5,0)</f>
        <v>107.99602857142851</v>
      </c>
      <c r="GB49" s="13">
        <f t="shared" si="49"/>
        <v>28.858329232560074</v>
      </c>
      <c r="GC49" s="20">
        <f t="shared" si="25"/>
        <v>238.35467317528014</v>
      </c>
      <c r="GD49" s="59">
        <f t="shared" si="26"/>
        <v>531.6880065086134</v>
      </c>
      <c r="GE49" s="59">
        <f ca="1">AVERAGE(OFFSET($GD$3,0,0,'Données projet'!$E$17+1,1))-AVERAGE(OFFSET($H$3,0,0,'Données projet'!$E$17+1,1))</f>
        <v>336.2911850338175</v>
      </c>
      <c r="GF49" s="59">
        <f t="shared" si="50"/>
        <v>225.01415116995503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0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6.826007326007324</v>
      </c>
      <c r="GU49" s="12">
        <f>IF('Données projet'!$A$270&gt;35,GU48+GT49-HC48,IF(A49&lt;'Données projet'!$A$270,$GR$205^A49,IF(A49='Données projet'!$A$270,'Données projet'!$B$270,GU48+GT49-HC48)))</f>
        <v>111.65842490842485</v>
      </c>
      <c r="GV49" s="17">
        <f>GU49*VLOOKUP('Données projet'!$B$18,Paramètres!$A$1:$I$89,3,0)*VLOOKUP('Données projet'!$B$18,Paramètres!$A$1:$I$89,5,0)</f>
        <v>74.900471428571393</v>
      </c>
      <c r="GW49" s="13">
        <f t="shared" si="51"/>
        <v>20.885583559531408</v>
      </c>
      <c r="GX49" s="20">
        <f t="shared" si="28"/>
        <v>166.82737910427906</v>
      </c>
      <c r="GY49" s="59">
        <f t="shared" si="29"/>
        <v>460.16071243761235</v>
      </c>
      <c r="GZ49" s="59">
        <f ca="1">AVERAGE(OFFSET($GY$3,0,0,'Données projet'!$E$18+1,1))-AVERAGE(OFFSET($H$3,0,0,'Données projet'!$E$18+1,1))</f>
        <v>266.37807768393191</v>
      </c>
      <c r="HA49" s="59">
        <f t="shared" si="52"/>
        <v>168.52019826233425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0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</v>
      </c>
      <c r="N50" s="13">
        <f>IF('Données projet'!$A$36&gt;35,N49+M50-V49,IF(A50&lt;'Données projet'!$A$36,$K$205^A50,IF(A50='Données projet'!$A$36,'Données projet'!$B$36,N49+M50-V49)))</f>
        <v>197.39999999999992</v>
      </c>
      <c r="O50" s="13">
        <f>N50*VLOOKUP('Données projet'!$B$9,Paramètres!$A$1:$I$89,3,0)*VLOOKUP('Données projet'!$B$9,Paramètres!$A$1:$I$89,5,0)</f>
        <v>172.44863999999995</v>
      </c>
      <c r="P50" s="13">
        <f t="shared" si="33"/>
        <v>43.637980200453676</v>
      </c>
      <c r="Q50" s="20">
        <f t="shared" si="53"/>
        <v>376.35086351579008</v>
      </c>
      <c r="R50" s="59">
        <f t="shared" si="0"/>
        <v>669.6841968491234</v>
      </c>
      <c r="S50" s="59">
        <f ca="1">AVERAGE(OFFSET($R$3,0,0,'Données projet'!$E$9+1,1))-AVERAGE(OFFSET($H$3,0,0,'Données projet'!$E$9+1,1))</f>
        <v>324.86930206492627</v>
      </c>
      <c r="T50" s="59">
        <f t="shared" si="34"/>
        <v>317.03005098025352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13.694893263059496</v>
      </c>
      <c r="AA50" s="21">
        <f>EXP(-LN(2)/25)*AA49+(1-EXP(-LN(2)/25))/(LN(2)/25)*Calculateur!V50*Calculateur!X50*VLOOKUP('Données projet'!$B$9,Paramètres!$A$1:$I$89,3,0)*0.475*44/12</f>
        <v>14.978100157306056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28.67299342036555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9.3452380952380913</v>
      </c>
      <c r="AI50" s="13">
        <f>IF('Données projet'!$A$62&gt;35,AI49+AH50-AQ49,IF(A50&lt;'Données projet'!$A$62,$AF$205^A50,IF(A50='Données projet'!$A$62,'Données projet'!$B$62,AI49+AH50-AQ49)))</f>
        <v>175.0073260073261</v>
      </c>
      <c r="AJ50" s="13">
        <f>AI50*VLOOKUP('Données projet'!$B$10,Paramètres!$A$1:$I$89,3,0)*VLOOKUP('Données projet'!$B$10,Paramètres!$A$1:$I$89,5,0)</f>
        <v>166.53697142857152</v>
      </c>
      <c r="AK50" s="13">
        <f t="shared" si="35"/>
        <v>42.313493800311278</v>
      </c>
      <c r="AL50" s="20">
        <f t="shared" si="4"/>
        <v>363.74789360697088</v>
      </c>
      <c r="AM50" s="59">
        <f t="shared" si="5"/>
        <v>657.08122694030419</v>
      </c>
      <c r="AN50" s="59">
        <f ca="1">AVERAGE(OFFSET($AM$3,0,0,'Données projet'!$E$10+1,1))-AVERAGE(OFFSET($H$3,0,0,'Données projet'!$E$10+1,1))</f>
        <v>401.81944956556271</v>
      </c>
      <c r="AO50" s="59">
        <f t="shared" si="36"/>
        <v>292.20785523952651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10.375</v>
      </c>
      <c r="BD50" s="12">
        <f>IF('Données projet'!$A$88&gt;35,BD49+BC50-BL49,IF(A50&lt;'Données projet'!$A$88,$BA$205^A50,IF(A50='Données projet'!$A$88,'Données projet'!$B$88,BD49+BC50-BL49)))</f>
        <v>218.12499999999997</v>
      </c>
      <c r="BE50" s="13">
        <f>BD50*VLOOKUP('Données projet'!$B$11,Paramètres!$A$1:$I$89,3,0)*VLOOKUP('Données projet'!$B$11,Paramètres!$A$1:$I$89,5,0)</f>
        <v>170.13749999999999</v>
      </c>
      <c r="BF50" s="13">
        <f t="shared" si="37"/>
        <v>43.120817562072411</v>
      </c>
      <c r="BG50" s="20">
        <f t="shared" si="7"/>
        <v>371.42490308727605</v>
      </c>
      <c r="BH50" s="59">
        <f t="shared" si="8"/>
        <v>664.75823642060936</v>
      </c>
      <c r="BI50" s="59">
        <f ca="1">AVERAGE(OFFSET($BH$3,0,0,'Données projet'!$E$11+1,1))-AVERAGE(OFFSET($H$3,0,0,'Données projet'!$E$11+1,1))</f>
        <v>288.80569134263209</v>
      </c>
      <c r="BJ50" s="59">
        <f t="shared" si="38"/>
        <v>283.48738729114024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12.13025877770683</v>
      </c>
      <c r="BQ50" s="21">
        <f>EXP(-LN(2)/25)*BQ49+(1-EXP(-LN(2)/25))/(LN(2)/25)*Calculateur!BL50*Calculateur!BN50*VLOOKUP('Données projet'!$B$11,Paramètres!$A$1:$I$89,3,0)*0.475*44/12</f>
        <v>18.086342859667369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30.216601637374197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</v>
      </c>
      <c r="BY50" s="12">
        <f>IF('Données projet'!$A$114&gt;35,BY49+BX50-CG49,IF(A50&lt;'Données projet'!$A$114,$BV$205^A50,IF(A50='Données projet'!$A$114,'Données projet'!$B$114,BY49+BX50-CG49)))</f>
        <v>155.00000000000003</v>
      </c>
      <c r="BZ50" s="13">
        <f>BY50*VLOOKUP('Données projet'!$B$12,Paramètres!$A$1:$I$89,3,0)*VLOOKUP('Données projet'!$B$12,Paramètres!$A$1:$I$89,5,0)</f>
        <v>162.00600000000003</v>
      </c>
      <c r="CA50" s="13">
        <f t="shared" si="39"/>
        <v>41.294645684992197</v>
      </c>
      <c r="CB50" s="20">
        <f t="shared" si="10"/>
        <v>354.08195790136142</v>
      </c>
      <c r="CC50" s="59">
        <f t="shared" si="11"/>
        <v>647.41529123469468</v>
      </c>
      <c r="CD50" s="59">
        <f ca="1">AVERAGE(OFFSET($CC$3,0,0,'Données projet'!$E$12+1,1))-AVERAGE(OFFSET($H$3,0,0,'Données projet'!$E$12+1,1))</f>
        <v>352.22281362023102</v>
      </c>
      <c r="CE50" s="59">
        <f t="shared" si="40"/>
        <v>310.2353747925161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8.5235782909591382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8.5235782909591382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6.826007326007324</v>
      </c>
      <c r="CT50" s="12">
        <f>IF('Données projet'!$A$140&gt;35,CT49+CS50-DB49,IF(A50&lt;'Données projet'!$A$140,$CQ$205^A50,IF(A50='Données projet'!$A$140,'Données projet'!$B$140,CT49+CS50-DB49)))</f>
        <v>118.48443223443218</v>
      </c>
      <c r="CU50" s="17">
        <f>CT50*VLOOKUP('Données projet'!$B$13,Paramètres!$A$1:$I$89,3,0)*VLOOKUP('Données projet'!$B$13,Paramètres!$A$1:$I$89,5,0)</f>
        <v>107.20471428571423</v>
      </c>
      <c r="CV50" s="13">
        <f t="shared" si="41"/>
        <v>28.671410088969473</v>
      </c>
      <c r="CW50" s="20">
        <f t="shared" si="13"/>
        <v>236.65091661924077</v>
      </c>
      <c r="CX50" s="59">
        <f t="shared" si="14"/>
        <v>529.98424995257415</v>
      </c>
      <c r="CY50" s="59">
        <f ca="1">AVERAGE(OFFSET($CX$3,0,0,'Données projet'!$E$13+1,1))-AVERAGE(OFFSET($H$3,0,0,'Données projet'!$E$13+1,1))</f>
        <v>345.49688858037996</v>
      </c>
      <c r="CZ50" s="59">
        <f t="shared" si="42"/>
        <v>213.15872113755023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6.826007326007324</v>
      </c>
      <c r="DO50" s="12">
        <f>IF('Données projet'!$A$166&gt;35,DO49+DN50-DW49,IF(A50&lt;'Données projet'!$A$166,$DL$205^A50,IF(A50='Données projet'!$A$166,'Données projet'!$B$166,DO49+DN50-DW49)))</f>
        <v>118.48443223443218</v>
      </c>
      <c r="DP50" s="17">
        <f>DO50*VLOOKUP('Données projet'!$B$14,Paramètres!$A$1:$I$89,3,0)*VLOOKUP('Données projet'!$B$14,Paramètres!$A$1:$I$89,5,0)</f>
        <v>120.14321428571424</v>
      </c>
      <c r="DQ50" s="13">
        <f t="shared" si="43"/>
        <v>31.708399355356544</v>
      </c>
      <c r="DR50" s="20">
        <f t="shared" si="16"/>
        <v>264.47489375819822</v>
      </c>
      <c r="DS50" s="59">
        <f t="shared" si="17"/>
        <v>557.80822709153153</v>
      </c>
      <c r="DT50" s="59">
        <f ca="1">AVERAGE(OFFSET($DS$3,0,0,'Données projet'!$E$14+1,1))-AVERAGE(OFFSET($H$3,0,0,'Données projet'!$E$14+1,1))</f>
        <v>382.26108489744581</v>
      </c>
      <c r="DU50" s="59">
        <f t="shared" si="44"/>
        <v>233.89423996158826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9.8424908424908359</v>
      </c>
      <c r="EJ50" s="12">
        <f>IF('Données projet'!$A$192&gt;35,EJ49+EI50-ER49,IF(A50&lt;'Données projet'!$A$192,$EG$205^A50,IF(A50='Données projet'!$A$192,'Données projet'!$B$192,EJ49+EI50-ER49)))</f>
        <v>147.63003663003659</v>
      </c>
      <c r="EK50" s="17">
        <f>EJ50*VLOOKUP('Données projet'!$B$15,Paramètres!$A$1:$I$89,3,0)*VLOOKUP('Données projet'!$B$15,Paramètres!$A$1:$I$89,5,0)</f>
        <v>124.36354285714283</v>
      </c>
      <c r="EL50" s="13">
        <f t="shared" si="45"/>
        <v>32.690598775534689</v>
      </c>
      <c r="EM50" s="20">
        <f t="shared" si="19"/>
        <v>273.53596334358002</v>
      </c>
      <c r="EN50" s="59">
        <f t="shared" si="20"/>
        <v>566.86929667691334</v>
      </c>
      <c r="EO50" s="59">
        <f ca="1">AVERAGE(OFFSET($EN$3,0,0,'Données projet'!$E$15+1,1))-AVERAGE(OFFSET($H$3,0,0,'Données projet'!$E$15+1,1))</f>
        <v>312.48716825299158</v>
      </c>
      <c r="EP50" s="59">
        <f t="shared" si="46"/>
        <v>258.68277822755357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6.826007326007324</v>
      </c>
      <c r="FE50" s="12">
        <f>IF('Données projet'!$A$218&gt;35,FE49+FD50-FM49,IF(A50&lt;'Données projet'!$A$218,$FB$205^A50,IF(A50='Données projet'!$A$218,'Données projet'!$B$218,FE49+FD50-FM49)))</f>
        <v>118.48443223443218</v>
      </c>
      <c r="FF50" s="17">
        <f>FE50*VLOOKUP('Données projet'!$B$16,Paramètres!$A$1:$I$89,3,0)*VLOOKUP('Données projet'!$B$16,Paramètres!$A$1:$I$89,5,0)</f>
        <v>127.53664285714278</v>
      </c>
      <c r="FG50" s="13">
        <f t="shared" si="47"/>
        <v>33.426517612085448</v>
      </c>
      <c r="FH50" s="20">
        <f t="shared" si="22"/>
        <v>280.34417115057249</v>
      </c>
      <c r="FI50" s="59">
        <f t="shared" si="23"/>
        <v>573.67750448390575</v>
      </c>
      <c r="FJ50" s="59">
        <f ca="1">AVERAGE(OFFSET($FI$3,0,0,'Données projet'!$E$16+1,1))-AVERAGE(OFFSET($H$3,0,0,'Données projet'!$E$16+1,1))</f>
        <v>403.23110963096246</v>
      </c>
      <c r="FK50" s="59">
        <f t="shared" si="48"/>
        <v>245.72000393124898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6.826007326007324</v>
      </c>
      <c r="FZ50" s="12">
        <f>IF('Données projet'!$A$244&gt;35,FZ49+FY50-GH49,IF(A50&lt;'Données projet'!$A$244,$FW$205^A50,IF(A50='Données projet'!$A$244,'Données projet'!$B$244,FZ49+FY50-GH49)))</f>
        <v>118.48443223443218</v>
      </c>
      <c r="GA50" s="17">
        <f>FZ50*VLOOKUP('Données projet'!$B$17,Paramètres!$A$1:$I$89,3,0)*VLOOKUP('Données projet'!$B$17,Paramètres!$A$1:$I$89,5,0)</f>
        <v>114.5981428571428</v>
      </c>
      <c r="GB50" s="13">
        <f t="shared" si="49"/>
        <v>30.411747376403749</v>
      </c>
      <c r="GC50" s="20">
        <f t="shared" si="25"/>
        <v>252.55889215676018</v>
      </c>
      <c r="GD50" s="59">
        <f t="shared" si="26"/>
        <v>545.89222549009355</v>
      </c>
      <c r="GE50" s="59">
        <f ca="1">AVERAGE(OFFSET($GD$3,0,0,'Données projet'!$E$17+1,1))-AVERAGE(OFFSET($H$3,0,0,'Données projet'!$E$17+1,1))</f>
        <v>336.2911850338175</v>
      </c>
      <c r="GF50" s="59">
        <f t="shared" si="50"/>
        <v>225.01415116995503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0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6.826007326007324</v>
      </c>
      <c r="GU50" s="12">
        <f>IF('Données projet'!$A$270&gt;35,GU49+GT50-HC49,IF(A50&lt;'Données projet'!$A$270,$GR$205^A50,IF(A50='Données projet'!$A$270,'Données projet'!$B$270,GU49+GT50-HC49)))</f>
        <v>118.48443223443218</v>
      </c>
      <c r="GV50" s="17">
        <f>GU50*VLOOKUP('Données projet'!$B$18,Paramètres!$A$1:$I$89,3,0)*VLOOKUP('Données projet'!$B$18,Paramètres!$A$1:$I$89,5,0)</f>
        <v>79.479357142857111</v>
      </c>
      <c r="GW50" s="13">
        <f t="shared" si="51"/>
        <v>22.009835909162689</v>
      </c>
      <c r="GX50" s="20">
        <f t="shared" si="28"/>
        <v>176.76034456560114</v>
      </c>
      <c r="GY50" s="59">
        <f t="shared" si="29"/>
        <v>470.09367789893446</v>
      </c>
      <c r="GZ50" s="59">
        <f ca="1">AVERAGE(OFFSET($GY$3,0,0,'Données projet'!$E$18+1,1))-AVERAGE(OFFSET($H$3,0,0,'Données projet'!$E$18+1,1))</f>
        <v>266.37807768393191</v>
      </c>
      <c r="HA50" s="59">
        <f t="shared" si="52"/>
        <v>168.52019826233425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0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</v>
      </c>
      <c r="N51" s="13">
        <f>IF('Données projet'!$A$36&gt;35,N50+M51-V50,IF(A51&lt;'Données projet'!$A$36,$K$205^A51,IF(A51='Données projet'!$A$36,'Données projet'!$B$36,N50+M51-V50)))</f>
        <v>204.59999999999991</v>
      </c>
      <c r="O51" s="13">
        <f>N51*VLOOKUP('Données projet'!$B$9,Paramètres!$A$1:$I$89,3,0)*VLOOKUP('Données projet'!$B$9,Paramètres!$A$1:$I$89,5,0)</f>
        <v>178.73855999999995</v>
      </c>
      <c r="P51" s="13">
        <f t="shared" si="33"/>
        <v>45.041424241265332</v>
      </c>
      <c r="Q51" s="20">
        <f t="shared" si="53"/>
        <v>389.75013922020366</v>
      </c>
      <c r="R51" s="59">
        <f t="shared" si="0"/>
        <v>683.08347255353692</v>
      </c>
      <c r="S51" s="59">
        <f ca="1">AVERAGE(OFFSET($R$3,0,0,'Données projet'!$E$9+1,1))-AVERAGE(OFFSET($H$3,0,0,'Données projet'!$E$9+1,1))</f>
        <v>324.86930206492627</v>
      </c>
      <c r="T51" s="59">
        <f t="shared" si="34"/>
        <v>317.03005098025352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13.426344759230995</v>
      </c>
      <c r="AA51" s="21">
        <f>EXP(-LN(2)/25)*AA50+(1-EXP(-LN(2)/25))/(LN(2)/25)*Calculateur!V51*Calculateur!X51*VLOOKUP('Données projet'!$B$9,Paramètres!$A$1:$I$89,3,0)*0.475*44/12</f>
        <v>14.568523220840467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27.994867980071461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184.35256410256409</v>
      </c>
      <c r="AG51" s="12">
        <f>VLOOKUP(A51,'Données projet'!$A$61:$I$81,9,0)</f>
        <v>9.3452380952380913</v>
      </c>
      <c r="AH51" s="12">
        <f t="array" ref="AH51">INDEX(AG:AG,MIN(IF(ISNUMBER(AG51:AG247),ROW(AG51:AG247),"")))</f>
        <v>9.3452380952380913</v>
      </c>
      <c r="AI51" s="13">
        <f>IF('Données projet'!$A$62&gt;35,AI50+AH51-AQ50,IF(A51&lt;'Données projet'!$A$62,$AF$205^A51,IF(A51='Données projet'!$A$62,'Données projet'!$B$62,AI50+AH51-AQ50)))</f>
        <v>184.3525641025642</v>
      </c>
      <c r="AJ51" s="13">
        <f>AI51*VLOOKUP('Données projet'!$B$10,Paramètres!$A$1:$I$89,3,0)*VLOOKUP('Données projet'!$B$10,Paramètres!$A$1:$I$89,5,0)</f>
        <v>175.42990000000012</v>
      </c>
      <c r="AK51" s="13">
        <f t="shared" si="35"/>
        <v>44.303906290640654</v>
      </c>
      <c r="AL51" s="20">
        <f t="shared" si="4"/>
        <v>382.70304595619928</v>
      </c>
      <c r="AM51" s="59">
        <f t="shared" si="5"/>
        <v>676.03637928953253</v>
      </c>
      <c r="AN51" s="59">
        <f ca="1">AVERAGE(OFFSET($AM$3,0,0,'Données projet'!$E$10+1,1))-AVERAGE(OFFSET($H$3,0,0,'Données projet'!$E$10+1,1))</f>
        <v>401.81944956556271</v>
      </c>
      <c r="AO51" s="59">
        <f t="shared" si="36"/>
        <v>292.20785523952651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48.025641025641022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10.375</v>
      </c>
      <c r="BD51" s="12">
        <f>IF('Données projet'!$A$88&gt;35,BD50+BC51-BL50,IF(A51&lt;'Données projet'!$A$88,$BA$205^A51,IF(A51='Données projet'!$A$88,'Données projet'!$B$88,BD50+BC51-BL50)))</f>
        <v>228.49999999999997</v>
      </c>
      <c r="BE51" s="13">
        <f>BD51*VLOOKUP('Données projet'!$B$11,Paramètres!$A$1:$I$89,3,0)*VLOOKUP('Données projet'!$B$11,Paramètres!$A$1:$I$89,5,0)</f>
        <v>178.23</v>
      </c>
      <c r="BF51" s="13">
        <f t="shared" si="37"/>
        <v>44.928167580487852</v>
      </c>
      <c r="BG51" s="20">
        <f t="shared" si="7"/>
        <v>388.66714186934956</v>
      </c>
      <c r="BH51" s="59">
        <f t="shared" si="8"/>
        <v>682.00047520268288</v>
      </c>
      <c r="BI51" s="59">
        <f ca="1">AVERAGE(OFFSET($BH$3,0,0,'Données projet'!$E$11+1,1))-AVERAGE(OFFSET($H$3,0,0,'Données projet'!$E$11+1,1))</f>
        <v>288.80569134263209</v>
      </c>
      <c r="BJ51" s="59">
        <f t="shared" si="38"/>
        <v>283.48738729114024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11.89239180180329</v>
      </c>
      <c r="BQ51" s="21">
        <f>EXP(-LN(2)/25)*BQ50+(1-EXP(-LN(2)/25))/(LN(2)/25)*Calculateur!BL51*Calculateur!BN51*VLOOKUP('Données projet'!$B$11,Paramètres!$A$1:$I$89,3,0)*0.475*44/12</f>
        <v>17.591770863050332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29.484162664853621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</v>
      </c>
      <c r="BY51" s="12">
        <f>IF('Données projet'!$A$114&gt;35,BY50+BX51-CG50,IF(A51&lt;'Données projet'!$A$114,$BV$205^A51,IF(A51='Données projet'!$A$114,'Données projet'!$B$114,BY50+BX51-CG50)))</f>
        <v>161.00000000000003</v>
      </c>
      <c r="BZ51" s="13">
        <f>BY51*VLOOKUP('Données projet'!$B$12,Paramètres!$A$1:$I$89,3,0)*VLOOKUP('Données projet'!$B$12,Paramètres!$A$1:$I$89,5,0)</f>
        <v>168.27720000000002</v>
      </c>
      <c r="CA51" s="13">
        <f t="shared" si="39"/>
        <v>42.703945256047824</v>
      </c>
      <c r="CB51" s="20">
        <f t="shared" si="10"/>
        <v>367.45882798761664</v>
      </c>
      <c r="CC51" s="59">
        <f t="shared" si="11"/>
        <v>660.79216132094996</v>
      </c>
      <c r="CD51" s="59">
        <f ca="1">AVERAGE(OFFSET($CC$3,0,0,'Données projet'!$E$12+1,1))-AVERAGE(OFFSET($H$3,0,0,'Données projet'!$E$12+1,1))</f>
        <v>352.22281362023102</v>
      </c>
      <c r="CE51" s="59">
        <f t="shared" si="40"/>
        <v>310.2353747925161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8.2905005943573595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8.2905005943573595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6.826007326007324</v>
      </c>
      <c r="CT51" s="12">
        <f>IF('Données projet'!$A$140&gt;35,CT50+CS51-DB50,IF(A51&lt;'Données projet'!$A$140,$CQ$205^A51,IF(A51='Données projet'!$A$140,'Données projet'!$B$140,CT50+CS51-DB50)))</f>
        <v>125.31043956043951</v>
      </c>
      <c r="CU51" s="17">
        <f>CT51*VLOOKUP('Données projet'!$B$13,Paramètres!$A$1:$I$89,3,0)*VLOOKUP('Données projet'!$B$13,Paramètres!$A$1:$I$89,5,0)</f>
        <v>113.38088571428565</v>
      </c>
      <c r="CV51" s="13">
        <f t="shared" si="41"/>
        <v>30.126138765380961</v>
      </c>
      <c r="CW51" s="20">
        <f t="shared" si="13"/>
        <v>249.94140096875267</v>
      </c>
      <c r="CX51" s="59">
        <f t="shared" si="14"/>
        <v>543.27473430208602</v>
      </c>
      <c r="CY51" s="59">
        <f ca="1">AVERAGE(OFFSET($CX$3,0,0,'Données projet'!$E$13+1,1))-AVERAGE(OFFSET($H$3,0,0,'Données projet'!$E$13+1,1))</f>
        <v>345.49688858037996</v>
      </c>
      <c r="CZ51" s="59">
        <f t="shared" si="42"/>
        <v>213.15872113755023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6.826007326007324</v>
      </c>
      <c r="DO51" s="12">
        <f>IF('Données projet'!$A$166&gt;35,DO50+DN51-DW50,IF(A51&lt;'Données projet'!$A$166,$DL$205^A51,IF(A51='Données projet'!$A$166,'Données projet'!$B$166,DO50+DN51-DW50)))</f>
        <v>125.31043956043951</v>
      </c>
      <c r="DP51" s="17">
        <f>DO51*VLOOKUP('Données projet'!$B$14,Paramètres!$A$1:$I$89,3,0)*VLOOKUP('Données projet'!$B$14,Paramètres!$A$1:$I$89,5,0)</f>
        <v>127.06478571428566</v>
      </c>
      <c r="DQ51" s="13">
        <f t="shared" si="43"/>
        <v>33.317218652426654</v>
      </c>
      <c r="DR51" s="20">
        <f t="shared" si="16"/>
        <v>279.33199093869058</v>
      </c>
      <c r="DS51" s="59">
        <f t="shared" si="17"/>
        <v>572.66532427202389</v>
      </c>
      <c r="DT51" s="59">
        <f ca="1">AVERAGE(OFFSET($DS$3,0,0,'Données projet'!$E$14+1,1))-AVERAGE(OFFSET($H$3,0,0,'Données projet'!$E$14+1,1))</f>
        <v>382.26108489744581</v>
      </c>
      <c r="DU51" s="59">
        <f t="shared" si="44"/>
        <v>233.89423996158826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9.8424908424908359</v>
      </c>
      <c r="EJ51" s="12">
        <f>IF('Données projet'!$A$192&gt;35,EJ50+EI51-ER50,IF(A51&lt;'Données projet'!$A$192,$EG$205^A51,IF(A51='Données projet'!$A$192,'Données projet'!$B$192,EJ50+EI51-ER50)))</f>
        <v>157.47252747252742</v>
      </c>
      <c r="EK51" s="17">
        <f>EJ51*VLOOKUP('Données projet'!$B$15,Paramètres!$A$1:$I$89,3,0)*VLOOKUP('Données projet'!$B$15,Paramètres!$A$1:$I$89,5,0)</f>
        <v>132.65485714285711</v>
      </c>
      <c r="EL51" s="13">
        <f t="shared" si="45"/>
        <v>34.609095218679897</v>
      </c>
      <c r="EM51" s="20">
        <f t="shared" si="19"/>
        <v>291.31805036301029</v>
      </c>
      <c r="EN51" s="59">
        <f t="shared" si="20"/>
        <v>584.6513836963436</v>
      </c>
      <c r="EO51" s="59">
        <f ca="1">AVERAGE(OFFSET($EN$3,0,0,'Données projet'!$E$15+1,1))-AVERAGE(OFFSET($H$3,0,0,'Données projet'!$E$15+1,1))</f>
        <v>312.48716825299158</v>
      </c>
      <c r="EP51" s="59">
        <f t="shared" si="46"/>
        <v>258.68277822755357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6.826007326007324</v>
      </c>
      <c r="FE51" s="12">
        <f>IF('Données projet'!$A$218&gt;35,FE50+FD51-FM50,IF(A51&lt;'Données projet'!$A$218,$FB$205^A51,IF(A51='Données projet'!$A$218,'Données projet'!$B$218,FE50+FD51-FM50)))</f>
        <v>125.31043956043951</v>
      </c>
      <c r="FF51" s="17">
        <f>FE51*VLOOKUP('Données projet'!$B$16,Paramètres!$A$1:$I$89,3,0)*VLOOKUP('Données projet'!$B$16,Paramètres!$A$1:$I$89,5,0)</f>
        <v>134.88415714285708</v>
      </c>
      <c r="FG51" s="13">
        <f t="shared" si="47"/>
        <v>35.1225107136449</v>
      </c>
      <c r="FH51" s="20">
        <f t="shared" si="22"/>
        <v>296.09494651674089</v>
      </c>
      <c r="FI51" s="59">
        <f t="shared" si="23"/>
        <v>589.4282798500742</v>
      </c>
      <c r="FJ51" s="59">
        <f ca="1">AVERAGE(OFFSET($FI$3,0,0,'Données projet'!$E$16+1,1))-AVERAGE(OFFSET($H$3,0,0,'Données projet'!$E$16+1,1))</f>
        <v>403.23110963096246</v>
      </c>
      <c r="FK51" s="59">
        <f t="shared" si="48"/>
        <v>245.72000393124898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6.826007326007324</v>
      </c>
      <c r="FZ51" s="12">
        <f>IF('Données projet'!$A$244&gt;35,FZ50+FY51-GH50,IF(A51&lt;'Données projet'!$A$244,$FW$205^A51,IF(A51='Données projet'!$A$244,'Données projet'!$B$244,FZ50+FY51-GH50)))</f>
        <v>125.31043956043951</v>
      </c>
      <c r="GA51" s="17">
        <f>FZ51*VLOOKUP('Données projet'!$B$17,Paramètres!$A$1:$I$89,3,0)*VLOOKUP('Données projet'!$B$17,Paramètres!$A$1:$I$89,5,0)</f>
        <v>121.20025714285708</v>
      </c>
      <c r="GB51" s="13">
        <f t="shared" si="49"/>
        <v>31.954777205454842</v>
      </c>
      <c r="GC51" s="20">
        <f t="shared" si="25"/>
        <v>266.7450181566432</v>
      </c>
      <c r="GD51" s="59">
        <f t="shared" si="26"/>
        <v>560.07835148997651</v>
      </c>
      <c r="GE51" s="59">
        <f ca="1">AVERAGE(OFFSET($GD$3,0,0,'Données projet'!$E$17+1,1))-AVERAGE(OFFSET($H$3,0,0,'Données projet'!$E$17+1,1))</f>
        <v>336.2911850338175</v>
      </c>
      <c r="GF51" s="59">
        <f t="shared" si="50"/>
        <v>225.01415116995503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0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6.826007326007324</v>
      </c>
      <c r="GU51" s="12">
        <f>IF('Données projet'!$A$270&gt;35,GU50+GT51-HC50,IF(A51&lt;'Données projet'!$A$270,$GR$205^A51,IF(A51='Données projet'!$A$270,'Données projet'!$B$270,GU50+GT51-HC50)))</f>
        <v>125.31043956043951</v>
      </c>
      <c r="GV51" s="17">
        <f>GU51*VLOOKUP('Données projet'!$B$18,Paramètres!$A$1:$I$89,3,0)*VLOOKUP('Données projet'!$B$18,Paramètres!$A$1:$I$89,5,0)</f>
        <v>84.05824285714283</v>
      </c>
      <c r="GW51" s="13">
        <f t="shared" si="51"/>
        <v>23.126569943547999</v>
      </c>
      <c r="GX51" s="20">
        <f t="shared" si="28"/>
        <v>186.68021562786984</v>
      </c>
      <c r="GY51" s="59">
        <f t="shared" si="29"/>
        <v>480.01354896120313</v>
      </c>
      <c r="GZ51" s="59">
        <f ca="1">AVERAGE(OFFSET($GY$3,0,0,'Données projet'!$E$18+1,1))-AVERAGE(OFFSET($H$3,0,0,'Données projet'!$E$18+1,1))</f>
        <v>266.37807768393191</v>
      </c>
      <c r="HA51" s="59">
        <f t="shared" si="52"/>
        <v>168.52019826233425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0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</v>
      </c>
      <c r="N52" s="13">
        <f>IF('Données projet'!$A$36&gt;35,N51+M52-V51,IF(A52&lt;'Données projet'!$A$36,$K$205^A52,IF(A52='Données projet'!$A$36,'Données projet'!$B$36,N51+M52-V51)))</f>
        <v>211.7999999999999</v>
      </c>
      <c r="O52" s="13">
        <f>N52*VLOOKUP('Données projet'!$B$9,Paramètres!$A$1:$I$89,3,0)*VLOOKUP('Données projet'!$B$9,Paramètres!$A$1:$I$89,5,0)</f>
        <v>185.02847999999992</v>
      </c>
      <c r="P52" s="13">
        <f t="shared" si="33"/>
        <v>46.439130018745807</v>
      </c>
      <c r="Q52" s="20">
        <f t="shared" si="53"/>
        <v>403.13942078264876</v>
      </c>
      <c r="R52" s="59">
        <f t="shared" si="0"/>
        <v>696.47275411598207</v>
      </c>
      <c r="S52" s="59">
        <f ca="1">AVERAGE(OFFSET($R$3,0,0,'Données projet'!$E$9+1,1))-AVERAGE(OFFSET($H$3,0,0,'Données projet'!$E$9+1,1))</f>
        <v>324.86930206492627</v>
      </c>
      <c r="T52" s="59">
        <f t="shared" si="34"/>
        <v>317.03005098025352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13.163062327764155</v>
      </c>
      <c r="AA52" s="21">
        <f>EXP(-LN(2)/25)*AA51+(1-EXP(-LN(2)/25))/(LN(2)/25)*Calculateur!V52*Calculateur!X52*VLOOKUP('Données projet'!$B$9,Paramètres!$A$1:$I$89,3,0)*0.475*44/12</f>
        <v>14.170146187241246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27.333208515005403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8.8736263736263741</v>
      </c>
      <c r="AI52" s="13">
        <f>IF('Données projet'!$A$62&gt;35,AI51+AH52-AQ51,IF(A52&lt;'Données projet'!$A$62,$AF$205^A52,IF(A52='Données projet'!$A$62,'Données projet'!$B$62,AI51+AH52-AQ51)))</f>
        <v>145.20054945054954</v>
      </c>
      <c r="AJ52" s="13">
        <f>AI52*VLOOKUP('Données projet'!$B$10,Paramètres!$A$1:$I$89,3,0)*VLOOKUP('Données projet'!$B$10,Paramètres!$A$1:$I$89,5,0)</f>
        <v>138.17284285714297</v>
      </c>
      <c r="AK52" s="13">
        <f t="shared" si="35"/>
        <v>35.878109956420083</v>
      </c>
      <c r="AL52" s="20">
        <f t="shared" si="4"/>
        <v>303.13874281695564</v>
      </c>
      <c r="AM52" s="59">
        <f t="shared" si="5"/>
        <v>596.47207615028901</v>
      </c>
      <c r="AN52" s="59">
        <f ca="1">AVERAGE(OFFSET($AM$3,0,0,'Données projet'!$E$10+1,1))-AVERAGE(OFFSET($H$3,0,0,'Données projet'!$E$10+1,1))</f>
        <v>401.81944956556271</v>
      </c>
      <c r="AO52" s="59">
        <f t="shared" si="36"/>
        <v>292.20785523952651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10.375</v>
      </c>
      <c r="BD52" s="12">
        <f>IF('Données projet'!$A$88&gt;35,BD51+BC52-BL51,IF(A52&lt;'Données projet'!$A$88,$BA$205^A52,IF(A52='Données projet'!$A$88,'Données projet'!$B$88,BD51+BC52-BL51)))</f>
        <v>238.87499999999997</v>
      </c>
      <c r="BE52" s="13">
        <f>BD52*VLOOKUP('Données projet'!$B$11,Paramètres!$A$1:$I$89,3,0)*VLOOKUP('Données projet'!$B$11,Paramètres!$A$1:$I$89,5,0)</f>
        <v>186.32249999999999</v>
      </c>
      <c r="BF52" s="13">
        <f t="shared" si="37"/>
        <v>46.725987276254116</v>
      </c>
      <c r="BG52" s="20">
        <f t="shared" si="7"/>
        <v>405.89278200614257</v>
      </c>
      <c r="BH52" s="59">
        <f t="shared" si="8"/>
        <v>699.22611533947588</v>
      </c>
      <c r="BI52" s="59">
        <f ca="1">AVERAGE(OFFSET($BH$3,0,0,'Données projet'!$E$11+1,1))-AVERAGE(OFFSET($H$3,0,0,'Données projet'!$E$11+1,1))</f>
        <v>288.80569134263209</v>
      </c>
      <c r="BJ52" s="59">
        <f t="shared" si="38"/>
        <v>283.48738729114024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11.659189252212689</v>
      </c>
      <c r="BQ52" s="21">
        <f>EXP(-LN(2)/25)*BQ51+(1-EXP(-LN(2)/25))/(LN(2)/25)*Calculateur!BL52*Calculateur!BN52*VLOOKUP('Données projet'!$B$11,Paramètres!$A$1:$I$89,3,0)*0.475*44/12</f>
        <v>17.110722963689199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28.76991221590189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</v>
      </c>
      <c r="BY52" s="12">
        <f>IF('Données projet'!$A$114&gt;35,BY51+BX52-CG51,IF(A52&lt;'Données projet'!$A$114,$BV$205^A52,IF(A52='Données projet'!$A$114,'Données projet'!$B$114,BY51+BX52-CG51)))</f>
        <v>167.00000000000003</v>
      </c>
      <c r="BZ52" s="13">
        <f>BY52*VLOOKUP('Données projet'!$B$12,Paramètres!$A$1:$I$89,3,0)*VLOOKUP('Données projet'!$B$12,Paramètres!$A$1:$I$89,5,0)</f>
        <v>174.54840000000004</v>
      </c>
      <c r="CA52" s="13">
        <f t="shared" si="39"/>
        <v>44.107143191738089</v>
      </c>
      <c r="CB52" s="20">
        <f t="shared" si="10"/>
        <v>380.82507105894388</v>
      </c>
      <c r="CC52" s="59">
        <f t="shared" si="11"/>
        <v>674.15840439227713</v>
      </c>
      <c r="CD52" s="59">
        <f ca="1">AVERAGE(OFFSET($CC$3,0,0,'Données projet'!$E$12+1,1))-AVERAGE(OFFSET($H$3,0,0,'Données projet'!$E$12+1,1))</f>
        <v>352.22281362023102</v>
      </c>
      <c r="CE52" s="59">
        <f t="shared" si="40"/>
        <v>310.2353747925161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8.0637964196261791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8.0637964196261791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6.826007326007324</v>
      </c>
      <c r="CT52" s="12">
        <f>IF('Données projet'!$A$140&gt;35,CT51+CS52-DB51,IF(A52&lt;'Données projet'!$A$140,$CQ$205^A52,IF(A52='Données projet'!$A$140,'Données projet'!$B$140,CT51+CS52-DB51)))</f>
        <v>132.13644688644683</v>
      </c>
      <c r="CU52" s="17">
        <f>CT52*VLOOKUP('Données projet'!$B$13,Paramètres!$A$1:$I$89,3,0)*VLOOKUP('Données projet'!$B$13,Paramètres!$A$1:$I$89,5,0)</f>
        <v>119.55705714285709</v>
      </c>
      <c r="CV52" s="13">
        <f t="shared" si="41"/>
        <v>31.571667922473026</v>
      </c>
      <c r="CW52" s="20">
        <f t="shared" si="13"/>
        <v>263.21586282211655</v>
      </c>
      <c r="CX52" s="59">
        <f t="shared" si="14"/>
        <v>556.54919615544986</v>
      </c>
      <c r="CY52" s="59">
        <f ca="1">AVERAGE(OFFSET($CX$3,0,0,'Données projet'!$E$13+1,1))-AVERAGE(OFFSET($H$3,0,0,'Données projet'!$E$13+1,1))</f>
        <v>345.49688858037996</v>
      </c>
      <c r="CZ52" s="59">
        <f t="shared" si="42"/>
        <v>213.15872113755023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6.826007326007324</v>
      </c>
      <c r="DO52" s="12">
        <f>IF('Données projet'!$A$166&gt;35,DO51+DN52-DW51,IF(A52&lt;'Données projet'!$A$166,$DL$205^A52,IF(A52='Données projet'!$A$166,'Données projet'!$B$166,DO51+DN52-DW51)))</f>
        <v>132.13644688644683</v>
      </c>
      <c r="DP52" s="17">
        <f>DO52*VLOOKUP('Données projet'!$B$14,Paramètres!$A$1:$I$89,3,0)*VLOOKUP('Données projet'!$B$14,Paramètres!$A$1:$I$89,5,0)</f>
        <v>133.98635714285712</v>
      </c>
      <c r="DQ52" s="13">
        <f t="shared" si="43"/>
        <v>34.915863980670267</v>
      </c>
      <c r="DR52" s="20">
        <f t="shared" si="16"/>
        <v>294.17136845681017</v>
      </c>
      <c r="DS52" s="59">
        <f t="shared" si="17"/>
        <v>587.50470179014349</v>
      </c>
      <c r="DT52" s="59">
        <f ca="1">AVERAGE(OFFSET($DS$3,0,0,'Données projet'!$E$14+1,1))-AVERAGE(OFFSET($H$3,0,0,'Données projet'!$E$14+1,1))</f>
        <v>382.26108489744581</v>
      </c>
      <c r="DU52" s="59">
        <f t="shared" si="44"/>
        <v>233.89423996158826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9.8424908424908359</v>
      </c>
      <c r="EJ52" s="12">
        <f>IF('Données projet'!$A$192&gt;35,EJ51+EI52-ER51,IF(A52&lt;'Données projet'!$A$192,$EG$205^A52,IF(A52='Données projet'!$A$192,'Données projet'!$B$192,EJ51+EI52-ER51)))</f>
        <v>167.31501831501825</v>
      </c>
      <c r="EK52" s="17">
        <f>EJ52*VLOOKUP('Données projet'!$B$15,Paramètres!$A$1:$I$89,3,0)*VLOOKUP('Données projet'!$B$15,Paramètres!$A$1:$I$89,5,0)</f>
        <v>140.9461714285714</v>
      </c>
      <c r="EL52" s="13">
        <f t="shared" si="45"/>
        <v>36.513675038783468</v>
      </c>
      <c r="EM52" s="20">
        <f t="shared" si="19"/>
        <v>309.0758992639764</v>
      </c>
      <c r="EN52" s="59">
        <f t="shared" si="20"/>
        <v>602.40923259730971</v>
      </c>
      <c r="EO52" s="59">
        <f ca="1">AVERAGE(OFFSET($EN$3,0,0,'Données projet'!$E$15+1,1))-AVERAGE(OFFSET($H$3,0,0,'Données projet'!$E$15+1,1))</f>
        <v>312.48716825299158</v>
      </c>
      <c r="EP52" s="59">
        <f t="shared" si="46"/>
        <v>258.68277822755357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6.826007326007324</v>
      </c>
      <c r="FE52" s="12">
        <f>IF('Données projet'!$A$218&gt;35,FE51+FD52-FM51,IF(A52&lt;'Données projet'!$A$218,$FB$205^A52,IF(A52='Données projet'!$A$218,'Données projet'!$B$218,FE51+FD52-FM51)))</f>
        <v>132.13644688644683</v>
      </c>
      <c r="FF52" s="17">
        <f>FE52*VLOOKUP('Données projet'!$B$16,Paramètres!$A$1:$I$89,3,0)*VLOOKUP('Données projet'!$B$16,Paramètres!$A$1:$I$89,5,0)</f>
        <v>142.23167142857136</v>
      </c>
      <c r="FG52" s="13">
        <f t="shared" si="47"/>
        <v>36.80777857031412</v>
      </c>
      <c r="FH52" s="20">
        <f t="shared" si="22"/>
        <v>311.82704208139222</v>
      </c>
      <c r="FI52" s="59">
        <f t="shared" si="23"/>
        <v>605.16037541472554</v>
      </c>
      <c r="FJ52" s="59">
        <f ca="1">AVERAGE(OFFSET($FI$3,0,0,'Données projet'!$E$16+1,1))-AVERAGE(OFFSET($H$3,0,0,'Données projet'!$E$16+1,1))</f>
        <v>403.23110963096246</v>
      </c>
      <c r="FK52" s="59">
        <f t="shared" si="48"/>
        <v>245.72000393124898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6.826007326007324</v>
      </c>
      <c r="FZ52" s="12">
        <f>IF('Données projet'!$A$244&gt;35,FZ51+FY52-GH51,IF(A52&lt;'Données projet'!$A$244,$FW$205^A52,IF(A52='Données projet'!$A$244,'Données projet'!$B$244,FZ51+FY52-GH51)))</f>
        <v>132.13644688644683</v>
      </c>
      <c r="GA52" s="17">
        <f>FZ52*VLOOKUP('Données projet'!$B$17,Paramètres!$A$1:$I$89,3,0)*VLOOKUP('Données projet'!$B$17,Paramètres!$A$1:$I$89,5,0)</f>
        <v>127.80237142857139</v>
      </c>
      <c r="GB52" s="13">
        <f t="shared" si="49"/>
        <v>33.488049109916332</v>
      </c>
      <c r="GC52" s="20">
        <f t="shared" si="25"/>
        <v>280.91414910453278</v>
      </c>
      <c r="GD52" s="59">
        <f t="shared" si="26"/>
        <v>574.2474824378661</v>
      </c>
      <c r="GE52" s="59">
        <f ca="1">AVERAGE(OFFSET($GD$3,0,0,'Données projet'!$E$17+1,1))-AVERAGE(OFFSET($H$3,0,0,'Données projet'!$E$17+1,1))</f>
        <v>336.2911850338175</v>
      </c>
      <c r="GF52" s="59">
        <f t="shared" si="50"/>
        <v>225.01415116995503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0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6.826007326007324</v>
      </c>
      <c r="GU52" s="12">
        <f>IF('Données projet'!$A$270&gt;35,GU51+GT52-HC51,IF(A52&lt;'Données projet'!$A$270,$GR$205^A52,IF(A52='Données projet'!$A$270,'Données projet'!$B$270,GU51+GT52-HC51)))</f>
        <v>132.13644688644683</v>
      </c>
      <c r="GV52" s="17">
        <f>GU52*VLOOKUP('Données projet'!$B$18,Paramètres!$A$1:$I$89,3,0)*VLOOKUP('Données projet'!$B$18,Paramètres!$A$1:$I$89,5,0)</f>
        <v>88.637128571428534</v>
      </c>
      <c r="GW52" s="13">
        <f t="shared" si="51"/>
        <v>24.236241893786222</v>
      </c>
      <c r="GX52" s="20">
        <f t="shared" si="28"/>
        <v>196.58778689358235</v>
      </c>
      <c r="GY52" s="59">
        <f t="shared" si="29"/>
        <v>489.92112022691566</v>
      </c>
      <c r="GZ52" s="59">
        <f ca="1">AVERAGE(OFFSET($GY$3,0,0,'Données projet'!$E$18+1,1))-AVERAGE(OFFSET($H$3,0,0,'Données projet'!$E$18+1,1))</f>
        <v>266.37807768393191</v>
      </c>
      <c r="HA52" s="59">
        <f t="shared" si="52"/>
        <v>168.52019826233425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0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219</v>
      </c>
      <c r="L53" s="12">
        <f>VLOOKUP(A53,'Données projet'!$A$35:$I$55,9,0)</f>
        <v>7.2</v>
      </c>
      <c r="M53" s="12">
        <f t="array" ref="M53">INDEX(L:L,MIN(IF(ISNUMBER(L53:L249),ROW(L53:L249),"")))</f>
        <v>7.2</v>
      </c>
      <c r="N53" s="13">
        <f>IF('Données projet'!$A$36&gt;35,N52+M53-V52,IF(A53&lt;'Données projet'!$A$36,$K$205^A53,IF(A53='Données projet'!$A$36,'Données projet'!$B$36,N52+M53-V52)))</f>
        <v>218.99999999999989</v>
      </c>
      <c r="O53" s="13">
        <f>N53*VLOOKUP('Données projet'!$B$9,Paramètres!$A$1:$I$89,3,0)*VLOOKUP('Données projet'!$B$9,Paramètres!$A$1:$I$89,5,0)</f>
        <v>191.31839999999991</v>
      </c>
      <c r="P53" s="13">
        <f t="shared" si="33"/>
        <v>47.831314962098354</v>
      </c>
      <c r="Q53" s="20">
        <f t="shared" si="53"/>
        <v>416.51908689232118</v>
      </c>
      <c r="R53" s="59">
        <f t="shared" si="0"/>
        <v>709.85242022565444</v>
      </c>
      <c r="S53" s="59">
        <f ca="1">AVERAGE(OFFSET($R$3,0,0,'Données projet'!$E$9+1,1))-AVERAGE(OFFSET($H$3,0,0,'Données projet'!$E$9+1,1))</f>
        <v>324.86930206492627</v>
      </c>
      <c r="T53" s="59">
        <f t="shared" si="34"/>
        <v>317.03005098025352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17</v>
      </c>
      <c r="W53" s="16">
        <f>IF(ISNA(VLOOKUP(A53,'Données projet'!$A$35:$I$55,5,0)),0%,VLOOKUP(A53,'Données projet'!$A$35:$I$55,5,0)*VLOOKUP('Données projet'!$B$9,Paramètres!$A$1:$I$89,7,0))</f>
        <v>0.37630000000000002</v>
      </c>
      <c r="X53" s="16">
        <f>IF(ISNA(VLOOKUP(A53,'Données projet'!$A$35:$I$55,6,0)),0%,VLOOKUP(A53,'Données projet'!$A$35:$I$55,6,0)*VLOOKUP('Données projet'!$B$9,Paramètres!$A$1:$I$89,7,0))</f>
        <v>9.5399999999999999E-2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19.082871172097537</v>
      </c>
      <c r="AA53" s="21">
        <f>EXP(-LN(2)/25)*AA52+(1-EXP(-LN(2)/25))/(LN(2)/25)*Calculateur!V53*Calculateur!X53*VLOOKUP('Données projet'!$B$9,Paramètres!$A$1:$I$89,3,0)*0.475*44/12</f>
        <v>15.342731315307063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34.425602487404603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8.8736263736263741</v>
      </c>
      <c r="AI53" s="13">
        <f>IF('Données projet'!$A$62&gt;35,AI52+AH53-AQ52,IF(A53&lt;'Données projet'!$A$62,$AF$205^A53,IF(A53='Données projet'!$A$62,'Données projet'!$B$62,AI52+AH53-AQ52)))</f>
        <v>154.07417582417591</v>
      </c>
      <c r="AJ53" s="13">
        <f>AI53*VLOOKUP('Données projet'!$B$10,Paramètres!$A$1:$I$89,3,0)*VLOOKUP('Données projet'!$B$10,Paramètres!$A$1:$I$89,5,0)</f>
        <v>146.61698571428579</v>
      </c>
      <c r="AK53" s="13">
        <f t="shared" si="35"/>
        <v>37.808765775839525</v>
      </c>
      <c r="AL53" s="20">
        <f t="shared" si="4"/>
        <v>321.20818384530156</v>
      </c>
      <c r="AM53" s="59">
        <f t="shared" si="5"/>
        <v>614.54151717863488</v>
      </c>
      <c r="AN53" s="59">
        <f ca="1">AVERAGE(OFFSET($AM$3,0,0,'Données projet'!$E$10+1,1))-AVERAGE(OFFSET($H$3,0,0,'Données projet'!$E$10+1,1))</f>
        <v>401.81944956556271</v>
      </c>
      <c r="AO53" s="59">
        <f t="shared" si="36"/>
        <v>292.20785523952651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10.375</v>
      </c>
      <c r="BD53" s="12">
        <f>IF('Données projet'!$A$88&gt;35,BD52+BC53-BL52,IF(A53&lt;'Données projet'!$A$88,$BA$205^A53,IF(A53='Données projet'!$A$88,'Données projet'!$B$88,BD52+BC53-BL52)))</f>
        <v>249.24999999999997</v>
      </c>
      <c r="BE53" s="13">
        <f>BD53*VLOOKUP('Données projet'!$B$11,Paramètres!$A$1:$I$89,3,0)*VLOOKUP('Données projet'!$B$11,Paramètres!$A$1:$I$89,5,0)</f>
        <v>194.41499999999999</v>
      </c>
      <c r="BF53" s="13">
        <f t="shared" si="37"/>
        <v>48.514737888684969</v>
      </c>
      <c r="BG53" s="20">
        <f t="shared" si="7"/>
        <v>423.10262682279296</v>
      </c>
      <c r="BH53" s="59">
        <f t="shared" si="8"/>
        <v>716.43596015612627</v>
      </c>
      <c r="BI53" s="59">
        <f ca="1">AVERAGE(OFFSET($BH$3,0,0,'Données projet'!$E$11+1,1))-AVERAGE(OFFSET($H$3,0,0,'Données projet'!$E$11+1,1))</f>
        <v>288.80569134263209</v>
      </c>
      <c r="BJ53" s="59">
        <f t="shared" si="38"/>
        <v>283.48738729114024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11.43055966238005</v>
      </c>
      <c r="BQ53" s="21">
        <f>EXP(-LN(2)/25)*BQ52+(1-EXP(-LN(2)/25))/(LN(2)/25)*Calculateur!BL53*Calculateur!BN53*VLOOKUP('Données projet'!$B$11,Paramètres!$A$1:$I$89,3,0)*0.475*44/12</f>
        <v>16.642829344433302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28.07338900681335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173</v>
      </c>
      <c r="BW53" s="12">
        <f>VLOOKUP(A53,'Données projet'!$A$113:$I$133,9,0)</f>
        <v>6</v>
      </c>
      <c r="BX53" s="12">
        <f t="array" ref="BX53">INDEX(BW:BW,MIN(IF(ISNUMBER(BW53:BW249),ROW(BW53:BW249),"")))</f>
        <v>6</v>
      </c>
      <c r="BY53" s="12">
        <f>IF('Données projet'!$A$114&gt;35,BY52+BX53-CG52,IF(A53&lt;'Données projet'!$A$114,$BV$205^A53,IF(A53='Données projet'!$A$114,'Données projet'!$B$114,BY52+BX53-CG52)))</f>
        <v>173.00000000000003</v>
      </c>
      <c r="BZ53" s="13">
        <f>BY53*VLOOKUP('Données projet'!$B$12,Paramètres!$A$1:$I$89,3,0)*VLOOKUP('Données projet'!$B$12,Paramètres!$A$1:$I$89,5,0)</f>
        <v>180.81960000000004</v>
      </c>
      <c r="CA53" s="13">
        <f t="shared" si="39"/>
        <v>45.504483825620213</v>
      </c>
      <c r="CB53" s="20">
        <f t="shared" si="10"/>
        <v>394.18111266295523</v>
      </c>
      <c r="CC53" s="59">
        <f t="shared" si="11"/>
        <v>687.51444599628849</v>
      </c>
      <c r="CD53" s="59">
        <f ca="1">AVERAGE(OFFSET($CC$3,0,0,'Données projet'!$E$12+1,1))-AVERAGE(OFFSET($H$3,0,0,'Données projet'!$E$12+1,1))</f>
        <v>352.22281362023102</v>
      </c>
      <c r="CE53" s="59">
        <f t="shared" si="40"/>
        <v>310.2353747925161</v>
      </c>
      <c r="CF53" s="15">
        <f>IF(ISNA(VLOOKUP(A53,'Données projet'!$A$113:$I$133,3,0)),0,VLOOKUP(A53,'Données projet'!$A$113:$I$133,3,0))</f>
        <v>7</v>
      </c>
      <c r="CG53" s="15" t="str">
        <f>IF(ISNA(VLOOKUP(A53,'Données projet'!$A$113:$I$133,4,0)),0,VLOOKUP(A53,'Données projet'!$A$113:$I$133,4,0))</f>
        <v>18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0.215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12.297228980718433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12.297228980718433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6.826007326007324</v>
      </c>
      <c r="CT53" s="12">
        <f>IF('Données projet'!$A$140&gt;35,CT52+CS53-DB52,IF(A53&lt;'Données projet'!$A$140,$CQ$205^A53,IF(A53='Données projet'!$A$140,'Données projet'!$B$140,CT52+CS53-DB52)))</f>
        <v>138.96245421245416</v>
      </c>
      <c r="CU53" s="17">
        <f>CT53*VLOOKUP('Données projet'!$B$13,Paramètres!$A$1:$I$89,3,0)*VLOOKUP('Données projet'!$B$13,Paramètres!$A$1:$I$89,5,0)</f>
        <v>125.73322857142851</v>
      </c>
      <c r="CV53" s="13">
        <f t="shared" si="41"/>
        <v>33.008527004415768</v>
      </c>
      <c r="CW53" s="20">
        <f t="shared" si="13"/>
        <v>276.47522429459542</v>
      </c>
      <c r="CX53" s="59">
        <f t="shared" si="14"/>
        <v>569.80855762792874</v>
      </c>
      <c r="CY53" s="59">
        <f ca="1">AVERAGE(OFFSET($CX$3,0,0,'Données projet'!$E$13+1,1))-AVERAGE(OFFSET($H$3,0,0,'Données projet'!$E$13+1,1))</f>
        <v>345.49688858037996</v>
      </c>
      <c r="CZ53" s="59">
        <f t="shared" si="42"/>
        <v>213.15872113755023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6.826007326007324</v>
      </c>
      <c r="DO53" s="12">
        <f>IF('Données projet'!$A$166&gt;35,DO52+DN53-DW52,IF(A53&lt;'Données projet'!$A$166,$DL$205^A53,IF(A53='Données projet'!$A$166,'Données projet'!$B$166,DO52+DN53-DW52)))</f>
        <v>138.96245421245416</v>
      </c>
      <c r="DP53" s="17">
        <f>DO53*VLOOKUP('Données projet'!$B$14,Paramètres!$A$1:$I$89,3,0)*VLOOKUP('Données projet'!$B$14,Paramètres!$A$1:$I$89,5,0)</f>
        <v>140.90792857142853</v>
      </c>
      <c r="DQ53" s="13">
        <f t="shared" si="43"/>
        <v>36.504920865079967</v>
      </c>
      <c r="DR53" s="20">
        <f t="shared" si="16"/>
        <v>308.99404610191897</v>
      </c>
      <c r="DS53" s="59">
        <f t="shared" si="17"/>
        <v>602.32737943525228</v>
      </c>
      <c r="DT53" s="59">
        <f ca="1">AVERAGE(OFFSET($DS$3,0,0,'Données projet'!$E$14+1,1))-AVERAGE(OFFSET($H$3,0,0,'Données projet'!$E$14+1,1))</f>
        <v>382.26108489744581</v>
      </c>
      <c r="DU53" s="59">
        <f t="shared" si="44"/>
        <v>233.89423996158826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9.8424908424908359</v>
      </c>
      <c r="EJ53" s="12">
        <f>IF('Données projet'!$A$192&gt;35,EJ52+EI53-ER52,IF(A53&lt;'Données projet'!$A$192,$EG$205^A53,IF(A53='Données projet'!$A$192,'Données projet'!$B$192,EJ52+EI53-ER52)))</f>
        <v>177.15750915750908</v>
      </c>
      <c r="EK53" s="17">
        <f>EJ53*VLOOKUP('Données projet'!$B$15,Paramètres!$A$1:$I$89,3,0)*VLOOKUP('Données projet'!$B$15,Paramètres!$A$1:$I$89,5,0)</f>
        <v>149.23748571428567</v>
      </c>
      <c r="EL53" s="13">
        <f t="shared" si="45"/>
        <v>38.405250148938364</v>
      </c>
      <c r="EM53" s="20">
        <f t="shared" si="19"/>
        <v>326.81109829511519</v>
      </c>
      <c r="EN53" s="59">
        <f t="shared" si="20"/>
        <v>620.1444316284485</v>
      </c>
      <c r="EO53" s="59">
        <f ca="1">AVERAGE(OFFSET($EN$3,0,0,'Données projet'!$E$15+1,1))-AVERAGE(OFFSET($H$3,0,0,'Données projet'!$E$15+1,1))</f>
        <v>312.48716825299158</v>
      </c>
      <c r="EP53" s="59">
        <f t="shared" si="46"/>
        <v>258.68277822755357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6.826007326007324</v>
      </c>
      <c r="FE53" s="12">
        <f>IF('Données projet'!$A$218&gt;35,FE52+FD53-FM52,IF(A53&lt;'Données projet'!$A$218,$FB$205^A53,IF(A53='Données projet'!$A$218,'Données projet'!$B$218,FE52+FD53-FM52)))</f>
        <v>138.96245421245416</v>
      </c>
      <c r="FF53" s="17">
        <f>FE53*VLOOKUP('Données projet'!$B$16,Paramètres!$A$1:$I$89,3,0)*VLOOKUP('Données projet'!$B$16,Paramètres!$A$1:$I$89,5,0)</f>
        <v>149.57918571428564</v>
      </c>
      <c r="FG53" s="13">
        <f t="shared" si="47"/>
        <v>38.482938433732244</v>
      </c>
      <c r="FH53" s="20">
        <f t="shared" si="22"/>
        <v>327.54153289113111</v>
      </c>
      <c r="FI53" s="59">
        <f t="shared" si="23"/>
        <v>620.87486622446443</v>
      </c>
      <c r="FJ53" s="59">
        <f ca="1">AVERAGE(OFFSET($FI$3,0,0,'Données projet'!$E$16+1,1))-AVERAGE(OFFSET($H$3,0,0,'Données projet'!$E$16+1,1))</f>
        <v>403.23110963096246</v>
      </c>
      <c r="FK53" s="59">
        <f t="shared" si="48"/>
        <v>245.72000393124898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6.826007326007324</v>
      </c>
      <c r="FZ53" s="12">
        <f>IF('Données projet'!$A$244&gt;35,FZ52+FY53-GH52,IF(A53&lt;'Données projet'!$A$244,$FW$205^A53,IF(A53='Données projet'!$A$244,'Données projet'!$B$244,FZ52+FY53-GH52)))</f>
        <v>138.96245421245416</v>
      </c>
      <c r="GA53" s="17">
        <f>FZ53*VLOOKUP('Données projet'!$B$17,Paramètres!$A$1:$I$89,3,0)*VLOOKUP('Données projet'!$B$17,Paramètres!$A$1:$I$89,5,0)</f>
        <v>134.40448571428567</v>
      </c>
      <c r="GB53" s="13">
        <f t="shared" si="49"/>
        <v>35.012124670899802</v>
      </c>
      <c r="GC53" s="20">
        <f t="shared" si="25"/>
        <v>295.06726308753133</v>
      </c>
      <c r="GD53" s="59">
        <f t="shared" si="26"/>
        <v>588.40059642086464</v>
      </c>
      <c r="GE53" s="59">
        <f ca="1">AVERAGE(OFFSET($GD$3,0,0,'Données projet'!$E$17+1,1))-AVERAGE(OFFSET($H$3,0,0,'Données projet'!$E$17+1,1))</f>
        <v>336.2911850338175</v>
      </c>
      <c r="GF53" s="59">
        <f t="shared" si="50"/>
        <v>225.01415116995503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0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6.826007326007324</v>
      </c>
      <c r="GU53" s="12">
        <f>IF('Données projet'!$A$270&gt;35,GU52+GT53-HC52,IF(A53&lt;'Données projet'!$A$270,$GR$205^A53,IF(A53='Données projet'!$A$270,'Données projet'!$B$270,GU52+GT53-HC52)))</f>
        <v>138.96245421245416</v>
      </c>
      <c r="GV53" s="17">
        <f>GU53*VLOOKUP('Données projet'!$B$18,Paramètres!$A$1:$I$89,3,0)*VLOOKUP('Données projet'!$B$18,Paramètres!$A$1:$I$89,5,0)</f>
        <v>93.216014285714252</v>
      </c>
      <c r="GW53" s="13">
        <f t="shared" si="51"/>
        <v>25.339258191903919</v>
      </c>
      <c r="GX53" s="20">
        <f t="shared" si="28"/>
        <v>206.48376623185163</v>
      </c>
      <c r="GY53" s="59">
        <f t="shared" si="29"/>
        <v>499.81709956518495</v>
      </c>
      <c r="GZ53" s="59">
        <f ca="1">AVERAGE(OFFSET($GY$3,0,0,'Données projet'!$E$18+1,1))-AVERAGE(OFFSET($H$3,0,0,'Données projet'!$E$18+1,1))</f>
        <v>266.37807768393191</v>
      </c>
      <c r="HA53" s="59">
        <f t="shared" si="52"/>
        <v>168.52019826233425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0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</v>
      </c>
      <c r="N54" s="13">
        <f>IF('Données projet'!$A$36&gt;35,N53+M54-V53,IF(A54&lt;'Données projet'!$A$36,$K$205^A54,IF(A54='Données projet'!$A$36,'Données projet'!$B$36,N53+M54-V53)))</f>
        <v>207.99999999999989</v>
      </c>
      <c r="O54" s="13">
        <f>N54*VLOOKUP('Données projet'!$B$9,Paramètres!$A$1:$I$89,3,0)*VLOOKUP('Données projet'!$B$9,Paramètres!$A$1:$I$89,5,0)</f>
        <v>181.70879999999991</v>
      </c>
      <c r="P54" s="13">
        <f t="shared" si="33"/>
        <v>45.702153370067769</v>
      </c>
      <c r="Q54" s="20">
        <f t="shared" si="53"/>
        <v>396.07407711953448</v>
      </c>
      <c r="R54" s="59">
        <f t="shared" si="0"/>
        <v>689.40741045286779</v>
      </c>
      <c r="S54" s="59">
        <f ca="1">AVERAGE(OFFSET($R$3,0,0,'Données projet'!$E$9+1,1))-AVERAGE(OFFSET($H$3,0,0,'Données projet'!$E$9+1,1))</f>
        <v>324.86930206492627</v>
      </c>
      <c r="T54" s="59">
        <f t="shared" si="34"/>
        <v>317.03005098025352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18.708667707814826</v>
      </c>
      <c r="AA54" s="21">
        <f>EXP(-LN(2)/25)*AA53+(1-EXP(-LN(2)/25))/(LN(2)/25)*Calculateur!V54*Calculateur!X54*VLOOKUP('Données projet'!$B$9,Paramètres!$A$1:$I$89,3,0)*0.475*44/12</f>
        <v>14.923183520650818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33.631851228465642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8.8736263736263741</v>
      </c>
      <c r="AI54" s="13">
        <f>IF('Données projet'!$A$62&gt;35,AI53+AH54-AQ53,IF(A54&lt;'Données projet'!$A$62,$AF$205^A54,IF(A54='Données projet'!$A$62,'Données projet'!$B$62,AI53+AH54-AQ53)))</f>
        <v>162.94780219780228</v>
      </c>
      <c r="AJ54" s="13">
        <f>AI54*VLOOKUP('Données projet'!$B$10,Paramètres!$A$1:$I$89,3,0)*VLOOKUP('Données projet'!$B$10,Paramètres!$A$1:$I$89,5,0)</f>
        <v>155.06112857142867</v>
      </c>
      <c r="AK54" s="13">
        <f t="shared" si="35"/>
        <v>39.726514524043694</v>
      </c>
      <c r="AL54" s="20">
        <f t="shared" si="4"/>
        <v>339.25514505794769</v>
      </c>
      <c r="AM54" s="59">
        <f t="shared" si="5"/>
        <v>632.588478391281</v>
      </c>
      <c r="AN54" s="59">
        <f ca="1">AVERAGE(OFFSET($AM$3,0,0,'Données projet'!$E$10+1,1))-AVERAGE(OFFSET($H$3,0,0,'Données projet'!$E$10+1,1))</f>
        <v>401.81944956556271</v>
      </c>
      <c r="AO54" s="59">
        <f t="shared" si="36"/>
        <v>292.20785523952651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10.375</v>
      </c>
      <c r="BD54" s="12">
        <f>IF('Données projet'!$A$88&gt;35,BD53+BC54-BL53,IF(A54&lt;'Données projet'!$A$88,$BA$205^A54,IF(A54='Données projet'!$A$88,'Données projet'!$B$88,BD53+BC54-BL53)))</f>
        <v>259.625</v>
      </c>
      <c r="BE54" s="13">
        <f>BD54*VLOOKUP('Données projet'!$B$11,Paramètres!$A$1:$I$89,3,0)*VLOOKUP('Données projet'!$B$11,Paramètres!$A$1:$I$89,5,0)</f>
        <v>202.50749999999999</v>
      </c>
      <c r="BF54" s="13">
        <f t="shared" si="37"/>
        <v>50.294840086606349</v>
      </c>
      <c r="BG54" s="20">
        <f t="shared" si="7"/>
        <v>440.29740898417271</v>
      </c>
      <c r="BH54" s="59">
        <f t="shared" si="8"/>
        <v>733.63074231750602</v>
      </c>
      <c r="BI54" s="59">
        <f ca="1">AVERAGE(OFFSET($BH$3,0,0,'Données projet'!$E$11+1,1))-AVERAGE(OFFSET($H$3,0,0,'Données projet'!$E$11+1,1))</f>
        <v>288.80569134263209</v>
      </c>
      <c r="BJ54" s="59">
        <f t="shared" si="38"/>
        <v>283.48738729114024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11.206413359353748</v>
      </c>
      <c r="BQ54" s="21">
        <f>EXP(-LN(2)/25)*BQ53+(1-EXP(-LN(2)/25))/(LN(2)/25)*Calculateur!BL54*Calculateur!BN54*VLOOKUP('Données projet'!$B$11,Paramètres!$A$1:$I$89,3,0)*0.475*44/12</f>
        <v>16.187730300801416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27.394143660155166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5.2</v>
      </c>
      <c r="BY54" s="12">
        <f>IF('Données projet'!$A$114&gt;35,BY53+BX54-CG53,IF(A54&lt;'Données projet'!$A$114,$BV$205^A54,IF(A54='Données projet'!$A$114,'Données projet'!$B$114,BY53+BX54-CG53)))</f>
        <v>160.20000000000002</v>
      </c>
      <c r="BZ54" s="13">
        <f>BY54*VLOOKUP('Données projet'!$B$12,Paramètres!$A$1:$I$89,3,0)*VLOOKUP('Données projet'!$B$12,Paramètres!$A$1:$I$89,5,0)</f>
        <v>167.44104000000004</v>
      </c>
      <c r="CA54" s="13">
        <f t="shared" si="39"/>
        <v>42.516396742153759</v>
      </c>
      <c r="CB54" s="20">
        <f t="shared" si="10"/>
        <v>365.67586899258453</v>
      </c>
      <c r="CC54" s="59">
        <f t="shared" si="11"/>
        <v>659.00920232591784</v>
      </c>
      <c r="CD54" s="59">
        <f ca="1">AVERAGE(OFFSET($CC$3,0,0,'Données projet'!$E$12+1,1))-AVERAGE(OFFSET($H$3,0,0,'Données projet'!$E$12+1,1))</f>
        <v>352.22281362023102</v>
      </c>
      <c r="CE54" s="59">
        <f t="shared" si="40"/>
        <v>310.2353747925161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11.960960607557521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11.960960607557521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>
        <f>VLOOKUP(A54,'Données projet'!$A$139:$I$159,2,0)</f>
        <v>145.78846153846152</v>
      </c>
      <c r="CR54" s="12">
        <f>VLOOKUP(A54,'Données projet'!$A$139:$I$159,9,0)</f>
        <v>6.826007326007324</v>
      </c>
      <c r="CS54" s="12">
        <f t="array" ref="CS54">INDEX(CR:CR,MIN(IF(ISNUMBER(CR54:CR250),ROW(CR54:CR250),"")))</f>
        <v>6.826007326007324</v>
      </c>
      <c r="CT54" s="12">
        <f>IF('Données projet'!$A$140&gt;35,CT53+CS54-DB53,IF(A54&lt;'Données projet'!$A$140,$CQ$205^A54,IF(A54='Données projet'!$A$140,'Données projet'!$B$140,CT53+CS54-DB53)))</f>
        <v>145.78846153846149</v>
      </c>
      <c r="CU54" s="17">
        <f>CT54*VLOOKUP('Données projet'!$B$13,Paramètres!$A$1:$I$89,3,0)*VLOOKUP('Données projet'!$B$13,Paramètres!$A$1:$I$89,5,0)</f>
        <v>131.90939999999995</v>
      </c>
      <c r="CV54" s="13">
        <f t="shared" si="41"/>
        <v>34.437190502969557</v>
      </c>
      <c r="CW54" s="20">
        <f t="shared" si="13"/>
        <v>289.72031179267179</v>
      </c>
      <c r="CX54" s="59">
        <f t="shared" si="14"/>
        <v>583.05364512600511</v>
      </c>
      <c r="CY54" s="59">
        <f ca="1">AVERAGE(OFFSET($CX$3,0,0,'Données projet'!$E$13+1,1))-AVERAGE(OFFSET($H$3,0,0,'Données projet'!$E$13+1,1))</f>
        <v>345.49688858037996</v>
      </c>
      <c r="CZ54" s="59">
        <f t="shared" si="42"/>
        <v>213.15872113755023</v>
      </c>
      <c r="DA54" s="15">
        <f>IF(ISNA(VLOOKUP(A54,'Données projet'!$A$139:$I$159,3,0)),0,VLOOKUP(A54,'Données projet'!$A$139:$I$159,3,0))</f>
        <v>2</v>
      </c>
      <c r="DB54" s="15">
        <f>IF(ISNA(VLOOKUP(A54,'Données projet'!$A$139:$I$159,4,0)),0,VLOOKUP(A54,'Données projet'!$A$139:$I$159,4,0))</f>
        <v>37.685897435897431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145.78846153846152</v>
      </c>
      <c r="DM54" s="12">
        <f>VLOOKUP(A54,'Données projet'!$A$165:$I$185,9,0)</f>
        <v>6.826007326007324</v>
      </c>
      <c r="DN54" s="12">
        <f t="array" ref="DN54">INDEX(DM:DM,MIN(IF(ISNUMBER(DM54:DM250),ROW(DM54:DM250),"")))</f>
        <v>6.826007326007324</v>
      </c>
      <c r="DO54" s="12">
        <f>IF('Données projet'!$A$166&gt;35,DO53+DN54-DW53,IF(A54&lt;'Données projet'!$A$166,$DL$205^A54,IF(A54='Données projet'!$A$166,'Données projet'!$B$166,DO53+DN54-DW53)))</f>
        <v>145.78846153846149</v>
      </c>
      <c r="DP54" s="17">
        <f>DO54*VLOOKUP('Données projet'!$B$14,Paramètres!$A$1:$I$89,3,0)*VLOOKUP('Données projet'!$B$14,Paramètres!$A$1:$I$89,5,0)</f>
        <v>147.82949999999997</v>
      </c>
      <c r="DQ54" s="13">
        <f t="shared" si="43"/>
        <v>38.084914057462001</v>
      </c>
      <c r="DR54" s="20">
        <f t="shared" si="16"/>
        <v>323.80093781674623</v>
      </c>
      <c r="DS54" s="59">
        <f t="shared" si="17"/>
        <v>617.13427115007948</v>
      </c>
      <c r="DT54" s="59">
        <f ca="1">AVERAGE(OFFSET($DS$3,0,0,'Données projet'!$E$14+1,1))-AVERAGE(OFFSET($H$3,0,0,'Données projet'!$E$14+1,1))</f>
        <v>382.26108489744581</v>
      </c>
      <c r="DU54" s="59">
        <f t="shared" si="44"/>
        <v>233.89423996158826</v>
      </c>
      <c r="DV54" s="15">
        <f>IF(ISNA(VLOOKUP(A54,'Données projet'!$A$165:$I$185,3,0)),0,VLOOKUP(A54,'Données projet'!$A$165:$I$185,3,0))</f>
        <v>2</v>
      </c>
      <c r="DW54" s="15">
        <f>IF(ISNA(VLOOKUP(A54,'Données projet'!$A$165:$I$185,4,0)),0,VLOOKUP(A54,'Données projet'!$A$165:$I$185,4,0))</f>
        <v>37.685897435897431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projet'!$A$191:$I$211,2,0)</f>
        <v>186.99999999999997</v>
      </c>
      <c r="EH54" s="12">
        <f>VLOOKUP(A54,'Données projet'!$A$191:$I$211,9,0)</f>
        <v>9.8424908424908359</v>
      </c>
      <c r="EI54" s="12">
        <f t="array" ref="EI54">INDEX(EH:EH,MIN(IF(ISNUMBER(EH54:EH250),ROW(EH54:EH250),"")))</f>
        <v>9.8424908424908359</v>
      </c>
      <c r="EJ54" s="12">
        <f>IF('Données projet'!$A$192&gt;35,EJ53+EI54-ER53,IF(A54&lt;'Données projet'!$A$192,$EG$205^A54,IF(A54='Données projet'!$A$192,'Données projet'!$B$192,EJ53+EI54-ER53)))</f>
        <v>186.99999999999991</v>
      </c>
      <c r="EK54" s="17">
        <f>EJ54*VLOOKUP('Données projet'!$B$15,Paramètres!$A$1:$I$89,3,0)*VLOOKUP('Données projet'!$B$15,Paramètres!$A$1:$I$89,5,0)</f>
        <v>157.52879999999993</v>
      </c>
      <c r="EL54" s="13">
        <f t="shared" si="45"/>
        <v>40.284625411478977</v>
      </c>
      <c r="EM54" s="20">
        <f t="shared" si="19"/>
        <v>344.52504925832574</v>
      </c>
      <c r="EN54" s="59">
        <f t="shared" si="20"/>
        <v>637.85838259165905</v>
      </c>
      <c r="EO54" s="59">
        <f ca="1">AVERAGE(OFFSET($EN$3,0,0,'Données projet'!$E$15+1,1))-AVERAGE(OFFSET($H$3,0,0,'Données projet'!$E$15+1,1))</f>
        <v>312.48716825299158</v>
      </c>
      <c r="EP54" s="59">
        <f t="shared" si="46"/>
        <v>258.68277822755357</v>
      </c>
      <c r="EQ54" s="15">
        <f>IF(ISNA(VLOOKUP(A54,'Données projet'!$A$191:$I$211,3,0)),0,VLOOKUP(A54,'Données projet'!$A$191:$I$211,3,0))</f>
        <v>4</v>
      </c>
      <c r="ER54" s="15">
        <f>IF(ISNA(VLOOKUP(A54,'Données projet'!$A$191:$I$211,4,0)),0,VLOOKUP(A54,'Données projet'!$A$191:$I$211,4,0))</f>
        <v>39.756410256410255</v>
      </c>
      <c r="ES54" s="16">
        <f>IF(ISNA(VLOOKUP(A54,'Données projet'!$A$191:$I$211,5,0)),0%,VLOOKUP(A54,'Données projet'!$A$191:$I$211,5,0)*VLOOKUP('Données projet'!$B$15,Paramètres!$A$1:$I$89,7,0))</f>
        <v>0.30099999999999999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11.143949303445501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11.143949303445501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>
        <f>VLOOKUP(A54,'Données projet'!$A$217:$I$237,2,0)</f>
        <v>145.78846153846152</v>
      </c>
      <c r="FC54" s="12">
        <f>VLOOKUP(A54,'Données projet'!$A$217:$I$237,9,0)</f>
        <v>6.826007326007324</v>
      </c>
      <c r="FD54" s="12">
        <f t="array" ref="FD54">INDEX(FC:FC,MIN(IF(ISNUMBER(FC54:FC250),ROW(FC54:FC250),"")))</f>
        <v>6.826007326007324</v>
      </c>
      <c r="FE54" s="12">
        <f>IF('Données projet'!$A$218&gt;35,FE53+FD54-FM53,IF(A54&lt;'Données projet'!$A$218,$FB$205^A54,IF(A54='Données projet'!$A$218,'Données projet'!$B$218,FE53+FD54-FM53)))</f>
        <v>145.78846153846149</v>
      </c>
      <c r="FF54" s="17">
        <f>FE54*VLOOKUP('Données projet'!$B$16,Paramètres!$A$1:$I$89,3,0)*VLOOKUP('Données projet'!$B$16,Paramètres!$A$1:$I$89,5,0)</f>
        <v>156.92669999999993</v>
      </c>
      <c r="FG54" s="13">
        <f t="shared" si="47"/>
        <v>40.148543489359604</v>
      </c>
      <c r="FH54" s="20">
        <f t="shared" si="22"/>
        <v>343.23938241063451</v>
      </c>
      <c r="FI54" s="59">
        <f t="shared" si="23"/>
        <v>636.57271574396782</v>
      </c>
      <c r="FJ54" s="59">
        <f ca="1">AVERAGE(OFFSET($FI$3,0,0,'Données projet'!$E$16+1,1))-AVERAGE(OFFSET($H$3,0,0,'Données projet'!$E$16+1,1))</f>
        <v>403.23110963096246</v>
      </c>
      <c r="FK54" s="59">
        <f t="shared" si="48"/>
        <v>245.72000393124898</v>
      </c>
      <c r="FL54" s="15">
        <f>IF(ISNA(VLOOKUP(A54,'Données projet'!$A$217:$I$237,3,0)),0,VLOOKUP(A54,'Données projet'!$A$217:$I$237,3,0))</f>
        <v>2</v>
      </c>
      <c r="FM54" s="15">
        <f>IF(ISNA(VLOOKUP(A54,'Données projet'!$A$217:$I$237,4,0)),0,VLOOKUP(A54,'Données projet'!$A$217:$I$237,4,0))</f>
        <v>37.685897435897431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>
        <f>VLOOKUP(A54,'Données projet'!$A$243:$I$263,2,0)</f>
        <v>145.78846153846152</v>
      </c>
      <c r="FX54" s="12">
        <f>VLOOKUP(A54,'Données projet'!$A$243:$I$263,9,0)</f>
        <v>6.826007326007324</v>
      </c>
      <c r="FY54" s="12">
        <f t="array" ref="FY54">INDEX(FX:FX,MIN(IF(ISNUMBER(FX54:FX250),ROW(FX54:FX250),"")))</f>
        <v>6.826007326007324</v>
      </c>
      <c r="FZ54" s="12">
        <f>IF('Données projet'!$A$244&gt;35,FZ53+FY54-GH53,IF(A54&lt;'Données projet'!$A$244,$FW$205^A54,IF(A54='Données projet'!$A$244,'Données projet'!$B$244,FZ53+FY54-GH53)))</f>
        <v>145.78846153846149</v>
      </c>
      <c r="GA54" s="17">
        <f>FZ54*VLOOKUP('Données projet'!$B$17,Paramètres!$A$1:$I$89,3,0)*VLOOKUP('Données projet'!$B$17,Paramètres!$A$1:$I$89,5,0)</f>
        <v>141.00659999999993</v>
      </c>
      <c r="GB54" s="13">
        <f t="shared" si="49"/>
        <v>36.527507181529174</v>
      </c>
      <c r="GC54" s="20">
        <f t="shared" si="25"/>
        <v>309.20523667449658</v>
      </c>
      <c r="GD54" s="59">
        <f t="shared" si="26"/>
        <v>602.53857000782989</v>
      </c>
      <c r="GE54" s="59">
        <f ca="1">AVERAGE(OFFSET($GD$3,0,0,'Données projet'!$E$17+1,1))-AVERAGE(OFFSET($H$3,0,0,'Données projet'!$E$17+1,1))</f>
        <v>336.2911850338175</v>
      </c>
      <c r="GF54" s="59">
        <f t="shared" si="50"/>
        <v>225.01415116995503</v>
      </c>
      <c r="GG54" s="15">
        <f>IF(ISNA(VLOOKUP(A54,'Données projet'!$A$243:$I$263,3,0)),0,VLOOKUP(A54,'Données projet'!$A$243:$I$263,3,0))</f>
        <v>2</v>
      </c>
      <c r="GH54" s="15">
        <f>IF(ISNA(VLOOKUP(A54,'Données projet'!$A$243:$I$263,4,0)),0,VLOOKUP(A54,'Données projet'!$A$243:$I$263,4,0))</f>
        <v>37.685897435897431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0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>
        <f>VLOOKUP(A54,'Données projet'!$A$269:$I$289,2,0)</f>
        <v>145.78846153846152</v>
      </c>
      <c r="GS54" s="12">
        <f>VLOOKUP(A54,'Données projet'!$A$269:$I$289,9,0)</f>
        <v>6.826007326007324</v>
      </c>
      <c r="GT54" s="12">
        <f t="array" ref="GT54">INDEX(GS:GS,MIN(IF(ISNUMBER(GS54:GS250),ROW(GS54:GS250),"")))</f>
        <v>6.826007326007324</v>
      </c>
      <c r="GU54" s="12">
        <f>IF('Données projet'!$A$270&gt;35,GU53+GT54-HC53,IF(A54&lt;'Données projet'!$A$270,$GR$205^A54,IF(A54='Données projet'!$A$270,'Données projet'!$B$270,GU53+GT54-HC53)))</f>
        <v>145.78846153846149</v>
      </c>
      <c r="GV54" s="17">
        <f>GU54*VLOOKUP('Données projet'!$B$18,Paramètres!$A$1:$I$89,3,0)*VLOOKUP('Données projet'!$B$18,Paramètres!$A$1:$I$89,5,0)</f>
        <v>97.79489999999997</v>
      </c>
      <c r="GW54" s="13">
        <f t="shared" si="51"/>
        <v>26.435983085273477</v>
      </c>
      <c r="GX54" s="20">
        <f t="shared" si="28"/>
        <v>216.36878804018457</v>
      </c>
      <c r="GY54" s="59">
        <f t="shared" si="29"/>
        <v>509.70212137351791</v>
      </c>
      <c r="GZ54" s="59">
        <f ca="1">AVERAGE(OFFSET($GY$3,0,0,'Données projet'!$E$18+1,1))-AVERAGE(OFFSET($H$3,0,0,'Données projet'!$E$18+1,1))</f>
        <v>266.37807768393191</v>
      </c>
      <c r="HA54" s="59">
        <f t="shared" si="52"/>
        <v>168.52019826233425</v>
      </c>
      <c r="HB54" s="15">
        <f>IF(ISNA(VLOOKUP(A54,'Données projet'!$A$269:$I$289,3,0)),0,VLOOKUP(A54,'Données projet'!$A$269:$I$289,3,0))</f>
        <v>2</v>
      </c>
      <c r="HC54" s="15">
        <f>IF(ISNA(VLOOKUP(A54,'Données projet'!$A$269:$I$289,4,0)),0,VLOOKUP(A54,'Données projet'!$A$269:$I$289,4,0))</f>
        <v>37.685897435897431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0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</v>
      </c>
      <c r="N55" s="13">
        <f>IF('Données projet'!$A$36&gt;35,N54+M55-V54,IF(A55&lt;'Données projet'!$A$36,$K$205^A55,IF(A55='Données projet'!$A$36,'Données projet'!$B$36,N54+M55-V54)))</f>
        <v>213.99999999999989</v>
      </c>
      <c r="O55" s="13">
        <f>N55*VLOOKUP('Données projet'!$B$9,Paramètres!$A$1:$I$89,3,0)*VLOOKUP('Données projet'!$B$9,Paramètres!$A$1:$I$89,5,0)</f>
        <v>186.95039999999992</v>
      </c>
      <c r="P55" s="13">
        <f t="shared" si="33"/>
        <v>46.86509597661761</v>
      </c>
      <c r="Q55" s="20">
        <f t="shared" si="53"/>
        <v>407.22865549260882</v>
      </c>
      <c r="R55" s="59">
        <f t="shared" si="0"/>
        <v>700.56198882594208</v>
      </c>
      <c r="S55" s="59">
        <f ca="1">AVERAGE(OFFSET($R$3,0,0,'Données projet'!$E$9+1,1))-AVERAGE(OFFSET($H$3,0,0,'Données projet'!$E$9+1,1))</f>
        <v>324.86930206492627</v>
      </c>
      <c r="T55" s="59">
        <f t="shared" si="34"/>
        <v>317.03005098025352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18.34180214522512</v>
      </c>
      <c r="AA55" s="21">
        <f>EXP(-LN(2)/25)*AA54+(1-EXP(-LN(2)/25))/(LN(2)/25)*Calculateur!V55*Calculateur!X55*VLOOKUP('Données projet'!$B$9,Paramètres!$A$1:$I$89,3,0)*0.475*44/12</f>
        <v>14.515108282502508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32.856910427727627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8.8736263736263741</v>
      </c>
      <c r="AI55" s="13">
        <f>IF('Données projet'!$A$62&gt;35,AI54+AH55-AQ54,IF(A55&lt;'Données projet'!$A$62,$AF$205^A55,IF(A55='Données projet'!$A$62,'Données projet'!$B$62,AI54+AH55-AQ54)))</f>
        <v>171.82142857142864</v>
      </c>
      <c r="AJ55" s="13">
        <f>AI55*VLOOKUP('Données projet'!$B$10,Paramètres!$A$1:$I$89,3,0)*VLOOKUP('Données projet'!$B$10,Paramètres!$A$1:$I$89,5,0)</f>
        <v>163.50527142857149</v>
      </c>
      <c r="AK55" s="13">
        <f t="shared" si="35"/>
        <v>41.632139207474445</v>
      </c>
      <c r="AL55" s="20">
        <f t="shared" si="4"/>
        <v>357.28099019111329</v>
      </c>
      <c r="AM55" s="59">
        <f t="shared" si="5"/>
        <v>650.6143235244466</v>
      </c>
      <c r="AN55" s="59">
        <f ca="1">AVERAGE(OFFSET($AM$3,0,0,'Données projet'!$E$10+1,1))-AVERAGE(OFFSET($H$3,0,0,'Données projet'!$E$10+1,1))</f>
        <v>401.81944956556271</v>
      </c>
      <c r="AO55" s="59">
        <f t="shared" si="36"/>
        <v>292.20785523952651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270</v>
      </c>
      <c r="BB55" s="12">
        <f>VLOOKUP(A55,'Données projet'!$A$87:$I$107,9,0)</f>
        <v>10.375</v>
      </c>
      <c r="BC55" s="12">
        <f t="array" ref="BC55">INDEX(BB:BB,MIN(IF(ISNUMBER(BB55:BB251),ROW(BB55:BB251),"")))</f>
        <v>10.375</v>
      </c>
      <c r="BD55" s="12">
        <f>IF('Données projet'!$A$88&gt;35,BD54+BC55-BL54,IF(A55&lt;'Données projet'!$A$88,$BA$205^A55,IF(A55='Données projet'!$A$88,'Données projet'!$B$88,BD54+BC55-BL54)))</f>
        <v>270</v>
      </c>
      <c r="BE55" s="13">
        <f>BD55*VLOOKUP('Données projet'!$B$11,Paramètres!$A$1:$I$89,3,0)*VLOOKUP('Données projet'!$B$11,Paramètres!$A$1:$I$89,5,0)</f>
        <v>210.6</v>
      </c>
      <c r="BF55" s="13">
        <f t="shared" si="37"/>
        <v>52.066679014659961</v>
      </c>
      <c r="BG55" s="20">
        <f t="shared" si="7"/>
        <v>457.47779928386609</v>
      </c>
      <c r="BH55" s="59">
        <f t="shared" si="8"/>
        <v>750.81113261719941</v>
      </c>
      <c r="BI55" s="59">
        <f ca="1">AVERAGE(OFFSET($BH$3,0,0,'Données projet'!$E$11+1,1))-AVERAGE(OFFSET($H$3,0,0,'Données projet'!$E$11+1,1))</f>
        <v>288.80569134263209</v>
      </c>
      <c r="BJ55" s="59">
        <f t="shared" si="38"/>
        <v>283.48738729114024</v>
      </c>
      <c r="BK55" s="15">
        <f>IF(ISNA(VLOOKUP(A55,'Données projet'!$A$87:$I$107,3,0)),0,VLOOKUP(A55,'Données projet'!$A$87:$I$107,3,0))</f>
        <v>7</v>
      </c>
      <c r="BL55" s="15">
        <f>IF(ISNA(VLOOKUP(A55,'Données projet'!$A$87:$I$107,4,0)),0,VLOOKUP(A55,'Données projet'!$A$87:$I$107,4,0))</f>
        <v>49</v>
      </c>
      <c r="BM55" s="16">
        <f>IF(ISNA(VLOOKUP(A55,'Données projet'!$A$87:$I$107,5,0)),0%,VLOOKUP(A55,'Données projet'!$A$87:$I$107,5,0)*VLOOKUP('Données projet'!$B$11,Paramètres!$A$1:$I$89,7,0))</f>
        <v>0.17200000000000001</v>
      </c>
      <c r="BN55" s="16">
        <f>IF(ISNA(VLOOKUP(A55,'Données projet'!$A$87:$I$107,6,0)),0%,VLOOKUP(A55,'Données projet'!$A$87:$I$107,6,0)*VLOOKUP('Données projet'!$B$11,Paramètres!$A$1:$I$89,7,0))</f>
        <v>0.17200000000000001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18.253847828402936</v>
      </c>
      <c r="BQ55" s="21">
        <f>EXP(-LN(2)/25)*BQ54+(1-EXP(-LN(2)/25))/(LN(2)/25)*Calculateur!BL55*Calculateur!BN55*VLOOKUP('Données projet'!$B$11,Paramètres!$A$1:$I$89,3,0)*0.475*44/12</f>
        <v>22.983647686305456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41.237495514708392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5.2</v>
      </c>
      <c r="BY55" s="12">
        <f>IF('Données projet'!$A$114&gt;35,BY54+BX55-CG54,IF(A55&lt;'Données projet'!$A$114,$BV$205^A55,IF(A55='Données projet'!$A$114,'Données projet'!$B$114,BY54+BX55-CG54)))</f>
        <v>165.4</v>
      </c>
      <c r="BZ55" s="13">
        <f>BY55*VLOOKUP('Données projet'!$B$12,Paramètres!$A$1:$I$89,3,0)*VLOOKUP('Données projet'!$B$12,Paramètres!$A$1:$I$89,5,0)</f>
        <v>172.87608000000003</v>
      </c>
      <c r="CA55" s="13">
        <f t="shared" si="39"/>
        <v>43.733539539795771</v>
      </c>
      <c r="CB55" s="20">
        <f t="shared" si="10"/>
        <v>377.26175403181099</v>
      </c>
      <c r="CC55" s="59">
        <f t="shared" si="11"/>
        <v>670.59508736514431</v>
      </c>
      <c r="CD55" s="59">
        <f ca="1">AVERAGE(OFFSET($CC$3,0,0,'Données projet'!$E$12+1,1))-AVERAGE(OFFSET($H$3,0,0,'Données projet'!$E$12+1,1))</f>
        <v>352.22281362023102</v>
      </c>
      <c r="CE55" s="59">
        <f t="shared" si="40"/>
        <v>310.2353747925161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11.633887510744279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11.633887510744279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6.3942307692307701</v>
      </c>
      <c r="CT55" s="12">
        <f>IF('Données projet'!$A$140&gt;35,CT54+CS55-DB54,IF(A55&lt;'Données projet'!$A$140,$CQ$205^A55,IF(A55='Données projet'!$A$140,'Données projet'!$B$140,CT54+CS55-DB54)))</f>
        <v>114.49679487179483</v>
      </c>
      <c r="CU55" s="17">
        <f>CT55*VLOOKUP('Données projet'!$B$13,Paramètres!$A$1:$I$89,3,0)*VLOOKUP('Données projet'!$B$13,Paramètres!$A$1:$I$89,5,0)</f>
        <v>103.59669999999997</v>
      </c>
      <c r="CV55" s="13">
        <f t="shared" si="41"/>
        <v>27.817091630299288</v>
      </c>
      <c r="CW55" s="20">
        <f t="shared" si="13"/>
        <v>228.87902042277122</v>
      </c>
      <c r="CX55" s="59">
        <f t="shared" si="14"/>
        <v>522.21235375610456</v>
      </c>
      <c r="CY55" s="59">
        <f ca="1">AVERAGE(OFFSET($CX$3,0,0,'Données projet'!$E$13+1,1))-AVERAGE(OFFSET($H$3,0,0,'Données projet'!$E$13+1,1))</f>
        <v>345.49688858037996</v>
      </c>
      <c r="CZ55" s="59">
        <f t="shared" si="42"/>
        <v>213.15872113755023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6.3942307692307701</v>
      </c>
      <c r="DO55" s="12">
        <f>IF('Données projet'!$A$166&gt;35,DO54+DN55-DW54,IF(A55&lt;'Données projet'!$A$166,$DL$205^A55,IF(A55='Données projet'!$A$166,'Données projet'!$B$166,DO54+DN55-DW54)))</f>
        <v>114.49679487179483</v>
      </c>
      <c r="DP55" s="17">
        <f>DO55*VLOOKUP('Données projet'!$B$14,Paramètres!$A$1:$I$89,3,0)*VLOOKUP('Données projet'!$B$14,Paramètres!$A$1:$I$89,5,0)</f>
        <v>116.09974999999996</v>
      </c>
      <c r="DQ55" s="13">
        <f t="shared" si="43"/>
        <v>30.763588103307637</v>
      </c>
      <c r="DR55" s="20">
        <f t="shared" si="16"/>
        <v>255.78698052992738</v>
      </c>
      <c r="DS55" s="59">
        <f t="shared" si="17"/>
        <v>549.12031386326066</v>
      </c>
      <c r="DT55" s="59">
        <f ca="1">AVERAGE(OFFSET($DS$3,0,0,'Données projet'!$E$14+1,1))-AVERAGE(OFFSET($H$3,0,0,'Données projet'!$E$14+1,1))</f>
        <v>382.26108489744581</v>
      </c>
      <c r="DU55" s="59">
        <f t="shared" si="44"/>
        <v>233.89423996158826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9.6987179487179525</v>
      </c>
      <c r="EJ55" s="12">
        <f>IF('Données projet'!$A$192&gt;35,EJ54+EI55-ER54,IF(A55&lt;'Données projet'!$A$192,$EG$205^A55,IF(A55='Données projet'!$A$192,'Données projet'!$B$192,EJ54+EI55-ER54)))</f>
        <v>156.94230769230762</v>
      </c>
      <c r="EK55" s="17">
        <f>EJ55*VLOOKUP('Données projet'!$B$15,Paramètres!$A$1:$I$89,3,0)*VLOOKUP('Données projet'!$B$15,Paramètres!$A$1:$I$89,5,0)</f>
        <v>132.20819999999995</v>
      </c>
      <c r="EL55" s="13">
        <f t="shared" si="45"/>
        <v>34.506108247856503</v>
      </c>
      <c r="EM55" s="20">
        <f t="shared" si="19"/>
        <v>290.36075353168332</v>
      </c>
      <c r="EN55" s="59">
        <f t="shared" si="20"/>
        <v>583.69408686501663</v>
      </c>
      <c r="EO55" s="59">
        <f ca="1">AVERAGE(OFFSET($EN$3,0,0,'Données projet'!$E$15+1,1))-AVERAGE(OFFSET($H$3,0,0,'Données projet'!$E$15+1,1))</f>
        <v>312.48716825299158</v>
      </c>
      <c r="EP55" s="59">
        <f t="shared" si="46"/>
        <v>258.68277822755357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10.925423254742848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10.925423254742848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6.3942307692307701</v>
      </c>
      <c r="FE55" s="12">
        <f>IF('Données projet'!$A$218&gt;35,FE54+FD55-FM54,IF(A55&lt;'Données projet'!$A$218,$FB$205^A55,IF(A55='Données projet'!$A$218,'Données projet'!$B$218,FE54+FD55-FM54)))</f>
        <v>114.49679487179483</v>
      </c>
      <c r="FF55" s="17">
        <f>FE55*VLOOKUP('Données projet'!$B$16,Paramètres!$A$1:$I$89,3,0)*VLOOKUP('Données projet'!$B$16,Paramètres!$A$1:$I$89,5,0)</f>
        <v>123.24434999999995</v>
      </c>
      <c r="FG55" s="13">
        <f t="shared" si="47"/>
        <v>32.430511802937779</v>
      </c>
      <c r="FH55" s="20">
        <f t="shared" si="22"/>
        <v>271.13371764011657</v>
      </c>
      <c r="FI55" s="59">
        <f t="shared" si="23"/>
        <v>564.46705097344989</v>
      </c>
      <c r="FJ55" s="59">
        <f ca="1">AVERAGE(OFFSET($FI$3,0,0,'Données projet'!$E$16+1,1))-AVERAGE(OFFSET($H$3,0,0,'Données projet'!$E$16+1,1))</f>
        <v>403.23110963096246</v>
      </c>
      <c r="FK55" s="59">
        <f t="shared" si="48"/>
        <v>245.72000393124898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6.3942307692307701</v>
      </c>
      <c r="FZ55" s="12">
        <f>IF('Données projet'!$A$244&gt;35,FZ54+FY55-GH54,IF(A55&lt;'Données projet'!$A$244,$FW$205^A55,IF(A55='Données projet'!$A$244,'Données projet'!$B$244,FZ54+FY55-GH54)))</f>
        <v>114.49679487179483</v>
      </c>
      <c r="GA55" s="17">
        <f>FZ55*VLOOKUP('Données projet'!$B$17,Paramètres!$A$1:$I$89,3,0)*VLOOKUP('Données projet'!$B$17,Paramètres!$A$1:$I$89,5,0)</f>
        <v>110.74129999999997</v>
      </c>
      <c r="GB55" s="13">
        <f t="shared" si="49"/>
        <v>29.505572302926247</v>
      </c>
      <c r="GC55" s="20">
        <f t="shared" si="25"/>
        <v>244.26330259426319</v>
      </c>
      <c r="GD55" s="59">
        <f t="shared" si="26"/>
        <v>537.59663592759648</v>
      </c>
      <c r="GE55" s="59">
        <f ca="1">AVERAGE(OFFSET($GD$3,0,0,'Données projet'!$E$17+1,1))-AVERAGE(OFFSET($H$3,0,0,'Données projet'!$E$17+1,1))</f>
        <v>336.2911850338175</v>
      </c>
      <c r="GF55" s="59">
        <f t="shared" si="50"/>
        <v>225.01415116995503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0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6.3942307692307701</v>
      </c>
      <c r="GU55" s="12">
        <f>IF('Données projet'!$A$270&gt;35,GU54+GT55-HC54,IF(A55&lt;'Données projet'!$A$270,$GR$205^A55,IF(A55='Données projet'!$A$270,'Données projet'!$B$270,GU54+GT55-HC54)))</f>
        <v>114.49679487179483</v>
      </c>
      <c r="GV55" s="17">
        <f>GU55*VLOOKUP('Données projet'!$B$18,Paramètres!$A$1:$I$89,3,0)*VLOOKUP('Données projet'!$B$18,Paramètres!$A$1:$I$89,5,0)</f>
        <v>76.804449999999974</v>
      </c>
      <c r="GW55" s="13">
        <f t="shared" si="51"/>
        <v>21.354011552036525</v>
      </c>
      <c r="GX55" s="20">
        <f t="shared" si="28"/>
        <v>170.95932053646357</v>
      </c>
      <c r="GY55" s="59">
        <f t="shared" si="29"/>
        <v>464.29265386979688</v>
      </c>
      <c r="GZ55" s="59">
        <f ca="1">AVERAGE(OFFSET($GY$3,0,0,'Données projet'!$E$18+1,1))-AVERAGE(OFFSET($H$3,0,0,'Données projet'!$E$18+1,1))</f>
        <v>266.37807768393191</v>
      </c>
      <c r="HA55" s="59">
        <f t="shared" si="52"/>
        <v>168.52019826233425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0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</v>
      </c>
      <c r="N56" s="13">
        <f>IF('Données projet'!$A$36&gt;35,N55+M56-V55,IF(A56&lt;'Données projet'!$A$36,$K$205^A56,IF(A56='Données projet'!$A$36,'Données projet'!$B$36,N55+M56-V55)))</f>
        <v>219.99999999999989</v>
      </c>
      <c r="O56" s="13">
        <f>N56*VLOOKUP('Données projet'!$B$9,Paramètres!$A$1:$I$89,3,0)*VLOOKUP('Données projet'!$B$9,Paramètres!$A$1:$I$89,5,0)</f>
        <v>192.19199999999992</v>
      </c>
      <c r="P56" s="13">
        <f t="shared" si="33"/>
        <v>48.02424892193244</v>
      </c>
      <c r="Q56" s="20">
        <f t="shared" si="53"/>
        <v>418.37663353903218</v>
      </c>
      <c r="R56" s="59">
        <f t="shared" si="0"/>
        <v>711.7099668723655</v>
      </c>
      <c r="S56" s="59">
        <f ca="1">AVERAGE(OFFSET($R$3,0,0,'Données projet'!$E$9+1,1))-AVERAGE(OFFSET($H$3,0,0,'Données projet'!$E$9+1,1))</f>
        <v>324.86930206492627</v>
      </c>
      <c r="T56" s="59">
        <f t="shared" si="34"/>
        <v>317.03005098025352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17.982130592551901</v>
      </c>
      <c r="AA56" s="21">
        <f>EXP(-LN(2)/25)*AA55+(1-EXP(-LN(2)/25))/(LN(2)/25)*Calculateur!V56*Calculateur!X56*VLOOKUP('Données projet'!$B$9,Paramètres!$A$1:$I$89,3,0)*0.475*44/12</f>
        <v>14.118191883201106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32.100322475753003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8.8736263736263741</v>
      </c>
      <c r="AI56" s="13">
        <f>IF('Données projet'!$A$62&gt;35,AI55+AH56-AQ55,IF(A56&lt;'Données projet'!$A$62,$AF$205^A56,IF(A56='Données projet'!$A$62,'Données projet'!$B$62,AI55+AH56-AQ55)))</f>
        <v>180.69505494505501</v>
      </c>
      <c r="AJ56" s="13">
        <f>AI56*VLOOKUP('Données projet'!$B$10,Paramètres!$A$1:$I$89,3,0)*VLOOKUP('Données projet'!$B$10,Paramètres!$A$1:$I$89,5,0)</f>
        <v>171.94941428571437</v>
      </c>
      <c r="AK56" s="13">
        <f t="shared" si="35"/>
        <v>43.526337388605633</v>
      </c>
      <c r="AL56" s="20">
        <f t="shared" si="4"/>
        <v>375.28693416610736</v>
      </c>
      <c r="AM56" s="59">
        <f t="shared" si="5"/>
        <v>668.62026749944062</v>
      </c>
      <c r="AN56" s="59">
        <f ca="1">AVERAGE(OFFSET($AM$3,0,0,'Données projet'!$E$10+1,1))-AVERAGE(OFFSET($H$3,0,0,'Données projet'!$E$10+1,1))</f>
        <v>401.81944956556271</v>
      </c>
      <c r="AO56" s="59">
        <f t="shared" si="36"/>
        <v>292.20785523952651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</v>
      </c>
      <c r="BD56" s="12">
        <f>IF('Données projet'!$A$88&gt;35,BD55+BC56-BL55,IF(A56&lt;'Données projet'!$A$88,$BA$205^A56,IF(A56='Données projet'!$A$88,'Données projet'!$B$88,BD55+BC56-BL55)))</f>
        <v>230.5</v>
      </c>
      <c r="BE56" s="13">
        <f>BD56*VLOOKUP('Données projet'!$B$11,Paramètres!$A$1:$I$89,3,0)*VLOOKUP('Données projet'!$B$11,Paramètres!$A$1:$I$89,5,0)</f>
        <v>179.79</v>
      </c>
      <c r="BF56" s="13">
        <f t="shared" si="37"/>
        <v>45.275461861841535</v>
      </c>
      <c r="BG56" s="20">
        <f t="shared" si="7"/>
        <v>391.9890127427073</v>
      </c>
      <c r="BH56" s="59">
        <f t="shared" si="8"/>
        <v>685.32234607604062</v>
      </c>
      <c r="BI56" s="59">
        <f ca="1">AVERAGE(OFFSET($BH$3,0,0,'Données projet'!$E$11+1,1))-AVERAGE(OFFSET($H$3,0,0,'Données projet'!$E$11+1,1))</f>
        <v>288.80569134263209</v>
      </c>
      <c r="BJ56" s="59">
        <f t="shared" si="38"/>
        <v>283.48738729114024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17.895901006235764</v>
      </c>
      <c r="BQ56" s="21">
        <f>EXP(-LN(2)/25)*BQ55+(1-EXP(-LN(2)/25))/(LN(2)/25)*Calculateur!BL56*Calculateur!BN56*VLOOKUP('Données projet'!$B$11,Paramètres!$A$1:$I$89,3,0)*0.475*44/12</f>
        <v>22.355158631665933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40.251059637901697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5.2</v>
      </c>
      <c r="BY56" s="12">
        <f>IF('Données projet'!$A$114&gt;35,BY55+BX56-CG55,IF(A56&lt;'Données projet'!$A$114,$BV$205^A56,IF(A56='Données projet'!$A$114,'Données projet'!$B$114,BY55+BX56-CG55)))</f>
        <v>170.6</v>
      </c>
      <c r="BZ56" s="13">
        <f>BY56*VLOOKUP('Données projet'!$B$12,Paramètres!$A$1:$I$89,3,0)*VLOOKUP('Données projet'!$B$12,Paramètres!$A$1:$I$89,5,0)</f>
        <v>178.31112000000002</v>
      </c>
      <c r="CA56" s="13">
        <f t="shared" si="39"/>
        <v>44.946235578984805</v>
      </c>
      <c r="CB56" s="20">
        <f t="shared" si="10"/>
        <v>388.83989430006523</v>
      </c>
      <c r="CC56" s="59">
        <f t="shared" si="11"/>
        <v>682.17322763339848</v>
      </c>
      <c r="CD56" s="59">
        <f ca="1">AVERAGE(OFFSET($CC$3,0,0,'Données projet'!$E$12+1,1))-AVERAGE(OFFSET($H$3,0,0,'Données projet'!$E$12+1,1))</f>
        <v>352.22281362023102</v>
      </c>
      <c r="CE56" s="59">
        <f t="shared" si="40"/>
        <v>310.2353747925161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11.315758244963421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11.315758244963421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6.3942307692307701</v>
      </c>
      <c r="CT56" s="12">
        <f>IF('Données projet'!$A$140&gt;35,CT55+CS56-DB55,IF(A56&lt;'Données projet'!$A$140,$CQ$205^A56,IF(A56='Données projet'!$A$140,'Données projet'!$B$140,CT55+CS56-DB55)))</f>
        <v>120.89102564102561</v>
      </c>
      <c r="CU56" s="17">
        <f>CT56*VLOOKUP('Données projet'!$B$13,Paramètres!$A$1:$I$89,3,0)*VLOOKUP('Données projet'!$B$13,Paramètres!$A$1:$I$89,5,0)</f>
        <v>109.38219999999997</v>
      </c>
      <c r="CV56" s="13">
        <f t="shared" si="41"/>
        <v>29.185378395108014</v>
      </c>
      <c r="CW56" s="20">
        <f t="shared" si="13"/>
        <v>241.33853237147972</v>
      </c>
      <c r="CX56" s="59">
        <f t="shared" si="14"/>
        <v>534.67186570481306</v>
      </c>
      <c r="CY56" s="59">
        <f ca="1">AVERAGE(OFFSET($CX$3,0,0,'Données projet'!$E$13+1,1))-AVERAGE(OFFSET($H$3,0,0,'Données projet'!$E$13+1,1))</f>
        <v>345.49688858037996</v>
      </c>
      <c r="CZ56" s="59">
        <f t="shared" si="42"/>
        <v>213.15872113755023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6.3942307692307701</v>
      </c>
      <c r="DO56" s="12">
        <f>IF('Données projet'!$A$166&gt;35,DO55+DN56-DW55,IF(A56&lt;'Données projet'!$A$166,$DL$205^A56,IF(A56='Données projet'!$A$166,'Données projet'!$B$166,DO55+DN56-DW55)))</f>
        <v>120.89102564102561</v>
      </c>
      <c r="DP56" s="17">
        <f>DO56*VLOOKUP('Données projet'!$B$14,Paramètres!$A$1:$I$89,3,0)*VLOOKUP('Données projet'!$B$14,Paramètres!$A$1:$I$89,5,0)</f>
        <v>122.58349999999999</v>
      </c>
      <c r="DQ56" s="13">
        <f t="shared" si="43"/>
        <v>32.276809219275542</v>
      </c>
      <c r="DR56" s="20">
        <f t="shared" si="16"/>
        <v>269.71503855690486</v>
      </c>
      <c r="DS56" s="59">
        <f t="shared" si="17"/>
        <v>563.04837189023817</v>
      </c>
      <c r="DT56" s="59">
        <f ca="1">AVERAGE(OFFSET($DS$3,0,0,'Données projet'!$E$14+1,1))-AVERAGE(OFFSET($H$3,0,0,'Données projet'!$E$14+1,1))</f>
        <v>382.26108489744581</v>
      </c>
      <c r="DU56" s="59">
        <f t="shared" si="44"/>
        <v>233.89423996158826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9.6987179487179525</v>
      </c>
      <c r="EJ56" s="12">
        <f>IF('Données projet'!$A$192&gt;35,EJ55+EI56-ER55,IF(A56&lt;'Données projet'!$A$192,$EG$205^A56,IF(A56='Données projet'!$A$192,'Données projet'!$B$192,EJ55+EI56-ER55)))</f>
        <v>166.64102564102558</v>
      </c>
      <c r="EK56" s="17">
        <f>EJ56*VLOOKUP('Données projet'!$B$15,Paramètres!$A$1:$I$89,3,0)*VLOOKUP('Données projet'!$B$15,Paramètres!$A$1:$I$89,5,0)</f>
        <v>140.37839999999994</v>
      </c>
      <c r="EL56" s="13">
        <f t="shared" si="45"/>
        <v>36.383677998764099</v>
      </c>
      <c r="EM56" s="20">
        <f t="shared" si="19"/>
        <v>307.86061918118065</v>
      </c>
      <c r="EN56" s="59">
        <f t="shared" si="20"/>
        <v>601.19395251451397</v>
      </c>
      <c r="EO56" s="59">
        <f ca="1">AVERAGE(OFFSET($EN$3,0,0,'Données projet'!$E$15+1,1))-AVERAGE(OFFSET($H$3,0,0,'Données projet'!$E$15+1,1))</f>
        <v>312.48716825299158</v>
      </c>
      <c r="EP56" s="59">
        <f t="shared" si="46"/>
        <v>258.68277822755357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10.711182368567526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10.711182368567526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6.3942307692307701</v>
      </c>
      <c r="FE56" s="12">
        <f>IF('Données projet'!$A$218&gt;35,FE55+FD56-FM55,IF(A56&lt;'Données projet'!$A$218,$FB$205^A56,IF(A56='Données projet'!$A$218,'Données projet'!$B$218,FE55+FD56-FM55)))</f>
        <v>120.89102564102561</v>
      </c>
      <c r="FF56" s="17">
        <f>FE56*VLOOKUP('Données projet'!$B$16,Paramètres!$A$1:$I$89,3,0)*VLOOKUP('Données projet'!$B$16,Paramètres!$A$1:$I$89,5,0)</f>
        <v>130.12709999999996</v>
      </c>
      <c r="FG56" s="13">
        <f t="shared" si="47"/>
        <v>34.025726740059355</v>
      </c>
      <c r="FH56" s="20">
        <f t="shared" si="22"/>
        <v>285.89950657226996</v>
      </c>
      <c r="FI56" s="59">
        <f t="shared" si="23"/>
        <v>579.23283990560321</v>
      </c>
      <c r="FJ56" s="59">
        <f ca="1">AVERAGE(OFFSET($FI$3,0,0,'Données projet'!$E$16+1,1))-AVERAGE(OFFSET($H$3,0,0,'Données projet'!$E$16+1,1))</f>
        <v>403.23110963096246</v>
      </c>
      <c r="FK56" s="59">
        <f t="shared" si="48"/>
        <v>245.72000393124898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6.3942307692307701</v>
      </c>
      <c r="FZ56" s="12">
        <f>IF('Données projet'!$A$244&gt;35,FZ55+FY56-GH55,IF(A56&lt;'Données projet'!$A$244,$FW$205^A56,IF(A56='Données projet'!$A$244,'Données projet'!$B$244,FZ55+FY56-GH55)))</f>
        <v>120.89102564102561</v>
      </c>
      <c r="GA56" s="17">
        <f>FZ56*VLOOKUP('Données projet'!$B$17,Paramètres!$A$1:$I$89,3,0)*VLOOKUP('Données projet'!$B$17,Paramètres!$A$1:$I$89,5,0)</f>
        <v>116.92579999999997</v>
      </c>
      <c r="GB56" s="13">
        <f t="shared" si="49"/>
        <v>30.956913248513292</v>
      </c>
      <c r="GC56" s="20">
        <f t="shared" si="25"/>
        <v>257.56239224116058</v>
      </c>
      <c r="GD56" s="59">
        <f t="shared" si="26"/>
        <v>550.89572557449389</v>
      </c>
      <c r="GE56" s="59">
        <f ca="1">AVERAGE(OFFSET($GD$3,0,0,'Données projet'!$E$17+1,1))-AVERAGE(OFFSET($H$3,0,0,'Données projet'!$E$17+1,1))</f>
        <v>336.2911850338175</v>
      </c>
      <c r="GF56" s="59">
        <f t="shared" si="50"/>
        <v>225.01415116995503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0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6.3942307692307701</v>
      </c>
      <c r="GU56" s="12">
        <f>IF('Données projet'!$A$270&gt;35,GU55+GT56-HC55,IF(A56&lt;'Données projet'!$A$270,$GR$205^A56,IF(A56='Données projet'!$A$270,'Données projet'!$B$270,GU55+GT56-HC55)))</f>
        <v>120.89102564102561</v>
      </c>
      <c r="GV56" s="17">
        <f>GU56*VLOOKUP('Données projet'!$B$18,Paramètres!$A$1:$I$89,3,0)*VLOOKUP('Données projet'!$B$18,Paramètres!$A$1:$I$89,5,0)</f>
        <v>81.093699999999984</v>
      </c>
      <c r="GW56" s="13">
        <f t="shared" si="51"/>
        <v>22.404387765716553</v>
      </c>
      <c r="GX56" s="20">
        <f t="shared" si="28"/>
        <v>180.25916952528962</v>
      </c>
      <c r="GY56" s="59">
        <f t="shared" si="29"/>
        <v>473.59250285862294</v>
      </c>
      <c r="GZ56" s="59">
        <f ca="1">AVERAGE(OFFSET($GY$3,0,0,'Données projet'!$E$18+1,1))-AVERAGE(OFFSET($H$3,0,0,'Données projet'!$E$18+1,1))</f>
        <v>266.37807768393191</v>
      </c>
      <c r="HA56" s="59">
        <f t="shared" si="52"/>
        <v>168.52019826233425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0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</v>
      </c>
      <c r="N57" s="13">
        <f>IF('Données projet'!$A$36&gt;35,N56+M57-V56,IF(A57&lt;'Données projet'!$A$36,$K$205^A57,IF(A57='Données projet'!$A$36,'Données projet'!$B$36,N56+M57-V56)))</f>
        <v>225.99999999999989</v>
      </c>
      <c r="O57" s="13">
        <f>N57*VLOOKUP('Données projet'!$B$9,Paramètres!$A$1:$I$89,3,0)*VLOOKUP('Données projet'!$B$9,Paramètres!$A$1:$I$89,5,0)</f>
        <v>197.43359999999993</v>
      </c>
      <c r="P57" s="13">
        <f t="shared" si="33"/>
        <v>49.179727436837609</v>
      </c>
      <c r="Q57" s="20">
        <f t="shared" si="53"/>
        <v>429.51821195249204</v>
      </c>
      <c r="R57" s="59">
        <f t="shared" si="0"/>
        <v>722.8515452858253</v>
      </c>
      <c r="S57" s="59">
        <f ca="1">AVERAGE(OFFSET($R$3,0,0,'Données projet'!$E$9+1,1))-AVERAGE(OFFSET($H$3,0,0,'Données projet'!$E$9+1,1))</f>
        <v>324.86930206492627</v>
      </c>
      <c r="T57" s="59">
        <f t="shared" si="34"/>
        <v>317.03005098025352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17.629511979648619</v>
      </c>
      <c r="AA57" s="21">
        <f>EXP(-LN(2)/25)*AA56+(1-EXP(-LN(2)/25))/(LN(2)/25)*Calculateur!V57*Calculateur!X57*VLOOKUP('Données projet'!$B$9,Paramètres!$A$1:$I$89,3,0)*0.475*44/12</f>
        <v>13.732129183711528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31.361641163360147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8.8736263736263741</v>
      </c>
      <c r="AI57" s="13">
        <f>IF('Données projet'!$A$62&gt;35,AI56+AH57-AQ56,IF(A57&lt;'Données projet'!$A$62,$AF$205^A57,IF(A57='Données projet'!$A$62,'Données projet'!$B$62,AI56+AH57-AQ56)))</f>
        <v>189.56868131868137</v>
      </c>
      <c r="AJ57" s="13">
        <f>AI57*VLOOKUP('Données projet'!$B$10,Paramètres!$A$1:$I$89,3,0)*VLOOKUP('Données projet'!$B$10,Paramètres!$A$1:$I$89,5,0)</f>
        <v>180.39355714285719</v>
      </c>
      <c r="AK57" s="13">
        <f t="shared" si="35"/>
        <v>45.409734247122266</v>
      </c>
      <c r="AL57" s="20">
        <f t="shared" si="4"/>
        <v>393.27406583754754</v>
      </c>
      <c r="AM57" s="59">
        <f t="shared" si="5"/>
        <v>686.60739917088085</v>
      </c>
      <c r="AN57" s="59">
        <f ca="1">AVERAGE(OFFSET($AM$3,0,0,'Données projet'!$E$10+1,1))-AVERAGE(OFFSET($H$3,0,0,'Données projet'!$E$10+1,1))</f>
        <v>401.81944956556271</v>
      </c>
      <c r="AO57" s="59">
        <f t="shared" si="36"/>
        <v>292.20785523952651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</v>
      </c>
      <c r="BD57" s="12">
        <f>IF('Données projet'!$A$88&gt;35,BD56+BC57-BL56,IF(A57&lt;'Données projet'!$A$88,$BA$205^A57,IF(A57='Données projet'!$A$88,'Données projet'!$B$88,BD56+BC57-BL56)))</f>
        <v>240</v>
      </c>
      <c r="BE57" s="13">
        <f>BD57*VLOOKUP('Données projet'!$B$11,Paramètres!$A$1:$I$89,3,0)*VLOOKUP('Données projet'!$B$11,Paramètres!$A$1:$I$89,5,0)</f>
        <v>187.20000000000002</v>
      </c>
      <c r="BF57" s="13">
        <f t="shared" si="37"/>
        <v>46.920378730551299</v>
      </c>
      <c r="BG57" s="20">
        <f t="shared" si="7"/>
        <v>407.75965962237683</v>
      </c>
      <c r="BH57" s="59">
        <f t="shared" si="8"/>
        <v>701.09299295571009</v>
      </c>
      <c r="BI57" s="59">
        <f ca="1">AVERAGE(OFFSET($BH$3,0,0,'Données projet'!$E$11+1,1))-AVERAGE(OFFSET($H$3,0,0,'Données projet'!$E$11+1,1))</f>
        <v>288.80569134263209</v>
      </c>
      <c r="BJ57" s="59">
        <f t="shared" si="38"/>
        <v>283.48738729114024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17.544973302925285</v>
      </c>
      <c r="BQ57" s="21">
        <f>EXP(-LN(2)/25)*BQ56+(1-EXP(-LN(2)/25))/(LN(2)/25)*Calculateur!BL57*Calculateur!BN57*VLOOKUP('Données projet'!$B$11,Paramètres!$A$1:$I$89,3,0)*0.475*44/12</f>
        <v>21.74385564327633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39.288828946201619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5.2</v>
      </c>
      <c r="BY57" s="12">
        <f>IF('Données projet'!$A$114&gt;35,BY56+BX57-CG56,IF(A57&lt;'Données projet'!$A$114,$BV$205^A57,IF(A57='Données projet'!$A$114,'Données projet'!$B$114,BY56+BX57-CG56)))</f>
        <v>175.79999999999998</v>
      </c>
      <c r="BZ57" s="13">
        <f>BY57*VLOOKUP('Données projet'!$B$12,Paramètres!$A$1:$I$89,3,0)*VLOOKUP('Données projet'!$B$12,Paramètres!$A$1:$I$89,5,0)</f>
        <v>183.74616</v>
      </c>
      <c r="CA57" s="13">
        <f t="shared" si="39"/>
        <v>46.154635956048509</v>
      </c>
      <c r="CB57" s="20">
        <f t="shared" si="10"/>
        <v>400.41055295678444</v>
      </c>
      <c r="CC57" s="59">
        <f t="shared" si="11"/>
        <v>693.74388629011776</v>
      </c>
      <c r="CD57" s="59">
        <f ca="1">AVERAGE(OFFSET($CC$3,0,0,'Données projet'!$E$12+1,1))-AVERAGE(OFFSET($H$3,0,0,'Données projet'!$E$12+1,1))</f>
        <v>352.22281362023102</v>
      </c>
      <c r="CE57" s="59">
        <f t="shared" si="40"/>
        <v>310.2353747925161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11.006328240685033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11.006328240685033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6.3942307692307701</v>
      </c>
      <c r="CT57" s="12">
        <f>IF('Données projet'!$A$140&gt;35,CT56+CS57-DB56,IF(A57&lt;'Données projet'!$A$140,$CQ$205^A57,IF(A57='Données projet'!$A$140,'Données projet'!$B$140,CT56+CS57-DB56)))</f>
        <v>127.28525641025638</v>
      </c>
      <c r="CU57" s="17">
        <f>CT57*VLOOKUP('Données projet'!$B$13,Paramètres!$A$1:$I$89,3,0)*VLOOKUP('Données projet'!$B$13,Paramètres!$A$1:$I$89,5,0)</f>
        <v>115.16769999999995</v>
      </c>
      <c r="CV57" s="13">
        <f t="shared" si="41"/>
        <v>30.545262787038261</v>
      </c>
      <c r="CW57" s="20">
        <f t="shared" si="13"/>
        <v>253.78341018742489</v>
      </c>
      <c r="CX57" s="59">
        <f t="shared" si="14"/>
        <v>547.11674352075818</v>
      </c>
      <c r="CY57" s="59">
        <f ca="1">AVERAGE(OFFSET($CX$3,0,0,'Données projet'!$E$13+1,1))-AVERAGE(OFFSET($H$3,0,0,'Données projet'!$E$13+1,1))</f>
        <v>345.49688858037996</v>
      </c>
      <c r="CZ57" s="59">
        <f t="shared" si="42"/>
        <v>213.15872113755023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6.3942307692307701</v>
      </c>
      <c r="DO57" s="12">
        <f>IF('Données projet'!$A$166&gt;35,DO56+DN57-DW56,IF(A57&lt;'Données projet'!$A$166,$DL$205^A57,IF(A57='Données projet'!$A$166,'Données projet'!$B$166,DO56+DN57-DW56)))</f>
        <v>127.28525641025638</v>
      </c>
      <c r="DP57" s="17">
        <f>DO57*VLOOKUP('Données projet'!$B$14,Paramètres!$A$1:$I$89,3,0)*VLOOKUP('Données projet'!$B$14,Paramètres!$A$1:$I$89,5,0)</f>
        <v>129.06724999999997</v>
      </c>
      <c r="DQ57" s="13">
        <f t="shared" si="43"/>
        <v>33.780737949764791</v>
      </c>
      <c r="DR57" s="20">
        <f t="shared" si="16"/>
        <v>283.62691234584025</v>
      </c>
      <c r="DS57" s="59">
        <f t="shared" si="17"/>
        <v>576.96024567917357</v>
      </c>
      <c r="DT57" s="59">
        <f ca="1">AVERAGE(OFFSET($DS$3,0,0,'Données projet'!$E$14+1,1))-AVERAGE(OFFSET($H$3,0,0,'Données projet'!$E$14+1,1))</f>
        <v>382.26108489744581</v>
      </c>
      <c r="DU57" s="59">
        <f t="shared" si="44"/>
        <v>233.89423996158826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9.6987179487179525</v>
      </c>
      <c r="EJ57" s="12">
        <f>IF('Données projet'!$A$192&gt;35,EJ56+EI57-ER56,IF(A57&lt;'Données projet'!$A$192,$EG$205^A57,IF(A57='Données projet'!$A$192,'Données projet'!$B$192,EJ56+EI57-ER56)))</f>
        <v>176.33974358974353</v>
      </c>
      <c r="EK57" s="17">
        <f>EJ57*VLOOKUP('Données projet'!$B$15,Paramètres!$A$1:$I$89,3,0)*VLOOKUP('Données projet'!$B$15,Paramètres!$A$1:$I$89,5,0)</f>
        <v>148.54859999999996</v>
      </c>
      <c r="EL57" s="13">
        <f t="shared" si="45"/>
        <v>38.248563345613874</v>
      </c>
      <c r="EM57" s="20">
        <f t="shared" si="19"/>
        <v>325.33839282694413</v>
      </c>
      <c r="EN57" s="59">
        <f t="shared" si="20"/>
        <v>618.67172616027744</v>
      </c>
      <c r="EO57" s="59">
        <f ca="1">AVERAGE(OFFSET($EN$3,0,0,'Données projet'!$E$15+1,1))-AVERAGE(OFFSET($H$3,0,0,'Données projet'!$E$15+1,1))</f>
        <v>312.48716825299158</v>
      </c>
      <c r="EP57" s="59">
        <f t="shared" si="46"/>
        <v>258.68277822755357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10.501142615496065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10.501142615496065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6.3942307692307701</v>
      </c>
      <c r="FE57" s="12">
        <f>IF('Données projet'!$A$218&gt;35,FE56+FD57-FM56,IF(A57&lt;'Données projet'!$A$218,$FB$205^A57,IF(A57='Données projet'!$A$218,'Données projet'!$B$218,FE56+FD57-FM56)))</f>
        <v>127.28525641025638</v>
      </c>
      <c r="FF57" s="17">
        <f>FE57*VLOOKUP('Données projet'!$B$16,Paramètres!$A$1:$I$89,3,0)*VLOOKUP('Données projet'!$B$16,Paramètres!$A$1:$I$89,5,0)</f>
        <v>137.00984999999997</v>
      </c>
      <c r="FG57" s="13">
        <f t="shared" si="47"/>
        <v>35.611145784194349</v>
      </c>
      <c r="FH57" s="20">
        <f t="shared" si="22"/>
        <v>300.6482343241384</v>
      </c>
      <c r="FI57" s="59">
        <f t="shared" si="23"/>
        <v>593.98156765747171</v>
      </c>
      <c r="FJ57" s="59">
        <f ca="1">AVERAGE(OFFSET($FI$3,0,0,'Données projet'!$E$16+1,1))-AVERAGE(OFFSET($H$3,0,0,'Données projet'!$E$16+1,1))</f>
        <v>403.23110963096246</v>
      </c>
      <c r="FK57" s="59">
        <f t="shared" si="48"/>
        <v>245.72000393124898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6.3942307692307701</v>
      </c>
      <c r="FZ57" s="12">
        <f>IF('Données projet'!$A$244&gt;35,FZ56+FY57-GH56,IF(A57&lt;'Données projet'!$A$244,$FW$205^A57,IF(A57='Données projet'!$A$244,'Données projet'!$B$244,FZ56+FY57-GH56)))</f>
        <v>127.28525641025638</v>
      </c>
      <c r="GA57" s="17">
        <f>FZ57*VLOOKUP('Données projet'!$B$17,Paramètres!$A$1:$I$89,3,0)*VLOOKUP('Données projet'!$B$17,Paramètres!$A$1:$I$89,5,0)</f>
        <v>123.11029999999998</v>
      </c>
      <c r="GB57" s="13">
        <f t="shared" si="49"/>
        <v>32.399341802259549</v>
      </c>
      <c r="GC57" s="20">
        <f t="shared" si="25"/>
        <v>270.8459594722687</v>
      </c>
      <c r="GD57" s="59">
        <f t="shared" si="26"/>
        <v>564.17929280560202</v>
      </c>
      <c r="GE57" s="59">
        <f ca="1">AVERAGE(OFFSET($GD$3,0,0,'Données projet'!$E$17+1,1))-AVERAGE(OFFSET($H$3,0,0,'Données projet'!$E$17+1,1))</f>
        <v>336.2911850338175</v>
      </c>
      <c r="GF57" s="59">
        <f t="shared" si="50"/>
        <v>225.01415116995503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0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6.3942307692307701</v>
      </c>
      <c r="GU57" s="12">
        <f>IF('Données projet'!$A$270&gt;35,GU56+GT57-HC56,IF(A57&lt;'Données projet'!$A$270,$GR$205^A57,IF(A57='Données projet'!$A$270,'Données projet'!$B$270,GU56+GT57-HC56)))</f>
        <v>127.28525641025638</v>
      </c>
      <c r="GV57" s="17">
        <f>GU57*VLOOKUP('Données projet'!$B$18,Paramètres!$A$1:$I$89,3,0)*VLOOKUP('Données projet'!$B$18,Paramètres!$A$1:$I$89,5,0)</f>
        <v>85.38294999999998</v>
      </c>
      <c r="GW57" s="13">
        <f t="shared" si="51"/>
        <v>23.448313831052662</v>
      </c>
      <c r="GX57" s="20">
        <f t="shared" si="28"/>
        <v>189.54778450575</v>
      </c>
      <c r="GY57" s="59">
        <f t="shared" si="29"/>
        <v>482.88111783908334</v>
      </c>
      <c r="GZ57" s="59">
        <f ca="1">AVERAGE(OFFSET($GY$3,0,0,'Données projet'!$E$18+1,1))-AVERAGE(OFFSET($H$3,0,0,'Données projet'!$E$18+1,1))</f>
        <v>266.37807768393191</v>
      </c>
      <c r="HA57" s="59">
        <f t="shared" si="52"/>
        <v>168.52019826233425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0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232</v>
      </c>
      <c r="L58" s="12">
        <f>VLOOKUP(A58,'Données projet'!$A$35:$I$55,9,0)</f>
        <v>6</v>
      </c>
      <c r="M58" s="12">
        <f t="array" ref="M58">INDEX(L:L,MIN(IF(ISNUMBER(L58:L254),ROW(L58:L254),"")))</f>
        <v>6</v>
      </c>
      <c r="N58" s="13">
        <f>IF('Données projet'!$A$36&gt;35,N57+M58-V57,IF(A58&lt;'Données projet'!$A$36,$K$205^A58,IF(A58='Données projet'!$A$36,'Données projet'!$B$36,N57+M58-V57)))</f>
        <v>231.99999999999989</v>
      </c>
      <c r="O58" s="13">
        <f>N58*VLOOKUP('Données projet'!$B$9,Paramètres!$A$1:$I$89,3,0)*VLOOKUP('Données projet'!$B$9,Paramètres!$A$1:$I$89,5,0)</f>
        <v>202.67519999999993</v>
      </c>
      <c r="P58" s="13">
        <f t="shared" si="33"/>
        <v>50.33164028531364</v>
      </c>
      <c r="Q58" s="20">
        <f t="shared" si="53"/>
        <v>440.65358016358778</v>
      </c>
      <c r="R58" s="59">
        <f t="shared" si="0"/>
        <v>733.98691349692103</v>
      </c>
      <c r="S58" s="59">
        <f ca="1">AVERAGE(OFFSET($R$3,0,0,'Données projet'!$E$9+1,1))-AVERAGE(OFFSET($H$3,0,0,'Données projet'!$E$9+1,1))</f>
        <v>324.86930206492627</v>
      </c>
      <c r="T58" s="59">
        <f t="shared" si="34"/>
        <v>317.03005098025352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13</v>
      </c>
      <c r="W58" s="16">
        <f>IF(ISNA(VLOOKUP(A58,'Données projet'!$A$35:$I$55,5,0)),0%,VLOOKUP(A58,'Données projet'!$A$35:$I$55,5,0)*VLOOKUP('Données projet'!$B$9,Paramètres!$A$1:$I$89,7,0))</f>
        <v>0.40810000000000002</v>
      </c>
      <c r="X58" s="16">
        <f>IF(ISNA(VLOOKUP(A58,'Données projet'!$A$35:$I$55,6,0)),0%,VLOOKUP(A58,'Données projet'!$A$35:$I$55,6,0)*VLOOKUP('Données projet'!$B$9,Paramètres!$A$1:$I$89,7,0))</f>
        <v>7.9500000000000001E-2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22.407342713831042</v>
      </c>
      <c r="AA58" s="21">
        <f>EXP(-LN(2)/25)*AA57+(1-EXP(-LN(2)/25))/(LN(2)/25)*Calculateur!V58*Calculateur!X58*VLOOKUP('Données projet'!$B$9,Paramètres!$A$1:$I$89,3,0)*0.475*44/12</f>
        <v>14.350784701272524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36.758127415103566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198.44230769230768</v>
      </c>
      <c r="AG58" s="12">
        <f>VLOOKUP(A58,'Données projet'!$A$61:$I$81,9,0)</f>
        <v>8.8736263736263741</v>
      </c>
      <c r="AH58" s="12">
        <f t="array" ref="AH58">INDEX(AG:AG,MIN(IF(ISNUMBER(AG58:AG254),ROW(AG58:AG254),"")))</f>
        <v>8.8736263736263741</v>
      </c>
      <c r="AI58" s="13">
        <f>IF('Données projet'!$A$62&gt;35,AI57+AH58-AQ57,IF(A58&lt;'Données projet'!$A$62,$AF$205^A58,IF(A58='Données projet'!$A$62,'Données projet'!$B$62,AI57+AH58-AQ57)))</f>
        <v>198.44230769230774</v>
      </c>
      <c r="AJ58" s="13">
        <f>AI58*VLOOKUP('Données projet'!$B$10,Paramètres!$A$1:$I$89,3,0)*VLOOKUP('Données projet'!$B$10,Paramètres!$A$1:$I$89,5,0)</f>
        <v>188.83770000000004</v>
      </c>
      <c r="AK58" s="13">
        <f t="shared" si="35"/>
        <v>47.282893126320744</v>
      </c>
      <c r="AL58" s="20">
        <f t="shared" si="4"/>
        <v>411.24336636167533</v>
      </c>
      <c r="AM58" s="59">
        <f t="shared" si="5"/>
        <v>704.57669969500864</v>
      </c>
      <c r="AN58" s="59">
        <f ca="1">AVERAGE(OFFSET($AM$3,0,0,'Données projet'!$E$10+1,1))-AVERAGE(OFFSET($H$3,0,0,'Données projet'!$E$10+1,1))</f>
        <v>401.81944956556271</v>
      </c>
      <c r="AO58" s="59">
        <f t="shared" si="36"/>
        <v>292.20785523952651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45.147435897435898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</v>
      </c>
      <c r="BD58" s="12">
        <f>IF('Données projet'!$A$88&gt;35,BD57+BC58-BL57,IF(A58&lt;'Données projet'!$A$88,$BA$205^A58,IF(A58='Données projet'!$A$88,'Données projet'!$B$88,BD57+BC58-BL57)))</f>
        <v>249.5</v>
      </c>
      <c r="BE58" s="13">
        <f>BD58*VLOOKUP('Données projet'!$B$11,Paramètres!$A$1:$I$89,3,0)*VLOOKUP('Données projet'!$B$11,Paramètres!$A$1:$I$89,5,0)</f>
        <v>194.61</v>
      </c>
      <c r="BF58" s="13">
        <f t="shared" si="37"/>
        <v>48.557731991923845</v>
      </c>
      <c r="BG58" s="20">
        <f t="shared" si="7"/>
        <v>423.51713321926735</v>
      </c>
      <c r="BH58" s="59">
        <f t="shared" si="8"/>
        <v>716.85046655260066</v>
      </c>
      <c r="BI58" s="59">
        <f ca="1">AVERAGE(OFFSET($BH$3,0,0,'Données projet'!$E$11+1,1))-AVERAGE(OFFSET($H$3,0,0,'Données projet'!$E$11+1,1))</f>
        <v>288.80569134263209</v>
      </c>
      <c r="BJ58" s="59">
        <f t="shared" si="38"/>
        <v>283.48738729114024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17.200927077831963</v>
      </c>
      <c r="BQ58" s="21">
        <f>EXP(-LN(2)/25)*BQ57+(1-EXP(-LN(2)/25))/(LN(2)/25)*Calculateur!BL58*Calculateur!BN58*VLOOKUP('Données projet'!$B$11,Paramètres!$A$1:$I$89,3,0)*0.475*44/12</f>
        <v>21.149268767251268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38.350195845083235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181</v>
      </c>
      <c r="BW58" s="12">
        <f>VLOOKUP(A58,'Données projet'!$A$113:$I$133,9,0)</f>
        <v>5.2</v>
      </c>
      <c r="BX58" s="12">
        <f t="array" ref="BX58">INDEX(BW:BW,MIN(IF(ISNUMBER(BW58:BW254),ROW(BW58:BW254),"")))</f>
        <v>5.2</v>
      </c>
      <c r="BY58" s="12">
        <f>IF('Données projet'!$A$114&gt;35,BY57+BX58-CG57,IF(A58&lt;'Données projet'!$A$114,$BV$205^A58,IF(A58='Données projet'!$A$114,'Données projet'!$B$114,BY57+BX58-CG57)))</f>
        <v>180.99999999999997</v>
      </c>
      <c r="BZ58" s="13">
        <f>BY58*VLOOKUP('Données projet'!$B$12,Paramètres!$A$1:$I$89,3,0)*VLOOKUP('Données projet'!$B$12,Paramètres!$A$1:$I$89,5,0)</f>
        <v>189.18119999999999</v>
      </c>
      <c r="CA58" s="13">
        <f t="shared" si="39"/>
        <v>47.358882320604579</v>
      </c>
      <c r="CB58" s="20">
        <f t="shared" si="10"/>
        <v>411.97397670838626</v>
      </c>
      <c r="CC58" s="59">
        <f t="shared" si="11"/>
        <v>705.30731004171957</v>
      </c>
      <c r="CD58" s="59">
        <f ca="1">AVERAGE(OFFSET($CC$3,0,0,'Données projet'!$E$12+1,1))-AVERAGE(OFFSET($H$3,0,0,'Données projet'!$E$12+1,1))</f>
        <v>352.22281362023102</v>
      </c>
      <c r="CE58" s="59">
        <f t="shared" si="40"/>
        <v>310.2353747925161</v>
      </c>
      <c r="CF58" s="15">
        <f>IF(ISNA(VLOOKUP(A58,'Données projet'!$A$113:$I$133,3,0)),0,VLOOKUP(A58,'Données projet'!$A$113:$I$133,3,0))</f>
        <v>8</v>
      </c>
      <c r="CG58" s="15" t="str">
        <f>IF(ISNA(VLOOKUP(A58,'Données projet'!$A$113:$I$133,4,0)),0,VLOOKUP(A58,'Données projet'!$A$113:$I$133,4,0))</f>
        <v>17</v>
      </c>
      <c r="CH58" s="16">
        <f>IF(ISNA(VLOOKUP(A58,'Données projet'!$A$113:$I$133,5,0)),0%,VLOOKUP(A58,'Données projet'!$A$113:$I$133,5,0)*VLOOKUP('Données projet'!$B$12,Paramètres!$A$1:$I$89,7,0))</f>
        <v>0.17200000000000001</v>
      </c>
      <c r="CI58" s="16">
        <f>IF(ISNA(VLOOKUP(A58,'Données projet'!$A$113:$I$133,6,0)),0%,VLOOKUP(A58,'Données projet'!$A$113:$I$133,6,0)*VLOOKUP('Données projet'!$B$12,Paramètres!$A$1:$I$89,7,0))</f>
        <v>0.17200000000000001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3.3784996613712432</v>
      </c>
      <c r="CL58" s="21">
        <f>EXP(-LN(2)/25)*CL57+(1-EXP(-LN(2)/25))/(LN(2)/25)*Calculateur!CG58*Calculateur!CI58*VLOOKUP('Données projet'!$B$12,Paramètres!$A$1:$I$89,3,0)*0.475*44/12</f>
        <v>14.070556837040984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17.449056498412226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6.3942307692307701</v>
      </c>
      <c r="CT58" s="12">
        <f>IF('Données projet'!$A$140&gt;35,CT57+CS58-DB57,IF(A58&lt;'Données projet'!$A$140,$CQ$205^A58,IF(A58='Données projet'!$A$140,'Données projet'!$B$140,CT57+CS58-DB57)))</f>
        <v>133.67948717948715</v>
      </c>
      <c r="CU58" s="17">
        <f>CT58*VLOOKUP('Données projet'!$B$13,Paramètres!$A$1:$I$89,3,0)*VLOOKUP('Données projet'!$B$13,Paramètres!$A$1:$I$89,5,0)</f>
        <v>120.95319999999997</v>
      </c>
      <c r="CV58" s="13">
        <f t="shared" si="41"/>
        <v>31.897215065171491</v>
      </c>
      <c r="CW58" s="20">
        <f t="shared" si="13"/>
        <v>266.21447290517364</v>
      </c>
      <c r="CX58" s="59">
        <f t="shared" si="14"/>
        <v>559.54780623850695</v>
      </c>
      <c r="CY58" s="59">
        <f ca="1">AVERAGE(OFFSET($CX$3,0,0,'Données projet'!$E$13+1,1))-AVERAGE(OFFSET($H$3,0,0,'Données projet'!$E$13+1,1))</f>
        <v>345.49688858037996</v>
      </c>
      <c r="CZ58" s="59">
        <f t="shared" si="42"/>
        <v>213.15872113755023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6.3942307692307701</v>
      </c>
      <c r="DO58" s="12">
        <f>IF('Données projet'!$A$166&gt;35,DO57+DN58-DW57,IF(A58&lt;'Données projet'!$A$166,$DL$205^A58,IF(A58='Données projet'!$A$166,'Données projet'!$B$166,DO57+DN58-DW57)))</f>
        <v>133.67948717948715</v>
      </c>
      <c r="DP58" s="17">
        <f>DO58*VLOOKUP('Données projet'!$B$14,Paramètres!$A$1:$I$89,3,0)*VLOOKUP('Données projet'!$B$14,Paramètres!$A$1:$I$89,5,0)</f>
        <v>135.55099999999999</v>
      </c>
      <c r="DQ58" s="13">
        <f t="shared" si="43"/>
        <v>35.275894365560525</v>
      </c>
      <c r="DR58" s="20">
        <f t="shared" si="16"/>
        <v>297.52350768668458</v>
      </c>
      <c r="DS58" s="59">
        <f t="shared" si="17"/>
        <v>590.8568410200179</v>
      </c>
      <c r="DT58" s="59">
        <f ca="1">AVERAGE(OFFSET($DS$3,0,0,'Données projet'!$E$14+1,1))-AVERAGE(OFFSET($H$3,0,0,'Données projet'!$E$14+1,1))</f>
        <v>382.26108489744581</v>
      </c>
      <c r="DU58" s="59">
        <f t="shared" si="44"/>
        <v>233.89423996158826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9.6987179487179525</v>
      </c>
      <c r="EJ58" s="12">
        <f>IF('Données projet'!$A$192&gt;35,EJ57+EI58-ER57,IF(A58&lt;'Données projet'!$A$192,$EG$205^A58,IF(A58='Données projet'!$A$192,'Données projet'!$B$192,EJ57+EI58-ER57)))</f>
        <v>186.03846153846149</v>
      </c>
      <c r="EK58" s="17">
        <f>EJ58*VLOOKUP('Données projet'!$B$15,Paramètres!$A$1:$I$89,3,0)*VLOOKUP('Données projet'!$B$15,Paramètres!$A$1:$I$89,5,0)</f>
        <v>156.71879999999999</v>
      </c>
      <c r="EL58" s="13">
        <f t="shared" si="45"/>
        <v>40.101541455573681</v>
      </c>
      <c r="EM58" s="20">
        <f t="shared" si="19"/>
        <v>342.79542803512413</v>
      </c>
      <c r="EN58" s="59">
        <f t="shared" si="20"/>
        <v>636.12876136845739</v>
      </c>
      <c r="EO58" s="59">
        <f ca="1">AVERAGE(OFFSET($EN$3,0,0,'Données projet'!$E$15+1,1))-AVERAGE(OFFSET($H$3,0,0,'Données projet'!$E$15+1,1))</f>
        <v>312.48716825299158</v>
      </c>
      <c r="EP58" s="59">
        <f t="shared" si="46"/>
        <v>258.68277822755357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10.295221613870735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10.295221613870735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6.3942307692307701</v>
      </c>
      <c r="FE58" s="12">
        <f>IF('Données projet'!$A$218&gt;35,FE57+FD58-FM57,IF(A58&lt;'Données projet'!$A$218,$FB$205^A58,IF(A58='Données projet'!$A$218,'Données projet'!$B$218,FE57+FD58-FM57)))</f>
        <v>133.67948717948715</v>
      </c>
      <c r="FF58" s="17">
        <f>FE58*VLOOKUP('Données projet'!$B$16,Paramètres!$A$1:$I$89,3,0)*VLOOKUP('Données projet'!$B$16,Paramètres!$A$1:$I$89,5,0)</f>
        <v>143.89259999999996</v>
      </c>
      <c r="FG58" s="13">
        <f t="shared" si="47"/>
        <v>37.187317186141065</v>
      </c>
      <c r="FH58" s="20">
        <f t="shared" si="22"/>
        <v>315.38085576586224</v>
      </c>
      <c r="FI58" s="59">
        <f t="shared" si="23"/>
        <v>608.71418909919555</v>
      </c>
      <c r="FJ58" s="59">
        <f ca="1">AVERAGE(OFFSET($FI$3,0,0,'Données projet'!$E$16+1,1))-AVERAGE(OFFSET($H$3,0,0,'Données projet'!$E$16+1,1))</f>
        <v>403.23110963096246</v>
      </c>
      <c r="FK58" s="59">
        <f t="shared" si="48"/>
        <v>245.72000393124898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6.3942307692307701</v>
      </c>
      <c r="FZ58" s="12">
        <f>IF('Données projet'!$A$244&gt;35,FZ57+FY58-GH57,IF(A58&lt;'Données projet'!$A$244,$FW$205^A58,IF(A58='Données projet'!$A$244,'Données projet'!$B$244,FZ57+FY58-GH57)))</f>
        <v>133.67948717948715</v>
      </c>
      <c r="GA58" s="17">
        <f>FZ58*VLOOKUP('Données projet'!$B$17,Paramètres!$A$1:$I$89,3,0)*VLOOKUP('Données projet'!$B$17,Paramètres!$A$1:$I$89,5,0)</f>
        <v>129.29479999999998</v>
      </c>
      <c r="GB58" s="13">
        <f t="shared" si="49"/>
        <v>33.833356767688763</v>
      </c>
      <c r="GC58" s="20">
        <f t="shared" si="25"/>
        <v>284.11487303705792</v>
      </c>
      <c r="GD58" s="59">
        <f t="shared" si="26"/>
        <v>577.44820637039129</v>
      </c>
      <c r="GE58" s="59">
        <f ca="1">AVERAGE(OFFSET($GD$3,0,0,'Données projet'!$E$17+1,1))-AVERAGE(OFFSET($H$3,0,0,'Données projet'!$E$17+1,1))</f>
        <v>336.2911850338175</v>
      </c>
      <c r="GF58" s="59">
        <f t="shared" si="50"/>
        <v>225.01415116995503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0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6.3942307692307701</v>
      </c>
      <c r="GU58" s="12">
        <f>IF('Données projet'!$A$270&gt;35,GU57+GT58-HC57,IF(A58&lt;'Données projet'!$A$270,$GR$205^A58,IF(A58='Données projet'!$A$270,'Données projet'!$B$270,GU57+GT58-HC57)))</f>
        <v>133.67948717948715</v>
      </c>
      <c r="GV58" s="17">
        <f>GU58*VLOOKUP('Données projet'!$B$18,Paramètres!$A$1:$I$89,3,0)*VLOOKUP('Données projet'!$B$18,Paramètres!$A$1:$I$89,5,0)</f>
        <v>89.672199999999975</v>
      </c>
      <c r="GW58" s="13">
        <f t="shared" si="51"/>
        <v>24.486150746167599</v>
      </c>
      <c r="GX58" s="20">
        <f t="shared" si="28"/>
        <v>198.82579421624186</v>
      </c>
      <c r="GY58" s="59">
        <f t="shared" si="29"/>
        <v>492.15912754957515</v>
      </c>
      <c r="GZ58" s="59">
        <f ca="1">AVERAGE(OFFSET($GY$3,0,0,'Données projet'!$E$18+1,1))-AVERAGE(OFFSET($H$3,0,0,'Données projet'!$E$18+1,1))</f>
        <v>266.37807768393191</v>
      </c>
      <c r="HA58" s="59">
        <f t="shared" si="52"/>
        <v>168.52019826233425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0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5.2</v>
      </c>
      <c r="N59" s="13">
        <f>IF('Données projet'!$A$36&gt;35,N58+M59-V58,IF(A59&lt;'Données projet'!$A$36,$K$205^A59,IF(A59='Données projet'!$A$36,'Données projet'!$B$36,N58+M59-V58)))</f>
        <v>224.19999999999987</v>
      </c>
      <c r="O59" s="13">
        <f>N59*VLOOKUP('Données projet'!$B$9,Paramètres!$A$1:$I$89,3,0)*VLOOKUP('Données projet'!$B$9,Paramètres!$A$1:$I$89,5,0)</f>
        <v>195.86111999999991</v>
      </c>
      <c r="P59" s="13">
        <f t="shared" si="33"/>
        <v>48.833463106716422</v>
      </c>
      <c r="Q59" s="20">
        <f t="shared" si="53"/>
        <v>426.17639891086424</v>
      </c>
      <c r="R59" s="59">
        <f t="shared" si="0"/>
        <v>719.50973224419749</v>
      </c>
      <c r="S59" s="59">
        <f ca="1">AVERAGE(OFFSET($R$3,0,0,'Données projet'!$E$9+1,1))-AVERAGE(OFFSET($H$3,0,0,'Données projet'!$E$9+1,1))</f>
        <v>324.86930206492627</v>
      </c>
      <c r="T59" s="59">
        <f t="shared" si="34"/>
        <v>317.03005098025352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21.967948390342354</v>
      </c>
      <c r="AA59" s="21">
        <f>EXP(-LN(2)/25)*AA58+(1-EXP(-LN(2)/25))/(LN(2)/25)*Calculateur!V59*Calculateur!X59*VLOOKUP('Données projet'!$B$9,Paramètres!$A$1:$I$89,3,0)*0.475*44/12</f>
        <v>13.958361738941258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35.926310129283614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8.374198717948719</v>
      </c>
      <c r="AI59" s="13">
        <f>IF('Données projet'!$A$62&gt;35,AI58+AH59-AQ58,IF(A59&lt;'Données projet'!$A$62,$AF$205^A59,IF(A59='Données projet'!$A$62,'Données projet'!$B$62,AI58+AH59-AQ58)))</f>
        <v>161.66907051282055</v>
      </c>
      <c r="AJ59" s="13">
        <f>AI59*VLOOKUP('Données projet'!$B$10,Paramètres!$A$1:$I$89,3,0)*VLOOKUP('Données projet'!$B$10,Paramètres!$A$1:$I$89,5,0)</f>
        <v>153.84428750000004</v>
      </c>
      <c r="AK59" s="13">
        <f t="shared" si="35"/>
        <v>39.450922922596405</v>
      </c>
      <c r="AL59" s="20">
        <f t="shared" si="4"/>
        <v>336.65582481935542</v>
      </c>
      <c r="AM59" s="59">
        <f t="shared" si="5"/>
        <v>629.98915815268879</v>
      </c>
      <c r="AN59" s="59">
        <f ca="1">AVERAGE(OFFSET($AM$3,0,0,'Données projet'!$E$10+1,1))-AVERAGE(OFFSET($H$3,0,0,'Données projet'!$E$10+1,1))</f>
        <v>401.81944956556271</v>
      </c>
      <c r="AO59" s="59">
        <f t="shared" si="36"/>
        <v>292.20785523952651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</v>
      </c>
      <c r="BD59" s="12">
        <f>IF('Données projet'!$A$88&gt;35,BD58+BC59-BL58,IF(A59&lt;'Données projet'!$A$88,$BA$205^A59,IF(A59='Données projet'!$A$88,'Données projet'!$B$88,BD58+BC59-BL58)))</f>
        <v>259</v>
      </c>
      <c r="BE59" s="13">
        <f>BD59*VLOOKUP('Données projet'!$B$11,Paramètres!$A$1:$I$89,3,0)*VLOOKUP('Données projet'!$B$11,Paramètres!$A$1:$I$89,5,0)</f>
        <v>202.02</v>
      </c>
      <c r="BF59" s="13">
        <f t="shared" si="37"/>
        <v>50.187842607873506</v>
      </c>
      <c r="BG59" s="20">
        <f t="shared" si="7"/>
        <v>439.26199254204636</v>
      </c>
      <c r="BH59" s="59">
        <f t="shared" si="8"/>
        <v>732.59532587537967</v>
      </c>
      <c r="BI59" s="59">
        <f ca="1">AVERAGE(OFFSET($BH$3,0,0,'Données projet'!$E$11+1,1))-AVERAGE(OFFSET($H$3,0,0,'Données projet'!$E$11+1,1))</f>
        <v>288.80569134263209</v>
      </c>
      <c r="BJ59" s="59">
        <f t="shared" si="38"/>
        <v>283.48738729114024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16.863627389365245</v>
      </c>
      <c r="BQ59" s="21">
        <f>EXP(-LN(2)/25)*BQ58+(1-EXP(-LN(2)/25))/(LN(2)/25)*Calculateur!BL59*Calculateur!BN59*VLOOKUP('Données projet'!$B$11,Paramètres!$A$1:$I$89,3,0)*0.475*44/12</f>
        <v>20.570940900619075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37.43456828998432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</v>
      </c>
      <c r="BY59" s="12">
        <f>IF('Données projet'!$A$114&gt;35,BY58+BX59-CG58,IF(A59&lt;'Données projet'!$A$114,$BV$205^A59,IF(A59='Données projet'!$A$114,'Données projet'!$B$114,BY58+BX59-CG58)))</f>
        <v>168.99999999999997</v>
      </c>
      <c r="BZ59" s="13">
        <f>BY59*VLOOKUP('Données projet'!$B$12,Paramètres!$A$1:$I$89,3,0)*VLOOKUP('Données projet'!$B$12,Paramètres!$A$1:$I$89,5,0)</f>
        <v>176.6388</v>
      </c>
      <c r="CA59" s="13">
        <f t="shared" si="39"/>
        <v>44.573562683497578</v>
      </c>
      <c r="CB59" s="20">
        <f t="shared" si="10"/>
        <v>385.27819834042498</v>
      </c>
      <c r="CC59" s="59">
        <f t="shared" si="11"/>
        <v>678.61153167375824</v>
      </c>
      <c r="CD59" s="59">
        <f ca="1">AVERAGE(OFFSET($CC$3,0,0,'Données projet'!$E$12+1,1))-AVERAGE(OFFSET($H$3,0,0,'Données projet'!$E$12+1,1))</f>
        <v>352.22281362023102</v>
      </c>
      <c r="CE59" s="59">
        <f t="shared" si="40"/>
        <v>310.2353747925161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3.3122493436930713</v>
      </c>
      <c r="CL59" s="21">
        <f>EXP(-LN(2)/25)*CL58+(1-EXP(-LN(2)/25))/(LN(2)/25)*Calculateur!CG59*Calculateur!CI59*VLOOKUP('Données projet'!$B$12,Paramètres!$A$1:$I$89,3,0)*0.475*44/12</f>
        <v>13.685796720393673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16.998046064086743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6.3942307692307701</v>
      </c>
      <c r="CT59" s="12">
        <f>IF('Données projet'!$A$140&gt;35,CT58+CS59-DB58,IF(A59&lt;'Données projet'!$A$140,$CQ$205^A59,IF(A59='Données projet'!$A$140,'Données projet'!$B$140,CT58+CS59-DB58)))</f>
        <v>140.07371794871793</v>
      </c>
      <c r="CU59" s="17">
        <f>CT59*VLOOKUP('Données projet'!$B$13,Paramètres!$A$1:$I$89,3,0)*VLOOKUP('Données projet'!$B$13,Paramètres!$A$1:$I$89,5,0)</f>
        <v>126.73869999999998</v>
      </c>
      <c r="CV59" s="13">
        <f t="shared" si="41"/>
        <v>33.241657959244336</v>
      </c>
      <c r="CW59" s="20">
        <f t="shared" si="13"/>
        <v>278.63245677901716</v>
      </c>
      <c r="CX59" s="59">
        <f t="shared" si="14"/>
        <v>571.96579011235053</v>
      </c>
      <c r="CY59" s="59">
        <f ca="1">AVERAGE(OFFSET($CX$3,0,0,'Données projet'!$E$13+1,1))-AVERAGE(OFFSET($H$3,0,0,'Données projet'!$E$13+1,1))</f>
        <v>345.49688858037996</v>
      </c>
      <c r="CZ59" s="59">
        <f t="shared" si="42"/>
        <v>213.15872113755023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6.3942307692307701</v>
      </c>
      <c r="DO59" s="12">
        <f>IF('Données projet'!$A$166&gt;35,DO58+DN59-DW58,IF(A59&lt;'Données projet'!$A$166,$DL$205^A59,IF(A59='Données projet'!$A$166,'Données projet'!$B$166,DO58+DN59-DW58)))</f>
        <v>140.07371794871793</v>
      </c>
      <c r="DP59" s="17">
        <f>DO59*VLOOKUP('Données projet'!$B$14,Paramètres!$A$1:$I$89,3,0)*VLOOKUP('Données projet'!$B$14,Paramètres!$A$1:$I$89,5,0)</f>
        <v>142.03474999999997</v>
      </c>
      <c r="DQ59" s="13">
        <f t="shared" si="43"/>
        <v>36.762745973606584</v>
      </c>
      <c r="DR59" s="20">
        <f t="shared" si="16"/>
        <v>311.40563882069802</v>
      </c>
      <c r="DS59" s="59">
        <f t="shared" si="17"/>
        <v>604.73897215403133</v>
      </c>
      <c r="DT59" s="59">
        <f ca="1">AVERAGE(OFFSET($DS$3,0,0,'Données projet'!$E$14+1,1))-AVERAGE(OFFSET($H$3,0,0,'Données projet'!$E$14+1,1))</f>
        <v>382.26108489744581</v>
      </c>
      <c r="DU59" s="59">
        <f t="shared" si="44"/>
        <v>233.89423996158826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9.6987179487179525</v>
      </c>
      <c r="EJ59" s="12">
        <f>IF('Données projet'!$A$192&gt;35,EJ58+EI59-ER58,IF(A59&lt;'Données projet'!$A$192,$EG$205^A59,IF(A59='Données projet'!$A$192,'Données projet'!$B$192,EJ58+EI59-ER58)))</f>
        <v>195.73717948717945</v>
      </c>
      <c r="EK59" s="17">
        <f>EJ59*VLOOKUP('Données projet'!$B$15,Paramètres!$A$1:$I$89,3,0)*VLOOKUP('Données projet'!$B$15,Paramètres!$A$1:$I$89,5,0)</f>
        <v>164.88899999999998</v>
      </c>
      <c r="EL59" s="13">
        <f t="shared" si="45"/>
        <v>41.943303887152503</v>
      </c>
      <c r="EM59" s="20">
        <f t="shared" si="19"/>
        <v>360.23292927012386</v>
      </c>
      <c r="EN59" s="59">
        <f t="shared" si="20"/>
        <v>653.56626260345718</v>
      </c>
      <c r="EO59" s="59">
        <f ca="1">AVERAGE(OFFSET($EN$3,0,0,'Données projet'!$E$15+1,1))-AVERAGE(OFFSET($H$3,0,0,'Données projet'!$E$15+1,1))</f>
        <v>312.48716825299158</v>
      </c>
      <c r="EP59" s="59">
        <f t="shared" si="46"/>
        <v>258.68277822755357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10.093338597487868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10.093338597487868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6.3942307692307701</v>
      </c>
      <c r="FE59" s="12">
        <f>IF('Données projet'!$A$218&gt;35,FE58+FD59-FM58,IF(A59&lt;'Données projet'!$A$218,$FB$205^A59,IF(A59='Données projet'!$A$218,'Données projet'!$B$218,FE58+FD59-FM58)))</f>
        <v>140.07371794871793</v>
      </c>
      <c r="FF59" s="17">
        <f>FE59*VLOOKUP('Données projet'!$B$16,Paramètres!$A$1:$I$89,3,0)*VLOOKUP('Données projet'!$B$16,Paramètres!$A$1:$I$89,5,0)</f>
        <v>150.77534999999997</v>
      </c>
      <c r="FG59" s="13">
        <f t="shared" si="47"/>
        <v>38.754733784687033</v>
      </c>
      <c r="FH59" s="20">
        <f t="shared" si="22"/>
        <v>330.09822925832987</v>
      </c>
      <c r="FI59" s="59">
        <f t="shared" si="23"/>
        <v>623.43156259166312</v>
      </c>
      <c r="FJ59" s="59">
        <f ca="1">AVERAGE(OFFSET($FI$3,0,0,'Données projet'!$E$16+1,1))-AVERAGE(OFFSET($H$3,0,0,'Données projet'!$E$16+1,1))</f>
        <v>403.23110963096246</v>
      </c>
      <c r="FK59" s="59">
        <f t="shared" si="48"/>
        <v>245.72000393124898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6.3942307692307701</v>
      </c>
      <c r="FZ59" s="12">
        <f>IF('Données projet'!$A$244&gt;35,FZ58+FY59-GH58,IF(A59&lt;'Données projet'!$A$244,$FW$205^A59,IF(A59='Données projet'!$A$244,'Données projet'!$B$244,FZ58+FY59-GH58)))</f>
        <v>140.07371794871793</v>
      </c>
      <c r="GA59" s="17">
        <f>FZ59*VLOOKUP('Données projet'!$B$17,Paramètres!$A$1:$I$89,3,0)*VLOOKUP('Données projet'!$B$17,Paramètres!$A$1:$I$89,5,0)</f>
        <v>135.47929999999997</v>
      </c>
      <c r="GB59" s="13">
        <f t="shared" si="49"/>
        <v>35.259406533977533</v>
      </c>
      <c r="GC59" s="20">
        <f t="shared" si="25"/>
        <v>297.36991388001081</v>
      </c>
      <c r="GD59" s="59">
        <f t="shared" si="26"/>
        <v>590.70324721334418</v>
      </c>
      <c r="GE59" s="59">
        <f ca="1">AVERAGE(OFFSET($GD$3,0,0,'Données projet'!$E$17+1,1))-AVERAGE(OFFSET($H$3,0,0,'Données projet'!$E$17+1,1))</f>
        <v>336.2911850338175</v>
      </c>
      <c r="GF59" s="59">
        <f t="shared" si="50"/>
        <v>225.01415116995503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0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6.3942307692307701</v>
      </c>
      <c r="GU59" s="12">
        <f>IF('Données projet'!$A$270&gt;35,GU58+GT59-HC58,IF(A59&lt;'Données projet'!$A$270,$GR$205^A59,IF(A59='Données projet'!$A$270,'Données projet'!$B$270,GU58+GT59-HC58)))</f>
        <v>140.07371794871793</v>
      </c>
      <c r="GV59" s="17">
        <f>GU59*VLOOKUP('Données projet'!$B$18,Paramètres!$A$1:$I$89,3,0)*VLOOKUP('Données projet'!$B$18,Paramètres!$A$1:$I$89,5,0)</f>
        <v>93.961449999999985</v>
      </c>
      <c r="GW59" s="13">
        <f t="shared" si="51"/>
        <v>25.518223022904607</v>
      </c>
      <c r="GX59" s="20">
        <f t="shared" si="28"/>
        <v>208.09376384822551</v>
      </c>
      <c r="GY59" s="59">
        <f t="shared" si="29"/>
        <v>501.42709718155879</v>
      </c>
      <c r="GZ59" s="59">
        <f ca="1">AVERAGE(OFFSET($GY$3,0,0,'Données projet'!$E$18+1,1))-AVERAGE(OFFSET($H$3,0,0,'Données projet'!$E$18+1,1))</f>
        <v>266.37807768393191</v>
      </c>
      <c r="HA59" s="59">
        <f t="shared" si="52"/>
        <v>168.52019826233425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0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5.2</v>
      </c>
      <c r="N60" s="13">
        <f>IF('Données projet'!$A$36&gt;35,N59+M60-V59,IF(A60&lt;'Données projet'!$A$36,$K$205^A60,IF(A60='Données projet'!$A$36,'Données projet'!$B$36,N59+M60-V59)))</f>
        <v>229.39999999999986</v>
      </c>
      <c r="O60" s="13">
        <f>N60*VLOOKUP('Données projet'!$B$9,Paramètres!$A$1:$I$89,3,0)*VLOOKUP('Données projet'!$B$9,Paramètres!$A$1:$I$89,5,0)</f>
        <v>200.40383999999992</v>
      </c>
      <c r="P60" s="13">
        <f t="shared" si="33"/>
        <v>49.832909112305636</v>
      </c>
      <c r="Q60" s="20">
        <f t="shared" si="53"/>
        <v>435.82900470393218</v>
      </c>
      <c r="R60" s="59">
        <f t="shared" si="0"/>
        <v>729.1623380372655</v>
      </c>
      <c r="S60" s="59">
        <f ca="1">AVERAGE(OFFSET($R$3,0,0,'Données projet'!$E$9+1,1))-AVERAGE(OFFSET($H$3,0,0,'Données projet'!$E$9+1,1))</f>
        <v>324.86930206492627</v>
      </c>
      <c r="T60" s="59">
        <f t="shared" si="34"/>
        <v>317.03005098025352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21.537170321533203</v>
      </c>
      <c r="AA60" s="21">
        <f>EXP(-LN(2)/25)*AA59+(1-EXP(-LN(2)/25))/(LN(2)/25)*Calculateur!V60*Calculateur!X60*VLOOKUP('Données projet'!$B$9,Paramètres!$A$1:$I$89,3,0)*0.475*44/12</f>
        <v>13.576669603151569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35.113839924684768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8.374198717948719</v>
      </c>
      <c r="AI60" s="13">
        <f>IF('Données projet'!$A$62&gt;35,AI59+AH60-AQ59,IF(A60&lt;'Données projet'!$A$62,$AF$205^A60,IF(A60='Données projet'!$A$62,'Données projet'!$B$62,AI59+AH60-AQ59)))</f>
        <v>170.04326923076928</v>
      </c>
      <c r="AJ60" s="13">
        <f>AI60*VLOOKUP('Données projet'!$B$10,Paramètres!$A$1:$I$89,3,0)*VLOOKUP('Données projet'!$B$10,Paramètres!$A$1:$I$89,5,0)</f>
        <v>161.81317500000006</v>
      </c>
      <c r="AK60" s="13">
        <f t="shared" si="35"/>
        <v>41.251213488973178</v>
      </c>
      <c r="AL60" s="20">
        <f t="shared" si="4"/>
        <v>353.67047661829503</v>
      </c>
      <c r="AM60" s="59">
        <f t="shared" si="5"/>
        <v>647.00380995162834</v>
      </c>
      <c r="AN60" s="59">
        <f ca="1">AVERAGE(OFFSET($AM$3,0,0,'Données projet'!$E$10+1,1))-AVERAGE(OFFSET($H$3,0,0,'Données projet'!$E$10+1,1))</f>
        <v>401.81944956556271</v>
      </c>
      <c r="AO60" s="59">
        <f t="shared" si="36"/>
        <v>292.20785523952651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</v>
      </c>
      <c r="BD60" s="12">
        <f>IF('Données projet'!$A$88&gt;35,BD59+BC60-BL59,IF(A60&lt;'Données projet'!$A$88,$BA$205^A60,IF(A60='Données projet'!$A$88,'Données projet'!$B$88,BD59+BC60-BL59)))</f>
        <v>268.5</v>
      </c>
      <c r="BE60" s="13">
        <f>BD60*VLOOKUP('Données projet'!$B$11,Paramètres!$A$1:$I$89,3,0)*VLOOKUP('Données projet'!$B$11,Paramètres!$A$1:$I$89,5,0)</f>
        <v>209.43</v>
      </c>
      <c r="BF60" s="13">
        <f t="shared" si="37"/>
        <v>51.811006660589165</v>
      </c>
      <c r="BG60" s="20">
        <f t="shared" si="7"/>
        <v>454.99475326719272</v>
      </c>
      <c r="BH60" s="59">
        <f t="shared" si="8"/>
        <v>748.32808660052603</v>
      </c>
      <c r="BI60" s="59">
        <f ca="1">AVERAGE(OFFSET($BH$3,0,0,'Données projet'!$E$11+1,1))-AVERAGE(OFFSET($H$3,0,0,'Données projet'!$E$11+1,1))</f>
        <v>288.80569134263209</v>
      </c>
      <c r="BJ60" s="59">
        <f t="shared" si="38"/>
        <v>283.48738729114024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16.532941942056862</v>
      </c>
      <c r="BQ60" s="21">
        <f>EXP(-LN(2)/25)*BQ59+(1-EXP(-LN(2)/25))/(LN(2)/25)*Calculateur!BL60*Calculateur!BN60*VLOOKUP('Données projet'!$B$11,Paramètres!$A$1:$I$89,3,0)*0.475*44/12</f>
        <v>20.008427439912879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36.541369381969744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</v>
      </c>
      <c r="BY60" s="12">
        <f>IF('Données projet'!$A$114&gt;35,BY59+BX60-CG59,IF(A60&lt;'Données projet'!$A$114,$BV$205^A60,IF(A60='Données projet'!$A$114,'Données projet'!$B$114,BY59+BX60-CG59)))</f>
        <v>173.99999999999997</v>
      </c>
      <c r="BZ60" s="13">
        <f>BY60*VLOOKUP('Données projet'!$B$12,Paramètres!$A$1:$I$89,3,0)*VLOOKUP('Données projet'!$B$12,Paramètres!$A$1:$I$89,5,0)</f>
        <v>181.86479999999997</v>
      </c>
      <c r="CA60" s="13">
        <f t="shared" si="39"/>
        <v>45.73682061391029</v>
      </c>
      <c r="CB60" s="20">
        <f t="shared" si="10"/>
        <v>396.40615590256039</v>
      </c>
      <c r="CC60" s="59">
        <f t="shared" si="11"/>
        <v>689.73948923589364</v>
      </c>
      <c r="CD60" s="59">
        <f ca="1">AVERAGE(OFFSET($CC$3,0,0,'Données projet'!$E$12+1,1))-AVERAGE(OFFSET($H$3,0,0,'Données projet'!$E$12+1,1))</f>
        <v>352.22281362023102</v>
      </c>
      <c r="CE60" s="59">
        <f t="shared" si="40"/>
        <v>310.2353747925161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3.2472981543358643</v>
      </c>
      <c r="CL60" s="21">
        <f>EXP(-LN(2)/25)*CL59+(1-EXP(-LN(2)/25))/(LN(2)/25)*Calculateur!CG60*Calculateur!CI60*VLOOKUP('Données projet'!$B$12,Paramètres!$A$1:$I$89,3,0)*0.475*44/12</f>
        <v>13.311557889369737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16.558856043705603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6.3942307692307701</v>
      </c>
      <c r="CT60" s="12">
        <f>IF('Données projet'!$A$140&gt;35,CT59+CS60-DB59,IF(A60&lt;'Données projet'!$A$140,$CQ$205^A60,IF(A60='Données projet'!$A$140,'Données projet'!$B$140,CT59+CS60-DB59)))</f>
        <v>146.4679487179487</v>
      </c>
      <c r="CU60" s="17">
        <f>CT60*VLOOKUP('Données projet'!$B$13,Paramètres!$A$1:$I$89,3,0)*VLOOKUP('Données projet'!$B$13,Paramètres!$A$1:$I$89,5,0)</f>
        <v>132.52419999999998</v>
      </c>
      <c r="CV60" s="13">
        <f t="shared" si="41"/>
        <v>34.578973423062216</v>
      </c>
      <c r="CW60" s="20">
        <f t="shared" si="13"/>
        <v>291.03802704516664</v>
      </c>
      <c r="CX60" s="59">
        <f t="shared" si="14"/>
        <v>584.37136037849996</v>
      </c>
      <c r="CY60" s="59">
        <f ca="1">AVERAGE(OFFSET($CX$3,0,0,'Données projet'!$E$13+1,1))-AVERAGE(OFFSET($H$3,0,0,'Données projet'!$E$13+1,1))</f>
        <v>345.49688858037996</v>
      </c>
      <c r="CZ60" s="59">
        <f t="shared" si="42"/>
        <v>213.15872113755023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6.3942307692307701</v>
      </c>
      <c r="DO60" s="12">
        <f>IF('Données projet'!$A$166&gt;35,DO59+DN60-DW59,IF(A60&lt;'Données projet'!$A$166,$DL$205^A60,IF(A60='Données projet'!$A$166,'Données projet'!$B$166,DO59+DN60-DW59)))</f>
        <v>146.4679487179487</v>
      </c>
      <c r="DP60" s="17">
        <f>DO60*VLOOKUP('Données projet'!$B$14,Paramètres!$A$1:$I$89,3,0)*VLOOKUP('Données projet'!$B$14,Paramètres!$A$1:$I$89,5,0)</f>
        <v>148.51850000000002</v>
      </c>
      <c r="DQ60" s="13">
        <f t="shared" si="43"/>
        <v>38.241715185767696</v>
      </c>
      <c r="DR60" s="20">
        <f t="shared" si="16"/>
        <v>325.27404144854546</v>
      </c>
      <c r="DS60" s="59">
        <f t="shared" si="17"/>
        <v>618.60737478187878</v>
      </c>
      <c r="DT60" s="59">
        <f ca="1">AVERAGE(OFFSET($DS$3,0,0,'Données projet'!$E$14+1,1))-AVERAGE(OFFSET($H$3,0,0,'Données projet'!$E$14+1,1))</f>
        <v>382.26108489744581</v>
      </c>
      <c r="DU60" s="59">
        <f t="shared" si="44"/>
        <v>233.89423996158826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9.6987179487179525</v>
      </c>
      <c r="EJ60" s="12">
        <f>IF('Données projet'!$A$192&gt;35,EJ59+EI60-ER59,IF(A60&lt;'Données projet'!$A$192,$EG$205^A60,IF(A60='Données projet'!$A$192,'Données projet'!$B$192,EJ59+EI60-ER59)))</f>
        <v>205.4358974358974</v>
      </c>
      <c r="EK60" s="17">
        <f>EJ60*VLOOKUP('Données projet'!$B$15,Paramètres!$A$1:$I$89,3,0)*VLOOKUP('Données projet'!$B$15,Paramètres!$A$1:$I$89,5,0)</f>
        <v>173.0592</v>
      </c>
      <c r="EL60" s="13">
        <f t="shared" si="45"/>
        <v>43.774469794261023</v>
      </c>
      <c r="EM60" s="20">
        <f t="shared" si="19"/>
        <v>377.65197489167127</v>
      </c>
      <c r="EN60" s="59">
        <f t="shared" si="20"/>
        <v>670.98530822500459</v>
      </c>
      <c r="EO60" s="59">
        <f ca="1">AVERAGE(OFFSET($EN$3,0,0,'Données projet'!$E$15+1,1))-AVERAGE(OFFSET($H$3,0,0,'Données projet'!$E$15+1,1))</f>
        <v>312.48716825299158</v>
      </c>
      <c r="EP60" s="59">
        <f t="shared" si="46"/>
        <v>258.68277822755357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9.895414383919789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9.895414383919789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6.3942307692307701</v>
      </c>
      <c r="FE60" s="12">
        <f>IF('Données projet'!$A$218&gt;35,FE59+FD60-FM59,IF(A60&lt;'Données projet'!$A$218,$FB$205^A60,IF(A60='Données projet'!$A$218,'Données projet'!$B$218,FE59+FD60-FM59)))</f>
        <v>146.4679487179487</v>
      </c>
      <c r="FF60" s="17">
        <f>FE60*VLOOKUP('Données projet'!$B$16,Paramètres!$A$1:$I$89,3,0)*VLOOKUP('Données projet'!$B$16,Paramètres!$A$1:$I$89,5,0)</f>
        <v>157.65809999999996</v>
      </c>
      <c r="FG60" s="13">
        <f t="shared" si="47"/>
        <v>40.313840880065626</v>
      </c>
      <c r="FH60" s="20">
        <f t="shared" si="22"/>
        <v>344.80113036611419</v>
      </c>
      <c r="FI60" s="59">
        <f t="shared" si="23"/>
        <v>638.13446369944745</v>
      </c>
      <c r="FJ60" s="59">
        <f ca="1">AVERAGE(OFFSET($FI$3,0,0,'Données projet'!$E$16+1,1))-AVERAGE(OFFSET($H$3,0,0,'Données projet'!$E$16+1,1))</f>
        <v>403.23110963096246</v>
      </c>
      <c r="FK60" s="59">
        <f t="shared" si="48"/>
        <v>245.72000393124898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6.3942307692307701</v>
      </c>
      <c r="FZ60" s="12">
        <f>IF('Données projet'!$A$244&gt;35,FZ59+FY60-GH59,IF(A60&lt;'Données projet'!$A$244,$FW$205^A60,IF(A60='Données projet'!$A$244,'Données projet'!$B$244,FZ59+FY60-GH59)))</f>
        <v>146.4679487179487</v>
      </c>
      <c r="GA60" s="17">
        <f>FZ60*VLOOKUP('Données projet'!$B$17,Paramètres!$A$1:$I$89,3,0)*VLOOKUP('Données projet'!$B$17,Paramètres!$A$1:$I$89,5,0)</f>
        <v>141.66379999999998</v>
      </c>
      <c r="GB60" s="13">
        <f t="shared" si="49"/>
        <v>36.677896239296679</v>
      </c>
      <c r="GC60" s="20">
        <f t="shared" si="25"/>
        <v>310.61178761677502</v>
      </c>
      <c r="GD60" s="59">
        <f t="shared" si="26"/>
        <v>603.94512095010828</v>
      </c>
      <c r="GE60" s="59">
        <f ca="1">AVERAGE(OFFSET($GD$3,0,0,'Données projet'!$E$17+1,1))-AVERAGE(OFFSET($H$3,0,0,'Données projet'!$E$17+1,1))</f>
        <v>336.2911850338175</v>
      </c>
      <c r="GF60" s="59">
        <f t="shared" si="50"/>
        <v>225.01415116995503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0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6.3942307692307701</v>
      </c>
      <c r="GU60" s="12">
        <f>IF('Données projet'!$A$270&gt;35,GU59+GT60-HC59,IF(A60&lt;'Données projet'!$A$270,$GR$205^A60,IF(A60='Données projet'!$A$270,'Données projet'!$B$270,GU59+GT60-HC59)))</f>
        <v>146.4679487179487</v>
      </c>
      <c r="GV60" s="17">
        <f>GU60*VLOOKUP('Données projet'!$B$18,Paramètres!$A$1:$I$89,3,0)*VLOOKUP('Données projet'!$B$18,Paramètres!$A$1:$I$89,5,0)</f>
        <v>98.250699999999995</v>
      </c>
      <c r="GW60" s="13">
        <f t="shared" si="51"/>
        <v>26.544823871139158</v>
      </c>
      <c r="GX60" s="20">
        <f t="shared" si="28"/>
        <v>217.35220407556736</v>
      </c>
      <c r="GY60" s="59">
        <f t="shared" si="29"/>
        <v>510.6855374089007</v>
      </c>
      <c r="GZ60" s="59">
        <f ca="1">AVERAGE(OFFSET($GY$3,0,0,'Données projet'!$E$18+1,1))-AVERAGE(OFFSET($H$3,0,0,'Données projet'!$E$18+1,1))</f>
        <v>266.37807768393191</v>
      </c>
      <c r="HA60" s="59">
        <f t="shared" si="52"/>
        <v>168.52019826233425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0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5.2</v>
      </c>
      <c r="N61" s="13">
        <f>IF('Données projet'!$A$36&gt;35,N60+M61-V60,IF(A61&lt;'Données projet'!$A$36,$K$205^A61,IF(A61='Données projet'!$A$36,'Données projet'!$B$36,N60+M61-V60)))</f>
        <v>234.59999999999985</v>
      </c>
      <c r="O61" s="13">
        <f>N61*VLOOKUP('Données projet'!$B$9,Paramètres!$A$1:$I$89,3,0)*VLOOKUP('Données projet'!$B$9,Paramètres!$A$1:$I$89,5,0)</f>
        <v>204.94655999999989</v>
      </c>
      <c r="P61" s="13">
        <f t="shared" si="33"/>
        <v>50.829721281867236</v>
      </c>
      <c r="Q61" s="20">
        <f t="shared" si="53"/>
        <v>445.47702323258522</v>
      </c>
      <c r="R61" s="59">
        <f t="shared" si="0"/>
        <v>738.81035656591848</v>
      </c>
      <c r="S61" s="59">
        <f ca="1">AVERAGE(OFFSET($R$3,0,0,'Données projet'!$E$9+1,1))-AVERAGE(OFFSET($H$3,0,0,'Données projet'!$E$9+1,1))</f>
        <v>324.86930206492627</v>
      </c>
      <c r="T61" s="59">
        <f t="shared" si="34"/>
        <v>317.03005098025352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21.114839547904722</v>
      </c>
      <c r="AA61" s="21">
        <f>EXP(-LN(2)/25)*AA60+(1-EXP(-LN(2)/25))/(LN(2)/25)*Calculateur!V61*Calculateur!X61*VLOOKUP('Données projet'!$B$9,Paramètres!$A$1:$I$89,3,0)*0.475*44/12</f>
        <v>13.205414858887364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34.320254406792088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8.374198717948719</v>
      </c>
      <c r="AI61" s="13">
        <f>IF('Données projet'!$A$62&gt;35,AI60+AH61-AQ60,IF(A61&lt;'Données projet'!$A$62,$AF$205^A61,IF(A61='Données projet'!$A$62,'Données projet'!$B$62,AI60+AH61-AQ60)))</f>
        <v>178.41746794871801</v>
      </c>
      <c r="AJ61" s="13">
        <f>AI61*VLOOKUP('Données projet'!$B$10,Paramètres!$A$1:$I$89,3,0)*VLOOKUP('Données projet'!$B$10,Paramètres!$A$1:$I$89,5,0)</f>
        <v>169.78206250000005</v>
      </c>
      <c r="AK61" s="13">
        <f t="shared" si="35"/>
        <v>43.041209191560064</v>
      </c>
      <c r="AL61" s="20">
        <f t="shared" si="4"/>
        <v>370.66719819613382</v>
      </c>
      <c r="AM61" s="59">
        <f t="shared" si="5"/>
        <v>664.00053152946714</v>
      </c>
      <c r="AN61" s="59">
        <f ca="1">AVERAGE(OFFSET($AM$3,0,0,'Données projet'!$E$10+1,1))-AVERAGE(OFFSET($H$3,0,0,'Données projet'!$E$10+1,1))</f>
        <v>401.81944956556271</v>
      </c>
      <c r="AO61" s="59">
        <f t="shared" si="36"/>
        <v>292.20785523952651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9.5</v>
      </c>
      <c r="BD61" s="12">
        <f>IF('Données projet'!$A$88&gt;35,BD60+BC61-BL60,IF(A61&lt;'Données projet'!$A$88,$BA$205^A61,IF(A61='Données projet'!$A$88,'Données projet'!$B$88,BD60+BC61-BL60)))</f>
        <v>278</v>
      </c>
      <c r="BE61" s="13">
        <f>BD61*VLOOKUP('Données projet'!$B$11,Paramètres!$A$1:$I$89,3,0)*VLOOKUP('Données projet'!$B$11,Paramètres!$A$1:$I$89,5,0)</f>
        <v>216.84</v>
      </c>
      <c r="BF61" s="13">
        <f t="shared" si="37"/>
        <v>53.427498092567944</v>
      </c>
      <c r="BG61" s="20">
        <f t="shared" si="7"/>
        <v>470.71589251122253</v>
      </c>
      <c r="BH61" s="59">
        <f t="shared" si="8"/>
        <v>764.04922584455585</v>
      </c>
      <c r="BI61" s="59">
        <f ca="1">AVERAGE(OFFSET($BH$3,0,0,'Données projet'!$E$11+1,1))-AVERAGE(OFFSET($H$3,0,0,'Données projet'!$E$11+1,1))</f>
        <v>288.80569134263209</v>
      </c>
      <c r="BJ61" s="59">
        <f t="shared" si="38"/>
        <v>283.48738729114024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16.208741034671988</v>
      </c>
      <c r="BQ61" s="21">
        <f>EXP(-LN(2)/25)*BQ60+(1-EXP(-LN(2)/25))/(LN(2)/25)*Calculateur!BL61*Calculateur!BN61*VLOOKUP('Données projet'!$B$11,Paramètres!$A$1:$I$89,3,0)*0.475*44/12</f>
        <v>19.461295939370991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35.670036974042979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</v>
      </c>
      <c r="BY61" s="12">
        <f>IF('Données projet'!$A$114&gt;35,BY60+BX61-CG60,IF(A61&lt;'Données projet'!$A$114,$BV$205^A61,IF(A61='Données projet'!$A$114,'Données projet'!$B$114,BY60+BX61-CG60)))</f>
        <v>178.99999999999997</v>
      </c>
      <c r="BZ61" s="13">
        <f>BY61*VLOOKUP('Données projet'!$B$12,Paramètres!$A$1:$I$89,3,0)*VLOOKUP('Données projet'!$B$12,Paramètres!$A$1:$I$89,5,0)</f>
        <v>187.0908</v>
      </c>
      <c r="CA61" s="13">
        <f t="shared" si="39"/>
        <v>46.896193582104758</v>
      </c>
      <c r="CB61" s="20">
        <f t="shared" si="10"/>
        <v>407.52734715549917</v>
      </c>
      <c r="CC61" s="59">
        <f t="shared" si="11"/>
        <v>700.86068048883249</v>
      </c>
      <c r="CD61" s="59">
        <f ca="1">AVERAGE(OFFSET($CC$3,0,0,'Données projet'!$E$12+1,1))-AVERAGE(OFFSET($H$3,0,0,'Données projet'!$E$12+1,1))</f>
        <v>352.22281362023102</v>
      </c>
      <c r="CE61" s="59">
        <f t="shared" si="40"/>
        <v>310.2353747925161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3.1836206181856386</v>
      </c>
      <c r="CL61" s="21">
        <f>EXP(-LN(2)/25)*CL60+(1-EXP(-LN(2)/25))/(LN(2)/25)*Calculateur!CG61*Calculateur!CI61*VLOOKUP('Données projet'!$B$12,Paramètres!$A$1:$I$89,3,0)*0.475*44/12</f>
        <v>12.947552638860516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16.131173257046154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6.3942307692307701</v>
      </c>
      <c r="CT61" s="12">
        <f>IF('Données projet'!$A$140&gt;35,CT60+CS61-DB60,IF(A61&lt;'Données projet'!$A$140,$CQ$205^A61,IF(A61='Données projet'!$A$140,'Données projet'!$B$140,CT60+CS61-DB60)))</f>
        <v>152.86217948717947</v>
      </c>
      <c r="CU61" s="17">
        <f>CT61*VLOOKUP('Données projet'!$B$13,Paramètres!$A$1:$I$89,3,0)*VLOOKUP('Données projet'!$B$13,Paramètres!$A$1:$I$89,5,0)</f>
        <v>138.30969999999999</v>
      </c>
      <c r="CV61" s="13">
        <f t="shared" si="41"/>
        <v>35.909508175318372</v>
      </c>
      <c r="CW61" s="20">
        <f t="shared" si="13"/>
        <v>303.43178757201281</v>
      </c>
      <c r="CX61" s="59">
        <f t="shared" si="14"/>
        <v>596.76512090534607</v>
      </c>
      <c r="CY61" s="59">
        <f ca="1">AVERAGE(OFFSET($CX$3,0,0,'Données projet'!$E$13+1,1))-AVERAGE(OFFSET($H$3,0,0,'Données projet'!$E$13+1,1))</f>
        <v>345.49688858037996</v>
      </c>
      <c r="CZ61" s="59">
        <f t="shared" si="42"/>
        <v>213.15872113755023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6.3942307692307701</v>
      </c>
      <c r="DO61" s="12">
        <f>IF('Données projet'!$A$166&gt;35,DO60+DN61-DW60,IF(A61&lt;'Données projet'!$A$166,$DL$205^A61,IF(A61='Données projet'!$A$166,'Données projet'!$B$166,DO60+DN61-DW60)))</f>
        <v>152.86217948717947</v>
      </c>
      <c r="DP61" s="17">
        <f>DO61*VLOOKUP('Données projet'!$B$14,Paramètres!$A$1:$I$89,3,0)*VLOOKUP('Données projet'!$B$14,Paramètres!$A$1:$I$89,5,0)</f>
        <v>155.00225</v>
      </c>
      <c r="DQ61" s="13">
        <f t="shared" si="43"/>
        <v>39.713185446553709</v>
      </c>
      <c r="DR61" s="20">
        <f t="shared" si="16"/>
        <v>339.12938340274769</v>
      </c>
      <c r="DS61" s="59">
        <f t="shared" si="17"/>
        <v>632.46271673608101</v>
      </c>
      <c r="DT61" s="59">
        <f ca="1">AVERAGE(OFFSET($DS$3,0,0,'Données projet'!$E$14+1,1))-AVERAGE(OFFSET($H$3,0,0,'Données projet'!$E$14+1,1))</f>
        <v>382.26108489744581</v>
      </c>
      <c r="DU61" s="59">
        <f t="shared" si="44"/>
        <v>233.89423996158826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>
        <f>VLOOKUP(A61,'Données projet'!$A$191:$I$211,2,0)</f>
        <v>215.13461538461539</v>
      </c>
      <c r="EH61" s="12">
        <f>VLOOKUP(A61,'Données projet'!$A$191:$I$211,9,0)</f>
        <v>9.6987179487179525</v>
      </c>
      <c r="EI61" s="12">
        <f t="array" ref="EI61">INDEX(EH:EH,MIN(IF(ISNUMBER(EH61:EH257),ROW(EH61:EH257),"")))</f>
        <v>9.6987179487179525</v>
      </c>
      <c r="EJ61" s="12">
        <f>IF('Données projet'!$A$192&gt;35,EJ60+EI61-ER60,IF(A61&lt;'Données projet'!$A$192,$EG$205^A61,IF(A61='Données projet'!$A$192,'Données projet'!$B$192,EJ60+EI61-ER60)))</f>
        <v>215.13461538461536</v>
      </c>
      <c r="EK61" s="17">
        <f>EJ61*VLOOKUP('Données projet'!$B$15,Paramètres!$A$1:$I$89,3,0)*VLOOKUP('Données projet'!$B$15,Paramètres!$A$1:$I$89,5,0)</f>
        <v>181.2294</v>
      </c>
      <c r="EL61" s="13">
        <f t="shared" si="45"/>
        <v>45.595596566178862</v>
      </c>
      <c r="EM61" s="20">
        <f t="shared" si="19"/>
        <v>395.05353568609485</v>
      </c>
      <c r="EN61" s="59">
        <f t="shared" si="20"/>
        <v>688.3868690194281</v>
      </c>
      <c r="EO61" s="59">
        <f ca="1">AVERAGE(OFFSET($EN$3,0,0,'Données projet'!$E$15+1,1))-AVERAGE(OFFSET($H$3,0,0,'Données projet'!$E$15+1,1))</f>
        <v>312.48716825299158</v>
      </c>
      <c r="EP61" s="59">
        <f t="shared" si="46"/>
        <v>258.68277822755357</v>
      </c>
      <c r="EQ61" s="15">
        <f>IF(ISNA(VLOOKUP(A61,'Données projet'!$A$191:$I$211,3,0)),0,VLOOKUP(A61,'Données projet'!$A$191:$I$211,3,0))</f>
        <v>5</v>
      </c>
      <c r="ER61" s="15">
        <f>IF(ISNA(VLOOKUP(A61,'Données projet'!$A$191:$I$211,4,0)),0,VLOOKUP(A61,'Données projet'!$A$191:$I$211,4,0))</f>
        <v>38.141025641025642</v>
      </c>
      <c r="ES61" s="16">
        <f>IF(ISNA(VLOOKUP(A61,'Données projet'!$A$191:$I$211,5,0)),0%,VLOOKUP(A61,'Données projet'!$A$191:$I$211,5,0)*VLOOKUP('Données projet'!$B$15,Paramètres!$A$1:$I$89,7,0))</f>
        <v>0.30099999999999999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20.392519095070426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20.392519095070426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6.3942307692307701</v>
      </c>
      <c r="FE61" s="12">
        <f>IF('Données projet'!$A$218&gt;35,FE60+FD61-FM60,IF(A61&lt;'Données projet'!$A$218,$FB$205^A61,IF(A61='Données projet'!$A$218,'Données projet'!$B$218,FE60+FD61-FM60)))</f>
        <v>152.86217948717947</v>
      </c>
      <c r="FF61" s="17">
        <f>FE61*VLOOKUP('Données projet'!$B$16,Paramètres!$A$1:$I$89,3,0)*VLOOKUP('Données projet'!$B$16,Paramètres!$A$1:$I$89,5,0)</f>
        <v>164.54084999999998</v>
      </c>
      <c r="FG61" s="13">
        <f t="shared" si="47"/>
        <v>41.865042693711125</v>
      </c>
      <c r="FH61" s="20">
        <f t="shared" si="22"/>
        <v>359.49026310821347</v>
      </c>
      <c r="FI61" s="59">
        <f t="shared" si="23"/>
        <v>652.82359644154678</v>
      </c>
      <c r="FJ61" s="59">
        <f ca="1">AVERAGE(OFFSET($FI$3,0,0,'Données projet'!$E$16+1,1))-AVERAGE(OFFSET($H$3,0,0,'Données projet'!$E$16+1,1))</f>
        <v>403.23110963096246</v>
      </c>
      <c r="FK61" s="59">
        <f t="shared" si="48"/>
        <v>245.72000393124898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6.3942307692307701</v>
      </c>
      <c r="FZ61" s="12">
        <f>IF('Données projet'!$A$244&gt;35,FZ60+FY61-GH60,IF(A61&lt;'Données projet'!$A$244,$FW$205^A61,IF(A61='Données projet'!$A$244,'Données projet'!$B$244,FZ60+FY61-GH60)))</f>
        <v>152.86217948717947</v>
      </c>
      <c r="GA61" s="17">
        <f>FZ61*VLOOKUP('Données projet'!$B$17,Paramètres!$A$1:$I$89,3,0)*VLOOKUP('Données projet'!$B$17,Paramètres!$A$1:$I$89,5,0)</f>
        <v>147.84829999999999</v>
      </c>
      <c r="GB61" s="13">
        <f t="shared" si="49"/>
        <v>38.08919364795495</v>
      </c>
      <c r="GC61" s="20">
        <f t="shared" si="25"/>
        <v>323.84113477018821</v>
      </c>
      <c r="GD61" s="59">
        <f t="shared" si="26"/>
        <v>617.17446810352158</v>
      </c>
      <c r="GE61" s="59">
        <f ca="1">AVERAGE(OFFSET($GD$3,0,0,'Données projet'!$E$17+1,1))-AVERAGE(OFFSET($H$3,0,0,'Données projet'!$E$17+1,1))</f>
        <v>336.2911850338175</v>
      </c>
      <c r="GF61" s="59">
        <f t="shared" si="50"/>
        <v>225.01415116995503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0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6.3942307692307701</v>
      </c>
      <c r="GU61" s="12">
        <f>IF('Données projet'!$A$270&gt;35,GU60+GT61-HC60,IF(A61&lt;'Données projet'!$A$270,$GR$205^A61,IF(A61='Données projet'!$A$270,'Données projet'!$B$270,GU60+GT61-HC60)))</f>
        <v>152.86217948717947</v>
      </c>
      <c r="GV61" s="17">
        <f>GU61*VLOOKUP('Données projet'!$B$18,Paramètres!$A$1:$I$89,3,0)*VLOOKUP('Données projet'!$B$18,Paramètres!$A$1:$I$89,5,0)</f>
        <v>102.53995</v>
      </c>
      <c r="GW61" s="13">
        <f t="shared" si="51"/>
        <v>27.566219452232801</v>
      </c>
      <c r="GX61" s="20">
        <f t="shared" si="28"/>
        <v>226.60157846263874</v>
      </c>
      <c r="GY61" s="59">
        <f t="shared" si="29"/>
        <v>519.93491179597208</v>
      </c>
      <c r="GZ61" s="59">
        <f ca="1">AVERAGE(OFFSET($GY$3,0,0,'Données projet'!$E$18+1,1))-AVERAGE(OFFSET($H$3,0,0,'Données projet'!$E$18+1,1))</f>
        <v>266.37807768393191</v>
      </c>
      <c r="HA61" s="59">
        <f t="shared" si="52"/>
        <v>168.52019826233425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0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5.2</v>
      </c>
      <c r="N62" s="13">
        <f>IF('Données projet'!$A$36&gt;35,N61+M62-V61,IF(A62&lt;'Données projet'!$A$36,$K$205^A62,IF(A62='Données projet'!$A$36,'Données projet'!$B$36,N61+M62-V61)))</f>
        <v>239.79999999999984</v>
      </c>
      <c r="O62" s="13">
        <f>N62*VLOOKUP('Données projet'!$B$9,Paramètres!$A$1:$I$89,3,0)*VLOOKUP('Données projet'!$B$9,Paramètres!$A$1:$I$89,5,0)</f>
        <v>209.48927999999989</v>
      </c>
      <c r="P62" s="13">
        <f t="shared" si="33"/>
        <v>51.823964717594365</v>
      </c>
      <c r="Q62" s="20">
        <f t="shared" si="53"/>
        <v>455.12056788314334</v>
      </c>
      <c r="R62" s="59">
        <f t="shared" si="0"/>
        <v>748.45390121647665</v>
      </c>
      <c r="S62" s="59">
        <f ca="1">AVERAGE(OFFSET($R$3,0,0,'Données projet'!$E$9+1,1))-AVERAGE(OFFSET($H$3,0,0,'Données projet'!$E$9+1,1))</f>
        <v>324.86930206492627</v>
      </c>
      <c r="T62" s="59">
        <f t="shared" si="34"/>
        <v>317.03005098025352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20.70079042315076</v>
      </c>
      <c r="AA62" s="21">
        <f>EXP(-LN(2)/25)*AA61+(1-EXP(-LN(2)/25))/(LN(2)/25)*Calculateur!V62*Calculateur!X62*VLOOKUP('Données projet'!$B$9,Paramètres!$A$1:$I$89,3,0)*0.475*44/12</f>
        <v>12.844312095128503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33.545102518279265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8.374198717948719</v>
      </c>
      <c r="AI62" s="13">
        <f>IF('Données projet'!$A$62&gt;35,AI61+AH62-AQ61,IF(A62&lt;'Données projet'!$A$62,$AF$205^A62,IF(A62='Données projet'!$A$62,'Données projet'!$B$62,AI61+AH62-AQ61)))</f>
        <v>186.79166666666674</v>
      </c>
      <c r="AJ62" s="13">
        <f>AI62*VLOOKUP('Données projet'!$B$10,Paramètres!$A$1:$I$89,3,0)*VLOOKUP('Données projet'!$B$10,Paramètres!$A$1:$I$89,5,0)</f>
        <v>177.75095000000007</v>
      </c>
      <c r="AK62" s="13">
        <f t="shared" si="35"/>
        <v>44.821448407635543</v>
      </c>
      <c r="AL62" s="20">
        <f t="shared" si="4"/>
        <v>387.64692722663199</v>
      </c>
      <c r="AM62" s="59">
        <f t="shared" si="5"/>
        <v>680.98026055996525</v>
      </c>
      <c r="AN62" s="59">
        <f ca="1">AVERAGE(OFFSET($AM$3,0,0,'Données projet'!$E$10+1,1))-AVERAGE(OFFSET($H$3,0,0,'Données projet'!$E$10+1,1))</f>
        <v>401.81944956556271</v>
      </c>
      <c r="AO62" s="59">
        <f t="shared" si="36"/>
        <v>292.20785523952651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9.5</v>
      </c>
      <c r="BD62" s="12">
        <f>IF('Données projet'!$A$88&gt;35,BD61+BC62-BL61,IF(A62&lt;'Données projet'!$A$88,$BA$205^A62,IF(A62='Données projet'!$A$88,'Données projet'!$B$88,BD61+BC62-BL61)))</f>
        <v>287.5</v>
      </c>
      <c r="BE62" s="13">
        <f>BD62*VLOOKUP('Données projet'!$B$11,Paramètres!$A$1:$I$89,3,0)*VLOOKUP('Données projet'!$B$11,Paramètres!$A$1:$I$89,5,0)</f>
        <v>224.25</v>
      </c>
      <c r="BF62" s="13">
        <f t="shared" si="37"/>
        <v>55.037571061589858</v>
      </c>
      <c r="BG62" s="20">
        <f t="shared" si="7"/>
        <v>486.42585293226904</v>
      </c>
      <c r="BH62" s="59">
        <f t="shared" si="8"/>
        <v>779.75918626560235</v>
      </c>
      <c r="BI62" s="59">
        <f ca="1">AVERAGE(OFFSET($BH$3,0,0,'Données projet'!$E$11+1,1))-AVERAGE(OFFSET($H$3,0,0,'Données projet'!$E$11+1,1))</f>
        <v>288.80569134263209</v>
      </c>
      <c r="BJ62" s="59">
        <f t="shared" si="38"/>
        <v>283.48738729114024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15.890897509337904</v>
      </c>
      <c r="BQ62" s="21">
        <f>EXP(-LN(2)/25)*BQ61+(1-EXP(-LN(2)/25))/(LN(2)/25)*Calculateur!BL62*Calculateur!BN62*VLOOKUP('Données projet'!$B$11,Paramètres!$A$1:$I$89,3,0)*0.475*44/12</f>
        <v>18.929125778483819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34.820023287821726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</v>
      </c>
      <c r="BY62" s="12">
        <f>IF('Données projet'!$A$114&gt;35,BY61+BX62-CG61,IF(A62&lt;'Données projet'!$A$114,$BV$205^A62,IF(A62='Données projet'!$A$114,'Données projet'!$B$114,BY61+BX62-CG61)))</f>
        <v>183.99999999999997</v>
      </c>
      <c r="BZ62" s="13">
        <f>BY62*VLOOKUP('Données projet'!$B$12,Paramètres!$A$1:$I$89,3,0)*VLOOKUP('Données projet'!$B$12,Paramètres!$A$1:$I$89,5,0)</f>
        <v>192.31679999999997</v>
      </c>
      <c r="CA62" s="13">
        <f t="shared" si="39"/>
        <v>48.05180257326473</v>
      </c>
      <c r="CB62" s="20">
        <f t="shared" si="10"/>
        <v>418.64198281510266</v>
      </c>
      <c r="CC62" s="59">
        <f t="shared" si="11"/>
        <v>711.97531614843592</v>
      </c>
      <c r="CD62" s="59">
        <f ca="1">AVERAGE(OFFSET($CC$3,0,0,'Données projet'!$E$12+1,1))-AVERAGE(OFFSET($H$3,0,0,'Données projet'!$E$12+1,1))</f>
        <v>352.22281362023102</v>
      </c>
      <c r="CE62" s="59">
        <f t="shared" si="40"/>
        <v>310.2353747925161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3.1211917596798568</v>
      </c>
      <c r="CL62" s="21">
        <f>EXP(-LN(2)/25)*CL61+(1-EXP(-LN(2)/25))/(LN(2)/25)*Calculateur!CG62*Calculateur!CI62*VLOOKUP('Données projet'!$B$12,Paramètres!$A$1:$I$89,3,0)*0.475*44/12</f>
        <v>12.593501131068674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15.71469289074853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159.25641025641025</v>
      </c>
      <c r="CR62" s="12">
        <f>VLOOKUP(A62,'Données projet'!$A$139:$I$159,9,0)</f>
        <v>6.3942307692307701</v>
      </c>
      <c r="CS62" s="12">
        <f t="array" ref="CS62">INDEX(CR:CR,MIN(IF(ISNUMBER(CR62:CR258),ROW(CR62:CR258),"")))</f>
        <v>6.3942307692307701</v>
      </c>
      <c r="CT62" s="12">
        <f>IF('Données projet'!$A$140&gt;35,CT61+CS62-DB61,IF(A62&lt;'Données projet'!$A$140,$CQ$205^A62,IF(A62='Données projet'!$A$140,'Données projet'!$B$140,CT61+CS62-DB61)))</f>
        <v>159.25641025641025</v>
      </c>
      <c r="CU62" s="17">
        <f>CT62*VLOOKUP('Données projet'!$B$13,Paramètres!$A$1:$I$89,3,0)*VLOOKUP('Données projet'!$B$13,Paramètres!$A$1:$I$89,5,0)</f>
        <v>144.09520000000001</v>
      </c>
      <c r="CV62" s="13">
        <f t="shared" si="41"/>
        <v>37.23357828719589</v>
      </c>
      <c r="CW62" s="20">
        <f t="shared" si="13"/>
        <v>315.81428885019949</v>
      </c>
      <c r="CX62" s="59">
        <f t="shared" si="14"/>
        <v>609.1476221835328</v>
      </c>
      <c r="CY62" s="59">
        <f ca="1">AVERAGE(OFFSET($CX$3,0,0,'Données projet'!$E$13+1,1))-AVERAGE(OFFSET($H$3,0,0,'Données projet'!$E$13+1,1))</f>
        <v>345.49688858037996</v>
      </c>
      <c r="CZ62" s="59">
        <f t="shared" si="42"/>
        <v>213.15872113755023</v>
      </c>
      <c r="DA62" s="15">
        <f>IF(ISNA(VLOOKUP(A62,'Données projet'!$A$139:$I$159,3,0)),0,VLOOKUP(A62,'Données projet'!$A$139:$I$159,3,0))</f>
        <v>3</v>
      </c>
      <c r="DB62" s="15">
        <f>IF(ISNA(VLOOKUP(A62,'Données projet'!$A$139:$I$159,4,0)),0,VLOOKUP(A62,'Données projet'!$A$139:$I$159,4,0))</f>
        <v>38.942307692307693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159.25641025641025</v>
      </c>
      <c r="DM62" s="12">
        <f>VLOOKUP(A62,'Données projet'!$A$165:$I$185,9,0)</f>
        <v>6.3942307692307701</v>
      </c>
      <c r="DN62" s="12">
        <f t="array" ref="DN62">INDEX(DM:DM,MIN(IF(ISNUMBER(DM62:DM258),ROW(DM62:DM258),"")))</f>
        <v>6.3942307692307701</v>
      </c>
      <c r="DO62" s="12">
        <f>IF('Données projet'!$A$166&gt;35,DO61+DN62-DW61,IF(A62&lt;'Données projet'!$A$166,$DL$205^A62,IF(A62='Données projet'!$A$166,'Données projet'!$B$166,DO61+DN62-DW61)))</f>
        <v>159.25641025641025</v>
      </c>
      <c r="DP62" s="17">
        <f>DO62*VLOOKUP('Données projet'!$B$14,Paramètres!$A$1:$I$89,3,0)*VLOOKUP('Données projet'!$B$14,Paramètres!$A$1:$I$89,5,0)</f>
        <v>161.48599999999999</v>
      </c>
      <c r="DQ62" s="13">
        <f t="shared" si="43"/>
        <v>41.177506306658742</v>
      </c>
      <c r="DR62" s="20">
        <f t="shared" si="16"/>
        <v>352.97227348409729</v>
      </c>
      <c r="DS62" s="59">
        <f t="shared" si="17"/>
        <v>646.30560681743054</v>
      </c>
      <c r="DT62" s="59">
        <f ca="1">AVERAGE(OFFSET($DS$3,0,0,'Données projet'!$E$14+1,1))-AVERAGE(OFFSET($H$3,0,0,'Données projet'!$E$14+1,1))</f>
        <v>382.26108489744581</v>
      </c>
      <c r="DU62" s="59">
        <f t="shared" si="44"/>
        <v>233.89423996158826</v>
      </c>
      <c r="DV62" s="15">
        <f>IF(ISNA(VLOOKUP(A62,'Données projet'!$A$165:$I$185,3,0)),0,VLOOKUP(A62,'Données projet'!$A$165:$I$185,3,0))</f>
        <v>3</v>
      </c>
      <c r="DW62" s="15">
        <f>IF(ISNA(VLOOKUP(A62,'Données projet'!$A$165:$I$185,4,0)),0,VLOOKUP(A62,'Données projet'!$A$165:$I$185,4,0))</f>
        <v>38.942307692307693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9.4423076923076916</v>
      </c>
      <c r="EJ62" s="12">
        <f>IF('Données projet'!$A$192&gt;35,EJ61+EI62-ER61,IF(A62&lt;'Données projet'!$A$192,$EG$205^A62,IF(A62='Données projet'!$A$192,'Données projet'!$B$192,EJ61+EI62-ER61)))</f>
        <v>186.4358974358974</v>
      </c>
      <c r="EK62" s="17">
        <f>EJ62*VLOOKUP('Données projet'!$B$15,Paramètres!$A$1:$I$89,3,0)*VLOOKUP('Données projet'!$B$15,Paramètres!$A$1:$I$89,5,0)</f>
        <v>157.05359999999999</v>
      </c>
      <c r="EL62" s="13">
        <f t="shared" si="45"/>
        <v>40.177229479699292</v>
      </c>
      <c r="EM62" s="20">
        <f t="shared" si="19"/>
        <v>343.51036134380956</v>
      </c>
      <c r="EN62" s="59">
        <f t="shared" si="20"/>
        <v>636.84369467714282</v>
      </c>
      <c r="EO62" s="59">
        <f ca="1">AVERAGE(OFFSET($EN$3,0,0,'Données projet'!$E$15+1,1))-AVERAGE(OFFSET($H$3,0,0,'Données projet'!$E$15+1,1))</f>
        <v>312.48716825299158</v>
      </c>
      <c r="EP62" s="59">
        <f t="shared" si="46"/>
        <v>258.68277822755357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19.992634233824571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19.992634233824571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>
        <f>VLOOKUP(A62,'Données projet'!$A$217:$I$237,2,0)</f>
        <v>159.25641025641025</v>
      </c>
      <c r="FC62" s="12">
        <f>VLOOKUP(A62,'Données projet'!$A$217:$I$237,9,0)</f>
        <v>6.3942307692307701</v>
      </c>
      <c r="FD62" s="12">
        <f t="array" ref="FD62">INDEX(FC:FC,MIN(IF(ISNUMBER(FC62:FC258),ROW(FC62:FC258),"")))</f>
        <v>6.3942307692307701</v>
      </c>
      <c r="FE62" s="12">
        <f>IF('Données projet'!$A$218&gt;35,FE61+FD62-FM61,IF(A62&lt;'Données projet'!$A$218,$FB$205^A62,IF(A62='Données projet'!$A$218,'Données projet'!$B$218,FE61+FD62-FM61)))</f>
        <v>159.25641025641025</v>
      </c>
      <c r="FF62" s="17">
        <f>FE62*VLOOKUP('Données projet'!$B$16,Paramètres!$A$1:$I$89,3,0)*VLOOKUP('Données projet'!$B$16,Paramètres!$A$1:$I$89,5,0)</f>
        <v>171.42359999999999</v>
      </c>
      <c r="FG62" s="13">
        <f t="shared" si="47"/>
        <v>43.408707716706886</v>
      </c>
      <c r="FH62" s="20">
        <f t="shared" si="22"/>
        <v>374.1662692732645</v>
      </c>
      <c r="FI62" s="59">
        <f t="shared" si="23"/>
        <v>667.49960260659782</v>
      </c>
      <c r="FJ62" s="59">
        <f ca="1">AVERAGE(OFFSET($FI$3,0,0,'Données projet'!$E$16+1,1))-AVERAGE(OFFSET($H$3,0,0,'Données projet'!$E$16+1,1))</f>
        <v>403.23110963096246</v>
      </c>
      <c r="FK62" s="59">
        <f t="shared" si="48"/>
        <v>245.72000393124898</v>
      </c>
      <c r="FL62" s="15">
        <f>IF(ISNA(VLOOKUP(A62,'Données projet'!$A$217:$I$237,3,0)),0,VLOOKUP(A62,'Données projet'!$A$217:$I$237,3,0))</f>
        <v>3</v>
      </c>
      <c r="FM62" s="15">
        <f>IF(ISNA(VLOOKUP(A62,'Données projet'!$A$217:$I$237,4,0)),0,VLOOKUP(A62,'Données projet'!$A$217:$I$237,4,0))</f>
        <v>38.942307692307693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>
        <f>VLOOKUP(A62,'Données projet'!$A$243:$I$263,2,0)</f>
        <v>159.25641025641025</v>
      </c>
      <c r="FX62" s="12">
        <f>VLOOKUP(A62,'Données projet'!$A$243:$I$263,9,0)</f>
        <v>6.3942307692307701</v>
      </c>
      <c r="FY62" s="12">
        <f t="array" ref="FY62">INDEX(FX:FX,MIN(IF(ISNUMBER(FX62:FX258),ROW(FX62:FX258),"")))</f>
        <v>6.3942307692307701</v>
      </c>
      <c r="FZ62" s="12">
        <f>IF('Données projet'!$A$244&gt;35,FZ61+FY62-GH61,IF(A62&lt;'Données projet'!$A$244,$FW$205^A62,IF(A62='Données projet'!$A$244,'Données projet'!$B$244,FZ61+FY62-GH61)))</f>
        <v>159.25641025641025</v>
      </c>
      <c r="GA62" s="17">
        <f>FZ62*VLOOKUP('Données projet'!$B$17,Paramètres!$A$1:$I$89,3,0)*VLOOKUP('Données projet'!$B$17,Paramètres!$A$1:$I$89,5,0)</f>
        <v>154.03280000000001</v>
      </c>
      <c r="GB62" s="13">
        <f t="shared" si="49"/>
        <v>39.493634016465371</v>
      </c>
      <c r="GC62" s="20">
        <f t="shared" si="25"/>
        <v>337.05853924534387</v>
      </c>
      <c r="GD62" s="59">
        <f t="shared" si="26"/>
        <v>630.39187257867718</v>
      </c>
      <c r="GE62" s="59">
        <f ca="1">AVERAGE(OFFSET($GD$3,0,0,'Données projet'!$E$17+1,1))-AVERAGE(OFFSET($H$3,0,0,'Données projet'!$E$17+1,1))</f>
        <v>336.2911850338175</v>
      </c>
      <c r="GF62" s="59">
        <f t="shared" si="50"/>
        <v>225.01415116995503</v>
      </c>
      <c r="GG62" s="15">
        <f>IF(ISNA(VLOOKUP(A62,'Données projet'!$A$243:$I$263,3,0)),0,VLOOKUP(A62,'Données projet'!$A$243:$I$263,3,0))</f>
        <v>3</v>
      </c>
      <c r="GH62" s="15">
        <f>IF(ISNA(VLOOKUP(A62,'Données projet'!$A$243:$I$263,4,0)),0,VLOOKUP(A62,'Données projet'!$A$243:$I$263,4,0))</f>
        <v>38.942307692307693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0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>
        <f>VLOOKUP(A62,'Données projet'!$A$269:$I$289,2,0)</f>
        <v>159.25641025641025</v>
      </c>
      <c r="GS62" s="12">
        <f>VLOOKUP(A62,'Données projet'!$A$269:$I$289,9,0)</f>
        <v>6.3942307692307701</v>
      </c>
      <c r="GT62" s="12">
        <f t="array" ref="GT62">INDEX(GS:GS,MIN(IF(ISNUMBER(GS62:GS258),ROW(GS62:GS258),"")))</f>
        <v>6.3942307692307701</v>
      </c>
      <c r="GU62" s="12">
        <f>IF('Données projet'!$A$270&gt;35,GU61+GT62-HC61,IF(A62&lt;'Données projet'!$A$270,$GR$205^A62,IF(A62='Données projet'!$A$270,'Données projet'!$B$270,GU61+GT62-HC61)))</f>
        <v>159.25641025641025</v>
      </c>
      <c r="GV62" s="17">
        <f>GU62*VLOOKUP('Données projet'!$B$18,Paramètres!$A$1:$I$89,3,0)*VLOOKUP('Données projet'!$B$18,Paramètres!$A$1:$I$89,5,0)</f>
        <v>106.82919999999999</v>
      </c>
      <c r="GW62" s="13">
        <f t="shared" si="51"/>
        <v>28.582652400742088</v>
      </c>
      <c r="GX62" s="20">
        <f t="shared" si="28"/>
        <v>235.84230959795909</v>
      </c>
      <c r="GY62" s="59">
        <f t="shared" si="29"/>
        <v>529.17564293129237</v>
      </c>
      <c r="GZ62" s="59">
        <f ca="1">AVERAGE(OFFSET($GY$3,0,0,'Données projet'!$E$18+1,1))-AVERAGE(OFFSET($H$3,0,0,'Données projet'!$E$18+1,1))</f>
        <v>266.37807768393191</v>
      </c>
      <c r="HA62" s="59">
        <f t="shared" si="52"/>
        <v>168.52019826233425</v>
      </c>
      <c r="HB62" s="15">
        <f>IF(ISNA(VLOOKUP(A62,'Données projet'!$A$269:$I$289,3,0)),0,VLOOKUP(A62,'Données projet'!$A$269:$I$289,3,0))</f>
        <v>3</v>
      </c>
      <c r="HC62" s="15">
        <f>IF(ISNA(VLOOKUP(A62,'Données projet'!$A$269:$I$289,4,0)),0,VLOOKUP(A62,'Données projet'!$A$269:$I$289,4,0))</f>
        <v>38.942307692307693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0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245</v>
      </c>
      <c r="L63" s="12">
        <f>VLOOKUP(A63,'Données projet'!$A$35:$I$55,9,0)</f>
        <v>5.2</v>
      </c>
      <c r="M63" s="12">
        <f t="array" ref="M63">INDEX(L:L,MIN(IF(ISNUMBER(L63:L259),ROW(L63:L259),"")))</f>
        <v>5.2</v>
      </c>
      <c r="N63" s="13">
        <f>IF('Données projet'!$A$36&gt;35,N62+M63-V62,IF(A63&lt;'Données projet'!$A$36,$K$205^A63,IF(A63='Données projet'!$A$36,'Données projet'!$B$36,N62+M63-V62)))</f>
        <v>244.99999999999983</v>
      </c>
      <c r="O63" s="13">
        <f>N63*VLOOKUP('Données projet'!$B$9,Paramètres!$A$1:$I$89,3,0)*VLOOKUP('Données projet'!$B$9,Paramètres!$A$1:$I$89,5,0)</f>
        <v>214.03199999999987</v>
      </c>
      <c r="P63" s="13">
        <f t="shared" si="33"/>
        <v>52.815701536972192</v>
      </c>
      <c r="Q63" s="20">
        <f t="shared" si="53"/>
        <v>464.7597468435597</v>
      </c>
      <c r="R63" s="59">
        <f t="shared" si="0"/>
        <v>758.09308017689295</v>
      </c>
      <c r="S63" s="59">
        <f ca="1">AVERAGE(OFFSET($R$3,0,0,'Données projet'!$E$9+1,1))-AVERAGE(OFFSET($H$3,0,0,'Données projet'!$E$9+1,1))</f>
        <v>324.86930206492627</v>
      </c>
      <c r="T63" s="59">
        <f t="shared" si="34"/>
        <v>317.03005098025352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12</v>
      </c>
      <c r="W63" s="16">
        <f>IF(ISNA(VLOOKUP(A63,'Données projet'!$A$35:$I$55,5,0)),0%,VLOOKUP(A63,'Données projet'!$A$35:$I$55,5,0)*VLOOKUP('Données projet'!$B$9,Paramètres!$A$1:$I$89,7,0))</f>
        <v>0.43990000000000001</v>
      </c>
      <c r="X63" s="16">
        <f>IF(ISNA(VLOOKUP(A63,'Données projet'!$A$35:$I$55,6,0)),0%,VLOOKUP(A63,'Données projet'!$A$35:$I$55,6,0)*VLOOKUP('Données projet'!$B$9,Paramètres!$A$1:$I$89,7,0))</f>
        <v>4.24E-2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25.392803178876644</v>
      </c>
      <c r="AA63" s="21">
        <f>EXP(-LN(2)/25)*AA62+(1-EXP(-LN(2)/25))/(LN(2)/25)*Calculateur!V63*Calculateur!X63*VLOOKUP('Données projet'!$B$9,Paramètres!$A$1:$I$89,3,0)*0.475*44/12</f>
        <v>12.982516966840167</v>
      </c>
      <c r="AB63" s="21">
        <f>EXP(-LN(2)/2)*AB62+(1-EXP(-LN(2)/2))/(LN(2)/2)*V63*Y63*VLOOKUP('Données projet'!$B$9,Paramètres!$A$1:$I$89,3,0)*0.475*44/12</f>
        <v>0</v>
      </c>
      <c r="AC63" s="22">
        <f t="shared" si="3"/>
        <v>38.375320145716813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8.374198717948719</v>
      </c>
      <c r="AI63" s="13">
        <f>IF('Données projet'!$A$62&gt;35,AI62+AH63-AQ62,IF(A63&lt;'Données projet'!$A$62,$AF$205^A63,IF(A63='Données projet'!$A$62,'Données projet'!$B$62,AI62+AH63-AQ62)))</f>
        <v>195.16586538461547</v>
      </c>
      <c r="AJ63" s="13">
        <f>AI63*VLOOKUP('Données projet'!$B$10,Paramètres!$A$1:$I$89,3,0)*VLOOKUP('Données projet'!$B$10,Paramètres!$A$1:$I$89,5,0)</f>
        <v>185.7198375000001</v>
      </c>
      <c r="AK63" s="13">
        <f t="shared" si="35"/>
        <v>46.59241851266016</v>
      </c>
      <c r="AL63" s="20">
        <f t="shared" si="4"/>
        <v>404.61051255538331</v>
      </c>
      <c r="AM63" s="59">
        <f t="shared" si="5"/>
        <v>697.94384588871662</v>
      </c>
      <c r="AN63" s="59">
        <f ca="1">AVERAGE(OFFSET($AM$3,0,0,'Données projet'!$E$10+1,1))-AVERAGE(OFFSET($H$3,0,0,'Données projet'!$E$10+1,1))</f>
        <v>401.81944956556271</v>
      </c>
      <c r="AO63" s="59">
        <f t="shared" si="36"/>
        <v>292.20785523952651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297</v>
      </c>
      <c r="BB63" s="12">
        <f>VLOOKUP(A63,'Données projet'!$A$87:$I$107,9,0)</f>
        <v>9.5</v>
      </c>
      <c r="BC63" s="12">
        <f t="array" ref="BC63">INDEX(BB:BB,MIN(IF(ISNUMBER(BB63:BB259),ROW(BB63:BB259),"")))</f>
        <v>9.5</v>
      </c>
      <c r="BD63" s="12">
        <f>IF('Données projet'!$A$88&gt;35,BD62+BC63-BL62,IF(A63&lt;'Données projet'!$A$88,$BA$205^A63,IF(A63='Données projet'!$A$88,'Données projet'!$B$88,BD62+BC63-BL62)))</f>
        <v>297</v>
      </c>
      <c r="BE63" s="13">
        <f>BD63*VLOOKUP('Données projet'!$B$11,Paramètres!$A$1:$I$89,3,0)*VLOOKUP('Données projet'!$B$11,Paramètres!$A$1:$I$89,5,0)</f>
        <v>231.66</v>
      </c>
      <c r="BF63" s="13">
        <f t="shared" si="37"/>
        <v>56.641461975682766</v>
      </c>
      <c r="BG63" s="20">
        <f t="shared" si="7"/>
        <v>502.12504627431412</v>
      </c>
      <c r="BH63" s="59">
        <f t="shared" si="8"/>
        <v>795.45837960764743</v>
      </c>
      <c r="BI63" s="59">
        <f ca="1">AVERAGE(OFFSET($BH$3,0,0,'Données projet'!$E$11+1,1))-AVERAGE(OFFSET($H$3,0,0,'Données projet'!$E$11+1,1))</f>
        <v>288.80569134263209</v>
      </c>
      <c r="BJ63" s="59">
        <f t="shared" si="38"/>
        <v>283.48738729114024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47</v>
      </c>
      <c r="BM63" s="16">
        <f>IF(ISNA(VLOOKUP(A63,'Données projet'!$A$87:$I$107,5,0)),0%,VLOOKUP(A63,'Données projet'!$A$87:$I$107,5,0)*VLOOKUP('Données projet'!$B$11,Paramètres!$A$1:$I$89,7,0))</f>
        <v>0.215</v>
      </c>
      <c r="BN63" s="16">
        <f>IF(ISNA(VLOOKUP(A63,'Données projet'!$A$87:$I$107,6,0)),0%,VLOOKUP(A63,'Données projet'!$A$87:$I$107,6,0)*VLOOKUP('Données projet'!$B$11,Paramètres!$A$1:$I$89,7,0))</f>
        <v>0.17200000000000001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24.292493686110973</v>
      </c>
      <c r="BQ63" s="21">
        <f>EXP(-LN(2)/25)*BQ62+(1-EXP(-LN(2)/25))/(LN(2)/25)*Calculateur!BL63*Calculateur!BN63*VLOOKUP('Données projet'!$B$11,Paramètres!$A$1:$I$89,3,0)*0.475*44/12</f>
        <v>25.354627653472416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49.647121339583393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189</v>
      </c>
      <c r="BW63" s="12">
        <f>VLOOKUP(A63,'Données projet'!$A$113:$I$133,9,0)</f>
        <v>5</v>
      </c>
      <c r="BX63" s="12">
        <f t="array" ref="BX63">INDEX(BW:BW,MIN(IF(ISNUMBER(BW63:BW259),ROW(BW63:BW259),"")))</f>
        <v>5</v>
      </c>
      <c r="BY63" s="12">
        <f>IF('Données projet'!$A$114&gt;35,BY62+BX63-CG62,IF(A63&lt;'Données projet'!$A$114,$BV$205^A63,IF(A63='Données projet'!$A$114,'Données projet'!$B$114,BY62+BX63-CG62)))</f>
        <v>188.99999999999997</v>
      </c>
      <c r="BZ63" s="13">
        <f>BY63*VLOOKUP('Données projet'!$B$12,Paramètres!$A$1:$I$89,3,0)*VLOOKUP('Données projet'!$B$12,Paramètres!$A$1:$I$89,5,0)</f>
        <v>197.5428</v>
      </c>
      <c r="CA63" s="13">
        <f t="shared" si="39"/>
        <v>49.203761623019211</v>
      </c>
      <c r="CB63" s="20">
        <f t="shared" si="10"/>
        <v>429.75026149342511</v>
      </c>
      <c r="CC63" s="59">
        <f t="shared" si="11"/>
        <v>723.08359482675837</v>
      </c>
      <c r="CD63" s="59">
        <f ca="1">AVERAGE(OFFSET($CC$3,0,0,'Données projet'!$E$12+1,1))-AVERAGE(OFFSET($H$3,0,0,'Données projet'!$E$12+1,1))</f>
        <v>352.22281362023102</v>
      </c>
      <c r="CE63" s="59">
        <f t="shared" si="40"/>
        <v>310.2353747925161</v>
      </c>
      <c r="CF63" s="15">
        <f>IF(ISNA(VLOOKUP(A63,'Données projet'!$A$113:$I$133,3,0)),0,VLOOKUP(A63,'Données projet'!$A$113:$I$133,3,0))</f>
        <v>9</v>
      </c>
      <c r="CG63" s="15" t="str">
        <f>IF(ISNA(VLOOKUP(A63,'Données projet'!$A$113:$I$133,4,0)),0,VLOOKUP(A63,'Données projet'!$A$113:$I$133,4,0))</f>
        <v>16</v>
      </c>
      <c r="CH63" s="16">
        <f>IF(ISNA(VLOOKUP(A63,'Données projet'!$A$113:$I$133,5,0)),0%,VLOOKUP(A63,'Données projet'!$A$113:$I$133,5,0)*VLOOKUP('Données projet'!$B$12,Paramètres!$A$1:$I$89,7,0))</f>
        <v>0.17200000000000001</v>
      </c>
      <c r="CI63" s="16">
        <f>IF(ISNA(VLOOKUP(A63,'Données projet'!$A$113:$I$133,6,0)),0%,VLOOKUP(A63,'Données projet'!$A$113:$I$133,6,0)*VLOOKUP('Données projet'!$B$12,Paramètres!$A$1:$I$89,7,0))</f>
        <v>0.17200000000000001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6.2397514801844647</v>
      </c>
      <c r="CL63" s="21">
        <f>EXP(-LN(2)/25)*CL62+(1-EXP(-LN(2)/25))/(LN(2)/25)*Calculateur!CG63*Calculateur!CI63*VLOOKUP('Données projet'!$B$12,Paramètres!$A$1:$I$89,3,0)*0.475*44/12</f>
        <v>15.416375623571575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21.656127103756042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5.9431089743589762</v>
      </c>
      <c r="CT63" s="12">
        <f>IF('Données projet'!$A$140&gt;35,CT62+CS63-DB62,IF(A63&lt;'Données projet'!$A$140,$CQ$205^A63,IF(A63='Données projet'!$A$140,'Données projet'!$B$140,CT62+CS63-DB62)))</f>
        <v>126.25721153846153</v>
      </c>
      <c r="CU63" s="17">
        <f>CT63*VLOOKUP('Données projet'!$B$13,Paramètres!$A$1:$I$89,3,0)*VLOOKUP('Données projet'!$B$13,Paramètres!$A$1:$I$89,5,0)</f>
        <v>114.23752499999999</v>
      </c>
      <c r="CV63" s="13">
        <f t="shared" si="41"/>
        <v>30.327171529636239</v>
      </c>
      <c r="CW63" s="20">
        <f t="shared" si="13"/>
        <v>251.78351312244976</v>
      </c>
      <c r="CX63" s="59">
        <f t="shared" si="14"/>
        <v>545.11684645578305</v>
      </c>
      <c r="CY63" s="59">
        <f ca="1">AVERAGE(OFFSET($CX$3,0,0,'Données projet'!$E$13+1,1))-AVERAGE(OFFSET($H$3,0,0,'Données projet'!$E$13+1,1))</f>
        <v>345.49688858037996</v>
      </c>
      <c r="CZ63" s="59">
        <f t="shared" si="42"/>
        <v>213.15872113755023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5.9431089743589762</v>
      </c>
      <c r="DO63" s="12">
        <f>IF('Données projet'!$A$166&gt;35,DO62+DN63-DW62,IF(A63&lt;'Données projet'!$A$166,$DL$205^A63,IF(A63='Données projet'!$A$166,'Données projet'!$B$166,DO62+DN63-DW62)))</f>
        <v>126.25721153846153</v>
      </c>
      <c r="DP63" s="17">
        <f>DO63*VLOOKUP('Données projet'!$B$14,Paramètres!$A$1:$I$89,3,0)*VLOOKUP('Données projet'!$B$14,Paramètres!$A$1:$I$89,5,0)</f>
        <v>128.0248125</v>
      </c>
      <c r="DQ63" s="13">
        <f t="shared" si="43"/>
        <v>33.539545602958114</v>
      </c>
      <c r="DR63" s="20">
        <f t="shared" si="16"/>
        <v>281.39125702931875</v>
      </c>
      <c r="DS63" s="59">
        <f t="shared" si="17"/>
        <v>574.72459036265207</v>
      </c>
      <c r="DT63" s="59">
        <f ca="1">AVERAGE(OFFSET($DS$3,0,0,'Données projet'!$E$14+1,1))-AVERAGE(OFFSET($H$3,0,0,'Données projet'!$E$14+1,1))</f>
        <v>382.26108489744581</v>
      </c>
      <c r="DU63" s="59">
        <f t="shared" si="44"/>
        <v>233.89423996158826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9.4423076923076916</v>
      </c>
      <c r="EJ63" s="12">
        <f>IF('Données projet'!$A$192&gt;35,EJ62+EI63-ER62,IF(A63&lt;'Données projet'!$A$192,$EG$205^A63,IF(A63='Données projet'!$A$192,'Données projet'!$B$192,EJ62+EI63-ER62)))</f>
        <v>195.87820512820508</v>
      </c>
      <c r="EK63" s="17">
        <f>EJ63*VLOOKUP('Données projet'!$B$15,Paramètres!$A$1:$I$89,3,0)*VLOOKUP('Données projet'!$B$15,Paramètres!$A$1:$I$89,5,0)</f>
        <v>165.00779999999997</v>
      </c>
      <c r="EL63" s="13">
        <f t="shared" si="45"/>
        <v>41.97000472530214</v>
      </c>
      <c r="EM63" s="20">
        <f t="shared" si="19"/>
        <v>360.48634322990119</v>
      </c>
      <c r="EN63" s="59">
        <f t="shared" si="20"/>
        <v>653.81967656323445</v>
      </c>
      <c r="EO63" s="59">
        <f ca="1">AVERAGE(OFFSET($EN$3,0,0,'Données projet'!$E$15+1,1))-AVERAGE(OFFSET($H$3,0,0,'Données projet'!$E$15+1,1))</f>
        <v>312.48716825299158</v>
      </c>
      <c r="EP63" s="59">
        <f t="shared" si="46"/>
        <v>258.68277822755357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19.600590870802066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19.600590870802066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5.9431089743589762</v>
      </c>
      <c r="FE63" s="12">
        <f>IF('Données projet'!$A$218&gt;35,FE62+FD63-FM62,IF(A63&lt;'Données projet'!$A$218,$FB$205^A63,IF(A63='Données projet'!$A$218,'Données projet'!$B$218,FE62+FD63-FM62)))</f>
        <v>126.25721153846153</v>
      </c>
      <c r="FF63" s="17">
        <f>FE63*VLOOKUP('Données projet'!$B$16,Paramètres!$A$1:$I$89,3,0)*VLOOKUP('Données projet'!$B$16,Paramètres!$A$1:$I$89,5,0)</f>
        <v>135.90326249999998</v>
      </c>
      <c r="FG63" s="13">
        <f t="shared" si="47"/>
        <v>35.356884440438705</v>
      </c>
      <c r="FH63" s="20">
        <f t="shared" si="22"/>
        <v>298.27808925459738</v>
      </c>
      <c r="FI63" s="59">
        <f t="shared" si="23"/>
        <v>591.61142258793075</v>
      </c>
      <c r="FJ63" s="59">
        <f ca="1">AVERAGE(OFFSET($FI$3,0,0,'Données projet'!$E$16+1,1))-AVERAGE(OFFSET($H$3,0,0,'Données projet'!$E$16+1,1))</f>
        <v>403.23110963096246</v>
      </c>
      <c r="FK63" s="59">
        <f t="shared" si="48"/>
        <v>245.72000393124898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5.9431089743589762</v>
      </c>
      <c r="FZ63" s="12">
        <f>IF('Données projet'!$A$244&gt;35,FZ62+FY63-GH62,IF(A63&lt;'Données projet'!$A$244,$FW$205^A63,IF(A63='Données projet'!$A$244,'Données projet'!$B$244,FZ62+FY63-GH62)))</f>
        <v>126.25721153846153</v>
      </c>
      <c r="GA63" s="17">
        <f>FZ63*VLOOKUP('Données projet'!$B$17,Paramètres!$A$1:$I$89,3,0)*VLOOKUP('Données projet'!$B$17,Paramètres!$A$1:$I$89,5,0)</f>
        <v>122.11597499999999</v>
      </c>
      <c r="GB63" s="13">
        <f t="shared" si="49"/>
        <v>32.168012537164756</v>
      </c>
      <c r="GC63" s="20">
        <f t="shared" si="25"/>
        <v>268.7112782938953</v>
      </c>
      <c r="GD63" s="59">
        <f t="shared" si="26"/>
        <v>562.04461162722862</v>
      </c>
      <c r="GE63" s="59">
        <f ca="1">AVERAGE(OFFSET($GD$3,0,0,'Données projet'!$E$17+1,1))-AVERAGE(OFFSET($H$3,0,0,'Données projet'!$E$17+1,1))</f>
        <v>336.2911850338175</v>
      </c>
      <c r="GF63" s="59">
        <f t="shared" si="50"/>
        <v>225.01415116995503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0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5.9431089743589762</v>
      </c>
      <c r="GU63" s="12">
        <f>IF('Données projet'!$A$270&gt;35,GU62+GT63-HC62,IF(A63&lt;'Données projet'!$A$270,$GR$205^A63,IF(A63='Données projet'!$A$270,'Données projet'!$B$270,GU62+GT63-HC62)))</f>
        <v>126.25721153846153</v>
      </c>
      <c r="GV63" s="17">
        <f>GU63*VLOOKUP('Données projet'!$B$18,Paramètres!$A$1:$I$89,3,0)*VLOOKUP('Données projet'!$B$18,Paramètres!$A$1:$I$89,5,0)</f>
        <v>84.693337499999998</v>
      </c>
      <c r="GW63" s="13">
        <f t="shared" si="51"/>
        <v>23.280894343355815</v>
      </c>
      <c r="GX63" s="20">
        <f t="shared" si="28"/>
        <v>188.05512046051135</v>
      </c>
      <c r="GY63" s="59">
        <f t="shared" si="29"/>
        <v>481.38845379384463</v>
      </c>
      <c r="GZ63" s="59">
        <f ca="1">AVERAGE(OFFSET($GY$3,0,0,'Données projet'!$E$18+1,1))-AVERAGE(OFFSET($H$3,0,0,'Données projet'!$E$18+1,1))</f>
        <v>266.37807768393191</v>
      </c>
      <c r="HA63" s="59">
        <f t="shared" si="52"/>
        <v>168.52019826233425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0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4.4000000000000004</v>
      </c>
      <c r="N64" s="13">
        <f>IF('Données projet'!$A$36&gt;35,N63+M64-V63,IF(A64&lt;'Données projet'!$A$36,$K$205^A64,IF(A64='Données projet'!$A$36,'Données projet'!$B$36,N63+M64-V63)))</f>
        <v>237.39999999999984</v>
      </c>
      <c r="O64" s="13">
        <f>N64*VLOOKUP('Données projet'!$B$9,Paramètres!$A$1:$I$89,3,0)*VLOOKUP('Données projet'!$B$9,Paramètres!$A$1:$I$89,5,0)</f>
        <v>207.39263999999989</v>
      </c>
      <c r="P64" s="13">
        <f t="shared" si="33"/>
        <v>51.365398298247158</v>
      </c>
      <c r="Q64" s="20">
        <f t="shared" si="53"/>
        <v>450.67025003611349</v>
      </c>
      <c r="R64" s="59">
        <f t="shared" si="0"/>
        <v>744.0035833694468</v>
      </c>
      <c r="S64" s="59">
        <f ca="1">AVERAGE(OFFSET($R$3,0,0,'Données projet'!$E$9+1,1))-AVERAGE(OFFSET($H$3,0,0,'Données projet'!$E$9+1,1))</f>
        <v>324.86930206492627</v>
      </c>
      <c r="T64" s="59">
        <f t="shared" si="34"/>
        <v>317.03005098025352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24.894865796619492</v>
      </c>
      <c r="AA64" s="21">
        <f>EXP(-LN(2)/25)*AA63+(1-EXP(-LN(2)/25))/(LN(2)/25)*Calculateur!V64*Calculateur!X64*VLOOKUP('Données projet'!$B$9,Paramètres!$A$1:$I$89,3,0)*0.475*44/12</f>
        <v>12.627509357661028</v>
      </c>
      <c r="AB64" s="21">
        <f>EXP(-LN(2)/2)*AB63+(1-EXP(-LN(2)/2))/(LN(2)/2)*V64*Y64*VLOOKUP('Données projet'!$B$9,Paramètres!$A$1:$I$89,3,0)*0.475*44/12</f>
        <v>0</v>
      </c>
      <c r="AC64" s="22">
        <f t="shared" si="3"/>
        <v>37.522375154280518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8.374198717948719</v>
      </c>
      <c r="AI64" s="13">
        <f>IF('Données projet'!$A$62&gt;35,AI63+AH64-AQ63,IF(A64&lt;'Données projet'!$A$62,$AF$205^A64,IF(A64='Données projet'!$A$62,'Données projet'!$B$62,AI63+AH64-AQ63)))</f>
        <v>203.5400641025642</v>
      </c>
      <c r="AJ64" s="13">
        <f>AI64*VLOOKUP('Données projet'!$B$10,Paramètres!$A$1:$I$89,3,0)*VLOOKUP('Données projet'!$B$10,Paramètres!$A$1:$I$89,5,0)</f>
        <v>193.68872500000009</v>
      </c>
      <c r="AK64" s="13">
        <f t="shared" si="35"/>
        <v>48.354562691860323</v>
      </c>
      <c r="AL64" s="20">
        <f t="shared" si="4"/>
        <v>421.55872606332355</v>
      </c>
      <c r="AM64" s="59">
        <f t="shared" si="5"/>
        <v>714.8920593966568</v>
      </c>
      <c r="AN64" s="59">
        <f ca="1">AVERAGE(OFFSET($AM$3,0,0,'Données projet'!$E$10+1,1))-AVERAGE(OFFSET($H$3,0,0,'Données projet'!$E$10+1,1))</f>
        <v>401.81944956556271</v>
      </c>
      <c r="AO64" s="59">
        <f t="shared" si="36"/>
        <v>292.20785523952651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8.6666666666666661</v>
      </c>
      <c r="BD64" s="12">
        <f>IF('Données projet'!$A$88&gt;35,BD63+BC64-BL63,IF(A64&lt;'Données projet'!$A$88,$BA$205^A64,IF(A64='Données projet'!$A$88,'Données projet'!$B$88,BD63+BC64-BL63)))</f>
        <v>258.66666666666669</v>
      </c>
      <c r="BE64" s="13">
        <f>BD64*VLOOKUP('Données projet'!$B$11,Paramètres!$A$1:$I$89,3,0)*VLOOKUP('Données projet'!$B$11,Paramètres!$A$1:$I$89,5,0)</f>
        <v>201.76000000000002</v>
      </c>
      <c r="BF64" s="13">
        <f t="shared" si="37"/>
        <v>50.130765000424212</v>
      </c>
      <c r="BG64" s="20">
        <f t="shared" si="7"/>
        <v>438.70974904240552</v>
      </c>
      <c r="BH64" s="59">
        <f t="shared" si="8"/>
        <v>732.04308237573878</v>
      </c>
      <c r="BI64" s="59">
        <f ca="1">AVERAGE(OFFSET($BH$3,0,0,'Données projet'!$E$11+1,1))-AVERAGE(OFFSET($H$3,0,0,'Données projet'!$E$11+1,1))</f>
        <v>288.80569134263209</v>
      </c>
      <c r="BJ64" s="59">
        <f t="shared" si="38"/>
        <v>283.48738729114024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23.816132701884431</v>
      </c>
      <c r="BQ64" s="21">
        <f>EXP(-LN(2)/25)*BQ63+(1-EXP(-LN(2)/25))/(LN(2)/25)*Calculateur!BL64*Calculateur!BN64*VLOOKUP('Données projet'!$B$11,Paramètres!$A$1:$I$89,3,0)*0.475*44/12</f>
        <v>24.661304026946294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48.477436728830725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177.39999999999998</v>
      </c>
      <c r="BZ64" s="13">
        <f>BY64*VLOOKUP('Données projet'!$B$12,Paramètres!$A$1:$I$89,3,0)*VLOOKUP('Données projet'!$B$12,Paramètres!$A$1:$I$89,5,0)</f>
        <v>185.41847999999999</v>
      </c>
      <c r="CA64" s="13">
        <f t="shared" si="39"/>
        <v>46.525609399376847</v>
      </c>
      <c r="CB64" s="20">
        <f t="shared" si="10"/>
        <v>403.96928903724796</v>
      </c>
      <c r="CC64" s="59">
        <f t="shared" si="11"/>
        <v>697.30262237058128</v>
      </c>
      <c r="CD64" s="59">
        <f ca="1">AVERAGE(OFFSET($CC$3,0,0,'Données projet'!$E$12+1,1))-AVERAGE(OFFSET($H$3,0,0,'Données projet'!$E$12+1,1))</f>
        <v>352.22281362023102</v>
      </c>
      <c r="CE64" s="59">
        <f t="shared" si="40"/>
        <v>310.2353747925161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6.1173937595306516</v>
      </c>
      <c r="CL64" s="21">
        <f>EXP(-LN(2)/25)*CL63+(1-EXP(-LN(2)/25))/(LN(2)/25)*Calculateur!CG64*Calculateur!CI64*VLOOKUP('Données projet'!$B$12,Paramètres!$A$1:$I$89,3,0)*0.475*44/12</f>
        <v>14.994814021433051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21.112207780963701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5.9431089743589762</v>
      </c>
      <c r="CT64" s="12">
        <f>IF('Données projet'!$A$140&gt;35,CT63+CS64-DB63,IF(A64&lt;'Données projet'!$A$140,$CQ$205^A64,IF(A64='Données projet'!$A$140,'Données projet'!$B$140,CT63+CS64-DB63)))</f>
        <v>132.2003205128205</v>
      </c>
      <c r="CU64" s="17">
        <f>CT64*VLOOKUP('Données projet'!$B$13,Paramètres!$A$1:$I$89,3,0)*VLOOKUP('Données projet'!$B$13,Paramètres!$A$1:$I$89,5,0)</f>
        <v>119.61484999999999</v>
      </c>
      <c r="CV64" s="13">
        <f t="shared" si="41"/>
        <v>31.585152581402479</v>
      </c>
      <c r="CW64" s="20">
        <f t="shared" si="13"/>
        <v>263.34000449594265</v>
      </c>
      <c r="CX64" s="59">
        <f t="shared" si="14"/>
        <v>556.67333782927597</v>
      </c>
      <c r="CY64" s="59">
        <f ca="1">AVERAGE(OFFSET($CX$3,0,0,'Données projet'!$E$13+1,1))-AVERAGE(OFFSET($H$3,0,0,'Données projet'!$E$13+1,1))</f>
        <v>345.49688858037996</v>
      </c>
      <c r="CZ64" s="59">
        <f t="shared" si="42"/>
        <v>213.15872113755023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5.9431089743589762</v>
      </c>
      <c r="DO64" s="12">
        <f>IF('Données projet'!$A$166&gt;35,DO63+DN64-DW63,IF(A64&lt;'Données projet'!$A$166,$DL$205^A64,IF(A64='Données projet'!$A$166,'Données projet'!$B$166,DO63+DN64-DW63)))</f>
        <v>132.2003205128205</v>
      </c>
      <c r="DP64" s="17">
        <f>DO64*VLOOKUP('Données projet'!$B$14,Paramètres!$A$1:$I$89,3,0)*VLOOKUP('Données projet'!$B$14,Paramètres!$A$1:$I$89,5,0)</f>
        <v>134.05112499999998</v>
      </c>
      <c r="DQ64" s="13">
        <f t="shared" si="43"/>
        <v>34.930776988059094</v>
      </c>
      <c r="DR64" s="20">
        <f t="shared" si="16"/>
        <v>294.31014596253618</v>
      </c>
      <c r="DS64" s="59">
        <f t="shared" si="17"/>
        <v>587.6434792958695</v>
      </c>
      <c r="DT64" s="59">
        <f ca="1">AVERAGE(OFFSET($DS$3,0,0,'Données projet'!$E$14+1,1))-AVERAGE(OFFSET($H$3,0,0,'Données projet'!$E$14+1,1))</f>
        <v>382.26108489744581</v>
      </c>
      <c r="DU64" s="59">
        <f t="shared" si="44"/>
        <v>233.89423996158826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9.4423076923076916</v>
      </c>
      <c r="EJ64" s="12">
        <f>IF('Données projet'!$A$192&gt;35,EJ63+EI64-ER63,IF(A64&lt;'Données projet'!$A$192,$EG$205^A64,IF(A64='Données projet'!$A$192,'Données projet'!$B$192,EJ63+EI64-ER63)))</f>
        <v>205.32051282051276</v>
      </c>
      <c r="EK64" s="17">
        <f>EJ64*VLOOKUP('Données projet'!$B$15,Paramètres!$A$1:$I$89,3,0)*VLOOKUP('Données projet'!$B$15,Paramètres!$A$1:$I$89,5,0)</f>
        <v>172.96199999999996</v>
      </c>
      <c r="EL64" s="13">
        <f t="shared" si="45"/>
        <v>43.752744664753898</v>
      </c>
      <c r="EM64" s="20">
        <f t="shared" si="19"/>
        <v>377.44484695777965</v>
      </c>
      <c r="EN64" s="59">
        <f t="shared" si="20"/>
        <v>670.7781802911129</v>
      </c>
      <c r="EO64" s="59">
        <f ca="1">AVERAGE(OFFSET($EN$3,0,0,'Données projet'!$E$15+1,1))-AVERAGE(OFFSET($H$3,0,0,'Données projet'!$E$15+1,1))</f>
        <v>312.48716825299158</v>
      </c>
      <c r="EP64" s="59">
        <f t="shared" si="46"/>
        <v>258.68277822755357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19.216235239005591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19.216235239005591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5.9431089743589762</v>
      </c>
      <c r="FE64" s="12">
        <f>IF('Données projet'!$A$218&gt;35,FE63+FD64-FM63,IF(A64&lt;'Données projet'!$A$218,$FB$205^A64,IF(A64='Données projet'!$A$218,'Données projet'!$B$218,FE63+FD64-FM63)))</f>
        <v>132.2003205128205</v>
      </c>
      <c r="FF64" s="17">
        <f>FE64*VLOOKUP('Données projet'!$B$16,Paramètres!$A$1:$I$89,3,0)*VLOOKUP('Données projet'!$B$16,Paramètres!$A$1:$I$89,5,0)</f>
        <v>142.30042499999996</v>
      </c>
      <c r="FG64" s="13">
        <f t="shared" si="47"/>
        <v>36.823499638367579</v>
      </c>
      <c r="FH64" s="20">
        <f t="shared" si="22"/>
        <v>311.97416874515676</v>
      </c>
      <c r="FI64" s="59">
        <f t="shared" si="23"/>
        <v>605.30750207849007</v>
      </c>
      <c r="FJ64" s="59">
        <f ca="1">AVERAGE(OFFSET($FI$3,0,0,'Données projet'!$E$16+1,1))-AVERAGE(OFFSET($H$3,0,0,'Données projet'!$E$16+1,1))</f>
        <v>403.23110963096246</v>
      </c>
      <c r="FK64" s="59">
        <f t="shared" si="48"/>
        <v>245.72000393124898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5.9431089743589762</v>
      </c>
      <c r="FZ64" s="12">
        <f>IF('Données projet'!$A$244&gt;35,FZ63+FY64-GH63,IF(A64&lt;'Données projet'!$A$244,$FW$205^A64,IF(A64='Données projet'!$A$244,'Données projet'!$B$244,FZ63+FY64-GH63)))</f>
        <v>132.2003205128205</v>
      </c>
      <c r="GA64" s="17">
        <f>FZ64*VLOOKUP('Données projet'!$B$17,Paramètres!$A$1:$I$89,3,0)*VLOOKUP('Données projet'!$B$17,Paramètres!$A$1:$I$89,5,0)</f>
        <v>127.86414999999998</v>
      </c>
      <c r="GB64" s="13">
        <f t="shared" si="49"/>
        <v>33.502352279503945</v>
      </c>
      <c r="GC64" s="20">
        <f t="shared" si="25"/>
        <v>281.04665813680271</v>
      </c>
      <c r="GD64" s="59">
        <f t="shared" si="26"/>
        <v>574.37999147013602</v>
      </c>
      <c r="GE64" s="59">
        <f ca="1">AVERAGE(OFFSET($GD$3,0,0,'Données projet'!$E$17+1,1))-AVERAGE(OFFSET($H$3,0,0,'Données projet'!$E$17+1,1))</f>
        <v>336.2911850338175</v>
      </c>
      <c r="GF64" s="59">
        <f t="shared" si="50"/>
        <v>225.01415116995503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0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5.9431089743589762</v>
      </c>
      <c r="GU64" s="12">
        <f>IF('Données projet'!$A$270&gt;35,GU63+GT64-HC63,IF(A64&lt;'Données projet'!$A$270,$GR$205^A64,IF(A64='Données projet'!$A$270,'Données projet'!$B$270,GU63+GT64-HC63)))</f>
        <v>132.2003205128205</v>
      </c>
      <c r="GV64" s="17">
        <f>GU64*VLOOKUP('Données projet'!$B$18,Paramètres!$A$1:$I$89,3,0)*VLOOKUP('Données projet'!$B$18,Paramètres!$A$1:$I$89,5,0)</f>
        <v>88.679974999999999</v>
      </c>
      <c r="GW64" s="13">
        <f t="shared" si="51"/>
        <v>24.246593499424275</v>
      </c>
      <c r="GX64" s="20">
        <f t="shared" si="28"/>
        <v>196.68044013649728</v>
      </c>
      <c r="GY64" s="59">
        <f t="shared" si="29"/>
        <v>490.0137734698306</v>
      </c>
      <c r="GZ64" s="59">
        <f ca="1">AVERAGE(OFFSET($GY$3,0,0,'Données projet'!$E$18+1,1))-AVERAGE(OFFSET($H$3,0,0,'Données projet'!$E$18+1,1))</f>
        <v>266.37807768393191</v>
      </c>
      <c r="HA64" s="59">
        <f t="shared" si="52"/>
        <v>168.52019826233425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0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4.4000000000000004</v>
      </c>
      <c r="N65" s="13">
        <f>IF('Données projet'!$A$36&gt;35,N64+M65-V64,IF(A65&lt;'Données projet'!$A$36,$K$205^A65,IF(A65='Données projet'!$A$36,'Données projet'!$B$36,N64+M65-V64)))</f>
        <v>241.79999999999984</v>
      </c>
      <c r="O65" s="13">
        <f>N65*VLOOKUP('Données projet'!$B$9,Paramètres!$A$1:$I$89,3,0)*VLOOKUP('Données projet'!$B$9,Paramètres!$A$1:$I$89,5,0)</f>
        <v>211.23647999999989</v>
      </c>
      <c r="P65" s="13">
        <f t="shared" si="33"/>
        <v>52.205695296687686</v>
      </c>
      <c r="Q65" s="20">
        <f t="shared" si="53"/>
        <v>458.82845530839751</v>
      </c>
      <c r="R65" s="59">
        <f t="shared" si="0"/>
        <v>752.16178864173082</v>
      </c>
      <c r="S65" s="59">
        <f ca="1">AVERAGE(OFFSET($R$3,0,0,'Données projet'!$E$9+1,1))-AVERAGE(OFFSET($H$3,0,0,'Données projet'!$E$9+1,1))</f>
        <v>324.86930206492627</v>
      </c>
      <c r="T65" s="59">
        <f t="shared" si="34"/>
        <v>317.03005098025352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24.406692662716587</v>
      </c>
      <c r="AA65" s="21">
        <f>EXP(-LN(2)/25)*AA64+(1-EXP(-LN(2)/25))/(LN(2)/25)*Calculateur!V65*Calculateur!X65*VLOOKUP('Données projet'!$B$9,Paramètres!$A$1:$I$89,3,0)*0.475*44/12</f>
        <v>12.282209450223931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36.688902112940518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8.374198717948719</v>
      </c>
      <c r="AI65" s="13">
        <f>IF('Données projet'!$A$62&gt;35,AI64+AH65-AQ64,IF(A65&lt;'Données projet'!$A$62,$AF$205^A65,IF(A65='Données projet'!$A$62,'Données projet'!$B$62,AI64+AH65-AQ64)))</f>
        <v>211.91426282051293</v>
      </c>
      <c r="AJ65" s="13">
        <f>AI65*VLOOKUP('Données projet'!$B$10,Paramètres!$A$1:$I$89,3,0)*VLOOKUP('Données projet'!$B$10,Paramètres!$A$1:$I$89,5,0)</f>
        <v>201.65761250000011</v>
      </c>
      <c r="AK65" s="13">
        <f t="shared" si="35"/>
        <v>50.108285599246322</v>
      </c>
      <c r="AL65" s="20">
        <f t="shared" si="4"/>
        <v>438.49227252285419</v>
      </c>
      <c r="AM65" s="59">
        <f t="shared" si="5"/>
        <v>731.82560585618751</v>
      </c>
      <c r="AN65" s="59">
        <f ca="1">AVERAGE(OFFSET($AM$3,0,0,'Données projet'!$E$10+1,1))-AVERAGE(OFFSET($H$3,0,0,'Données projet'!$E$10+1,1))</f>
        <v>401.81944956556271</v>
      </c>
      <c r="AO65" s="59">
        <f t="shared" si="36"/>
        <v>292.20785523952651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8.6666666666666661</v>
      </c>
      <c r="BD65" s="12">
        <f>IF('Données projet'!$A$88&gt;35,BD64+BC65-BL64,IF(A65&lt;'Données projet'!$A$88,$BA$205^A65,IF(A65='Données projet'!$A$88,'Données projet'!$B$88,BD64+BC65-BL64)))</f>
        <v>267.33333333333337</v>
      </c>
      <c r="BE65" s="13">
        <f>BD65*VLOOKUP('Données projet'!$B$11,Paramètres!$A$1:$I$89,3,0)*VLOOKUP('Données projet'!$B$11,Paramètres!$A$1:$I$89,5,0)</f>
        <v>208.52000000000004</v>
      </c>
      <c r="BF65" s="13">
        <f t="shared" si="37"/>
        <v>51.612035456318509</v>
      </c>
      <c r="BG65" s="20">
        <f t="shared" si="7"/>
        <v>453.06329508642142</v>
      </c>
      <c r="BH65" s="59">
        <f t="shared" si="8"/>
        <v>746.39662841975473</v>
      </c>
      <c r="BI65" s="59">
        <f ca="1">AVERAGE(OFFSET($BH$3,0,0,'Données projet'!$E$11+1,1))-AVERAGE(OFFSET($H$3,0,0,'Données projet'!$E$11+1,1))</f>
        <v>288.80569134263209</v>
      </c>
      <c r="BJ65" s="59">
        <f t="shared" si="38"/>
        <v>283.48738729114024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23.349112866007061</v>
      </c>
      <c r="BQ65" s="21">
        <f>EXP(-LN(2)/25)*BQ64+(1-EXP(-LN(2)/25))/(LN(2)/25)*Calculateur!BL65*Calculateur!BN65*VLOOKUP('Données projet'!$B$11,Paramètres!$A$1:$I$89,3,0)*0.475*44/12</f>
        <v>23.986939371447832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47.336052237454894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181.79999999999998</v>
      </c>
      <c r="BZ65" s="13">
        <f>BY65*VLOOKUP('Données projet'!$B$12,Paramètres!$A$1:$I$89,3,0)*VLOOKUP('Données projet'!$B$12,Paramètres!$A$1:$I$89,5,0)</f>
        <v>190.01736</v>
      </c>
      <c r="CA65" s="13">
        <f t="shared" si="39"/>
        <v>47.543790880338349</v>
      </c>
      <c r="CB65" s="20">
        <f t="shared" si="10"/>
        <v>413.75233778325588</v>
      </c>
      <c r="CC65" s="59">
        <f t="shared" si="11"/>
        <v>707.0856711165892</v>
      </c>
      <c r="CD65" s="59">
        <f ca="1">AVERAGE(OFFSET($CC$3,0,0,'Données projet'!$E$12+1,1))-AVERAGE(OFFSET($H$3,0,0,'Données projet'!$E$12+1,1))</f>
        <v>352.22281362023102</v>
      </c>
      <c r="CE65" s="59">
        <f t="shared" si="40"/>
        <v>310.2353747925161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5.9974353991480189</v>
      </c>
      <c r="CL65" s="21">
        <f>EXP(-LN(2)/25)*CL64+(1-EXP(-LN(2)/25))/(LN(2)/25)*Calculateur!CG65*Calculateur!CI65*VLOOKUP('Données projet'!$B$12,Paramètres!$A$1:$I$89,3,0)*0.475*44/12</f>
        <v>14.584780043473966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20.582215442621987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5.9431089743589762</v>
      </c>
      <c r="CT65" s="12">
        <f>IF('Données projet'!$A$140&gt;35,CT64+CS65-DB64,IF(A65&lt;'Données projet'!$A$140,$CQ$205^A65,IF(A65='Données projet'!$A$140,'Données projet'!$B$140,CT64+CS65-DB64)))</f>
        <v>138.14342948717947</v>
      </c>
      <c r="CU65" s="17">
        <f>CT65*VLOOKUP('Données projet'!$B$13,Paramètres!$A$1:$I$89,3,0)*VLOOKUP('Données projet'!$B$13,Paramètres!$A$1:$I$89,5,0)</f>
        <v>124.99217499999997</v>
      </c>
      <c r="CV65" s="13">
        <f t="shared" si="41"/>
        <v>32.836565726562206</v>
      </c>
      <c r="CW65" s="20">
        <f t="shared" si="13"/>
        <v>274.88505676542917</v>
      </c>
      <c r="CX65" s="59">
        <f t="shared" si="14"/>
        <v>568.21839009876248</v>
      </c>
      <c r="CY65" s="59">
        <f ca="1">AVERAGE(OFFSET($CX$3,0,0,'Données projet'!$E$13+1,1))-AVERAGE(OFFSET($H$3,0,0,'Données projet'!$E$13+1,1))</f>
        <v>345.49688858037996</v>
      </c>
      <c r="CZ65" s="59">
        <f t="shared" si="42"/>
        <v>213.15872113755023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5.9431089743589762</v>
      </c>
      <c r="DO65" s="12">
        <f>IF('Données projet'!$A$166&gt;35,DO64+DN65-DW64,IF(A65&lt;'Données projet'!$A$166,$DL$205^A65,IF(A65='Données projet'!$A$166,'Données projet'!$B$166,DO64+DN65-DW64)))</f>
        <v>138.14342948717947</v>
      </c>
      <c r="DP65" s="17">
        <f>DO65*VLOOKUP('Données projet'!$B$14,Paramètres!$A$1:$I$89,3,0)*VLOOKUP('Données projet'!$B$14,Paramètres!$A$1:$I$89,5,0)</f>
        <v>140.0774375</v>
      </c>
      <c r="DQ65" s="13">
        <f t="shared" si="43"/>
        <v>36.314744767883546</v>
      </c>
      <c r="DR65" s="20">
        <f t="shared" si="16"/>
        <v>307.2163841165638</v>
      </c>
      <c r="DS65" s="59">
        <f t="shared" si="17"/>
        <v>600.54971744989712</v>
      </c>
      <c r="DT65" s="59">
        <f ca="1">AVERAGE(OFFSET($DS$3,0,0,'Données projet'!$E$14+1,1))-AVERAGE(OFFSET($H$3,0,0,'Données projet'!$E$14+1,1))</f>
        <v>382.26108489744581</v>
      </c>
      <c r="DU65" s="59">
        <f t="shared" si="44"/>
        <v>233.89423996158826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9.4423076923076916</v>
      </c>
      <c r="EJ65" s="12">
        <f>IF('Données projet'!$A$192&gt;35,EJ64+EI65-ER64,IF(A65&lt;'Données projet'!$A$192,$EG$205^A65,IF(A65='Données projet'!$A$192,'Données projet'!$B$192,EJ64+EI65-ER64)))</f>
        <v>214.76282051282044</v>
      </c>
      <c r="EK65" s="17">
        <f>EJ65*VLOOKUP('Données projet'!$B$15,Paramètres!$A$1:$I$89,3,0)*VLOOKUP('Données projet'!$B$15,Paramètres!$A$1:$I$89,5,0)</f>
        <v>180.91619999999995</v>
      </c>
      <c r="EL65" s="13">
        <f t="shared" si="45"/>
        <v>45.525963516202388</v>
      </c>
      <c r="EM65" s="20">
        <f t="shared" si="19"/>
        <v>394.38676812405242</v>
      </c>
      <c r="EN65" s="59">
        <f t="shared" si="20"/>
        <v>687.72010145738568</v>
      </c>
      <c r="EO65" s="59">
        <f ca="1">AVERAGE(OFFSET($EN$3,0,0,'Données projet'!$E$15+1,1))-AVERAGE(OFFSET($H$3,0,0,'Données projet'!$E$15+1,1))</f>
        <v>312.48716825299158</v>
      </c>
      <c r="EP65" s="59">
        <f t="shared" si="46"/>
        <v>258.68277822755357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18.839416586714862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18.839416586714862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5.9431089743589762</v>
      </c>
      <c r="FE65" s="12">
        <f>IF('Données projet'!$A$218&gt;35,FE64+FD65-FM64,IF(A65&lt;'Données projet'!$A$218,$FB$205^A65,IF(A65='Données projet'!$A$218,'Données projet'!$B$218,FE64+FD65-FM64)))</f>
        <v>138.14342948717947</v>
      </c>
      <c r="FF65" s="17">
        <f>FE65*VLOOKUP('Données projet'!$B$16,Paramètres!$A$1:$I$89,3,0)*VLOOKUP('Données projet'!$B$16,Paramètres!$A$1:$I$89,5,0)</f>
        <v>148.69758749999997</v>
      </c>
      <c r="FG65" s="13">
        <f t="shared" si="47"/>
        <v>38.282457652880126</v>
      </c>
      <c r="FH65" s="20">
        <f t="shared" si="22"/>
        <v>325.6569119745995</v>
      </c>
      <c r="FI65" s="59">
        <f t="shared" si="23"/>
        <v>618.99024530793281</v>
      </c>
      <c r="FJ65" s="59">
        <f ca="1">AVERAGE(OFFSET($FI$3,0,0,'Données projet'!$E$16+1,1))-AVERAGE(OFFSET($H$3,0,0,'Données projet'!$E$16+1,1))</f>
        <v>403.23110963096246</v>
      </c>
      <c r="FK65" s="59">
        <f t="shared" si="48"/>
        <v>245.72000393124898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5.9431089743589762</v>
      </c>
      <c r="FZ65" s="12">
        <f>IF('Données projet'!$A$244&gt;35,FZ64+FY65-GH64,IF(A65&lt;'Données projet'!$A$244,$FW$205^A65,IF(A65='Données projet'!$A$244,'Données projet'!$B$244,FZ64+FY65-GH64)))</f>
        <v>138.14342948717947</v>
      </c>
      <c r="GA65" s="17">
        <f>FZ65*VLOOKUP('Données projet'!$B$17,Paramètres!$A$1:$I$89,3,0)*VLOOKUP('Données projet'!$B$17,Paramètres!$A$1:$I$89,5,0)</f>
        <v>133.612325</v>
      </c>
      <c r="GB65" s="13">
        <f t="shared" si="49"/>
        <v>34.829725447269773</v>
      </c>
      <c r="GC65" s="20">
        <f t="shared" si="25"/>
        <v>293.36990452899482</v>
      </c>
      <c r="GD65" s="59">
        <f t="shared" si="26"/>
        <v>586.70323786232814</v>
      </c>
      <c r="GE65" s="59">
        <f ca="1">AVERAGE(OFFSET($GD$3,0,0,'Données projet'!$E$17+1,1))-AVERAGE(OFFSET($H$3,0,0,'Données projet'!$E$17+1,1))</f>
        <v>336.2911850338175</v>
      </c>
      <c r="GF65" s="59">
        <f t="shared" si="50"/>
        <v>225.01415116995503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0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5.9431089743589762</v>
      </c>
      <c r="GU65" s="12">
        <f>IF('Données projet'!$A$270&gt;35,GU64+GT65-HC64,IF(A65&lt;'Données projet'!$A$270,$GR$205^A65,IF(A65='Données projet'!$A$270,'Données projet'!$B$270,GU64+GT65-HC64)))</f>
        <v>138.14342948717947</v>
      </c>
      <c r="GV65" s="17">
        <f>GU65*VLOOKUP('Données projet'!$B$18,Paramètres!$A$1:$I$89,3,0)*VLOOKUP('Données projet'!$B$18,Paramètres!$A$1:$I$89,5,0)</f>
        <v>92.666612499999985</v>
      </c>
      <c r="GW65" s="13">
        <f t="shared" si="51"/>
        <v>25.207250749767582</v>
      </c>
      <c r="GX65" s="20">
        <f t="shared" si="28"/>
        <v>205.29697849334516</v>
      </c>
      <c r="GY65" s="59">
        <f t="shared" si="29"/>
        <v>498.63031182667851</v>
      </c>
      <c r="GZ65" s="59">
        <f ca="1">AVERAGE(OFFSET($GY$3,0,0,'Données projet'!$E$18+1,1))-AVERAGE(OFFSET($H$3,0,0,'Données projet'!$E$18+1,1))</f>
        <v>266.37807768393191</v>
      </c>
      <c r="HA65" s="59">
        <f t="shared" si="52"/>
        <v>168.52019826233425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0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4.4000000000000004</v>
      </c>
      <c r="N66" s="13">
        <f>IF('Données projet'!$A$36&gt;35,N65+M66-V65,IF(A66&lt;'Données projet'!$A$36,$K$205^A66,IF(A66='Données projet'!$A$36,'Données projet'!$B$36,N65+M66-V65)))</f>
        <v>246.19999999999985</v>
      </c>
      <c r="O66" s="13">
        <f>N66*VLOOKUP('Données projet'!$B$9,Paramètres!$A$1:$I$89,3,0)*VLOOKUP('Données projet'!$B$9,Paramètres!$A$1:$I$89,5,0)</f>
        <v>215.08031999999989</v>
      </c>
      <c r="P66" s="13">
        <f t="shared" si="33"/>
        <v>53.044214230061456</v>
      </c>
      <c r="Q66" s="20">
        <f t="shared" si="53"/>
        <v>466.98356378402349</v>
      </c>
      <c r="R66" s="59">
        <f t="shared" si="0"/>
        <v>760.3168971173568</v>
      </c>
      <c r="S66" s="59">
        <f ca="1">AVERAGE(OFFSET($R$3,0,0,'Données projet'!$E$9+1,1))-AVERAGE(OFFSET($H$3,0,0,'Données projet'!$E$9+1,1))</f>
        <v>324.86930206492627</v>
      </c>
      <c r="T66" s="59">
        <f t="shared" si="34"/>
        <v>317.03005098025352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23.928092306213308</v>
      </c>
      <c r="AA66" s="21">
        <f>EXP(-LN(2)/25)*AA65+(1-EXP(-LN(2)/25))/(LN(2)/25)*Calculateur!V66*Calculateur!X66*VLOOKUP('Données projet'!$B$9,Paramètres!$A$1:$I$89,3,0)*0.475*44/12</f>
        <v>11.946351786914233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35.874444093127543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220.28846153846152</v>
      </c>
      <c r="AG66" s="12">
        <f>VLOOKUP(A66,'Données projet'!$A$61:$I$81,9,0)</f>
        <v>8.374198717948719</v>
      </c>
      <c r="AH66" s="12">
        <f t="array" ref="AH66">INDEX(AG:AG,MIN(IF(ISNUMBER(AG66:AG262),ROW(AG66:AG262),"")))</f>
        <v>8.374198717948719</v>
      </c>
      <c r="AI66" s="13">
        <f>IF('Données projet'!$A$62&gt;35,AI65+AH66-AQ65,IF(A66&lt;'Données projet'!$A$62,$AF$205^A66,IF(A66='Données projet'!$A$62,'Données projet'!$B$62,AI65+AH66-AQ65)))</f>
        <v>220.28846153846166</v>
      </c>
      <c r="AJ66" s="13">
        <f>AI66*VLOOKUP('Données projet'!$B$10,Paramètres!$A$1:$I$89,3,0)*VLOOKUP('Données projet'!$B$10,Paramètres!$A$1:$I$89,5,0)</f>
        <v>209.62650000000011</v>
      </c>
      <c r="AK66" s="13">
        <f t="shared" si="35"/>
        <v>51.853958096949611</v>
      </c>
      <c r="AL66" s="20">
        <f t="shared" si="4"/>
        <v>455.41179785218742</v>
      </c>
      <c r="AM66" s="59">
        <f t="shared" si="5"/>
        <v>748.74513118552068</v>
      </c>
      <c r="AN66" s="59">
        <f ca="1">AVERAGE(OFFSET($AM$3,0,0,'Données projet'!$E$10+1,1))-AVERAGE(OFFSET($H$3,0,0,'Données projet'!$E$10+1,1))</f>
        <v>401.81944956556271</v>
      </c>
      <c r="AO66" s="59">
        <f t="shared" si="36"/>
        <v>292.20785523952651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41.724358974358978</v>
      </c>
      <c r="AR66" s="16">
        <f>IF(ISNA(VLOOKUP(A66,'Données projet'!$A$61:$I$81,5,0)),0%,VLOOKUP(A66,'Données projet'!$A$61:$I$81,5,0)*VLOOKUP('Données projet'!$B$10,Paramètres!$A$1:$I$89,7,0))</f>
        <v>0.30099999999999999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13.211669852567669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13.211669852567669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8.6666666666666661</v>
      </c>
      <c r="BD66" s="12">
        <f>IF('Données projet'!$A$88&gt;35,BD65+BC66-BL65,IF(A66&lt;'Données projet'!$A$88,$BA$205^A66,IF(A66='Données projet'!$A$88,'Données projet'!$B$88,BD65+BC66-BL65)))</f>
        <v>276.00000000000006</v>
      </c>
      <c r="BE66" s="13">
        <f>BD66*VLOOKUP('Données projet'!$B$11,Paramètres!$A$1:$I$89,3,0)*VLOOKUP('Données projet'!$B$11,Paramètres!$A$1:$I$89,5,0)</f>
        <v>215.28000000000006</v>
      </c>
      <c r="BF66" s="13">
        <f t="shared" si="37"/>
        <v>53.087725740853138</v>
      </c>
      <c r="BG66" s="20">
        <f t="shared" si="7"/>
        <v>467.40712233198593</v>
      </c>
      <c r="BH66" s="59">
        <f t="shared" si="8"/>
        <v>760.74045566531925</v>
      </c>
      <c r="BI66" s="59">
        <f ca="1">AVERAGE(OFFSET($BH$3,0,0,'Données projet'!$E$11+1,1))-AVERAGE(OFFSET($H$3,0,0,'Données projet'!$E$11+1,1))</f>
        <v>288.80569134263209</v>
      </c>
      <c r="BJ66" s="59">
        <f t="shared" si="38"/>
        <v>283.48738729114024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22.891251004257274</v>
      </c>
      <c r="BQ66" s="21">
        <f>EXP(-LN(2)/25)*BQ65+(1-EXP(-LN(2)/25))/(LN(2)/25)*Calculateur!BL66*Calculateur!BN66*VLOOKUP('Données projet'!$B$11,Paramètres!$A$1:$I$89,3,0)*0.475*44/12</f>
        <v>23.331015252917272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46.222266257174546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186.2</v>
      </c>
      <c r="BZ66" s="13">
        <f>BY66*VLOOKUP('Données projet'!$B$12,Paramètres!$A$1:$I$89,3,0)*VLOOKUP('Données projet'!$B$12,Paramètres!$A$1:$I$89,5,0)</f>
        <v>194.61624</v>
      </c>
      <c r="CA66" s="13">
        <f t="shared" si="39"/>
        <v>48.559107720402245</v>
      </c>
      <c r="CB66" s="20">
        <f t="shared" si="10"/>
        <v>423.53039727970054</v>
      </c>
      <c r="CC66" s="59">
        <f t="shared" si="11"/>
        <v>716.86373061303379</v>
      </c>
      <c r="CD66" s="59">
        <f ca="1">AVERAGE(OFFSET($CC$3,0,0,'Données projet'!$E$12+1,1))-AVERAGE(OFFSET($H$3,0,0,'Données projet'!$E$12+1,1))</f>
        <v>352.22281362023102</v>
      </c>
      <c r="CE66" s="59">
        <f t="shared" si="40"/>
        <v>310.2353747925161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5.8798293490451146</v>
      </c>
      <c r="CL66" s="21">
        <f>EXP(-LN(2)/25)*CL65+(1-EXP(-LN(2)/25))/(LN(2)/25)*Calculateur!CG66*Calculateur!CI66*VLOOKUP('Données projet'!$B$12,Paramètres!$A$1:$I$89,3,0)*0.475*44/12</f>
        <v>14.185958466204921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20.065787815250037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5.9431089743589762</v>
      </c>
      <c r="CT66" s="12">
        <f>IF('Données projet'!$A$140&gt;35,CT65+CS66-DB65,IF(A66&lt;'Données projet'!$A$140,$CQ$205^A66,IF(A66='Données projet'!$A$140,'Données projet'!$B$140,CT65+CS66-DB65)))</f>
        <v>144.08653846153845</v>
      </c>
      <c r="CU66" s="17">
        <f>CT66*VLOOKUP('Données projet'!$B$13,Paramètres!$A$1:$I$89,3,0)*VLOOKUP('Données projet'!$B$13,Paramètres!$A$1:$I$89,5,0)</f>
        <v>130.36949999999999</v>
      </c>
      <c r="CV66" s="13">
        <f t="shared" si="41"/>
        <v>34.081725824623319</v>
      </c>
      <c r="CW66" s="20">
        <f t="shared" si="13"/>
        <v>286.41921831121891</v>
      </c>
      <c r="CX66" s="59">
        <f t="shared" si="14"/>
        <v>579.75255164455223</v>
      </c>
      <c r="CY66" s="59">
        <f ca="1">AVERAGE(OFFSET($CX$3,0,0,'Données projet'!$E$13+1,1))-AVERAGE(OFFSET($H$3,0,0,'Données projet'!$E$13+1,1))</f>
        <v>345.49688858037996</v>
      </c>
      <c r="CZ66" s="59">
        <f t="shared" si="42"/>
        <v>213.15872113755023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5.9431089743589762</v>
      </c>
      <c r="DO66" s="12">
        <f>IF('Données projet'!$A$166&gt;35,DO65+DN66-DW65,IF(A66&lt;'Données projet'!$A$166,$DL$205^A66,IF(A66='Données projet'!$A$166,'Données projet'!$B$166,DO65+DN66-DW65)))</f>
        <v>144.08653846153845</v>
      </c>
      <c r="DP66" s="17">
        <f>DO66*VLOOKUP('Données projet'!$B$14,Paramètres!$A$1:$I$89,3,0)*VLOOKUP('Données projet'!$B$14,Paramètres!$A$1:$I$89,5,0)</f>
        <v>146.10374999999999</v>
      </c>
      <c r="DQ66" s="13">
        <f t="shared" si="43"/>
        <v>37.691797153104957</v>
      </c>
      <c r="DR66" s="20">
        <f t="shared" si="16"/>
        <v>320.11057795832443</v>
      </c>
      <c r="DS66" s="59">
        <f t="shared" si="17"/>
        <v>613.44391129165774</v>
      </c>
      <c r="DT66" s="59">
        <f ca="1">AVERAGE(OFFSET($DS$3,0,0,'Données projet'!$E$14+1,1))-AVERAGE(OFFSET($H$3,0,0,'Données projet'!$E$14+1,1))</f>
        <v>382.26108489744581</v>
      </c>
      <c r="DU66" s="59">
        <f t="shared" si="44"/>
        <v>233.89423996158826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9.4423076923076916</v>
      </c>
      <c r="EJ66" s="12">
        <f>IF('Données projet'!$A$192&gt;35,EJ65+EI66-ER65,IF(A66&lt;'Données projet'!$A$192,$EG$205^A66,IF(A66='Données projet'!$A$192,'Données projet'!$B$192,EJ65+EI66-ER65)))</f>
        <v>224.20512820512812</v>
      </c>
      <c r="EK66" s="17">
        <f>EJ66*VLOOKUP('Données projet'!$B$15,Paramètres!$A$1:$I$89,3,0)*VLOOKUP('Données projet'!$B$15,Paramètres!$A$1:$I$89,5,0)</f>
        <v>188.87039999999993</v>
      </c>
      <c r="EL66" s="13">
        <f t="shared" si="45"/>
        <v>47.290127724640193</v>
      </c>
      <c r="EM66" s="20">
        <f t="shared" si="19"/>
        <v>411.31291912041485</v>
      </c>
      <c r="EN66" s="59">
        <f t="shared" si="20"/>
        <v>704.64625245374816</v>
      </c>
      <c r="EO66" s="59">
        <f ca="1">AVERAGE(OFFSET($EN$3,0,0,'Données projet'!$E$15+1,1))-AVERAGE(OFFSET($H$3,0,0,'Données projet'!$E$15+1,1))</f>
        <v>312.48716825299158</v>
      </c>
      <c r="EP66" s="59">
        <f t="shared" si="46"/>
        <v>258.68277822755357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18.469987118358869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18.469987118358869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5.9431089743589762</v>
      </c>
      <c r="FE66" s="12">
        <f>IF('Données projet'!$A$218&gt;35,FE65+FD66-FM65,IF(A66&lt;'Données projet'!$A$218,$FB$205^A66,IF(A66='Données projet'!$A$218,'Données projet'!$B$218,FE65+FD66-FM65)))</f>
        <v>144.08653846153845</v>
      </c>
      <c r="FF66" s="17">
        <f>FE66*VLOOKUP('Données projet'!$B$16,Paramètres!$A$1:$I$89,3,0)*VLOOKUP('Données projet'!$B$16,Paramètres!$A$1:$I$89,5,0)</f>
        <v>155.09474999999998</v>
      </c>
      <c r="FG66" s="13">
        <f t="shared" si="47"/>
        <v>39.734125562430116</v>
      </c>
      <c r="FH66" s="20">
        <f t="shared" si="22"/>
        <v>339.3269582712324</v>
      </c>
      <c r="FI66" s="59">
        <f t="shared" si="23"/>
        <v>632.66029160456571</v>
      </c>
      <c r="FJ66" s="59">
        <f ca="1">AVERAGE(OFFSET($FI$3,0,0,'Données projet'!$E$16+1,1))-AVERAGE(OFFSET($H$3,0,0,'Données projet'!$E$16+1,1))</f>
        <v>403.23110963096246</v>
      </c>
      <c r="FK66" s="59">
        <f t="shared" si="48"/>
        <v>245.72000393124898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5.9431089743589762</v>
      </c>
      <c r="FZ66" s="12">
        <f>IF('Données projet'!$A$244&gt;35,FZ65+FY66-GH65,IF(A66&lt;'Données projet'!$A$244,$FW$205^A66,IF(A66='Données projet'!$A$244,'Données projet'!$B$244,FZ65+FY66-GH65)))</f>
        <v>144.08653846153845</v>
      </c>
      <c r="GA66" s="17">
        <f>FZ66*VLOOKUP('Données projet'!$B$17,Paramètres!$A$1:$I$89,3,0)*VLOOKUP('Données projet'!$B$17,Paramètres!$A$1:$I$89,5,0)</f>
        <v>139.3605</v>
      </c>
      <c r="GB66" s="13">
        <f t="shared" si="49"/>
        <v>36.150466011752201</v>
      </c>
      <c r="GC66" s="20">
        <f t="shared" si="25"/>
        <v>305.68159913713504</v>
      </c>
      <c r="GD66" s="59">
        <f t="shared" si="26"/>
        <v>599.01493247046835</v>
      </c>
      <c r="GE66" s="59">
        <f ca="1">AVERAGE(OFFSET($GD$3,0,0,'Données projet'!$E$17+1,1))-AVERAGE(OFFSET($H$3,0,0,'Données projet'!$E$17+1,1))</f>
        <v>336.2911850338175</v>
      </c>
      <c r="GF66" s="59">
        <f t="shared" si="50"/>
        <v>225.01415116995503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0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5.9431089743589762</v>
      </c>
      <c r="GU66" s="12">
        <f>IF('Données projet'!$A$270&gt;35,GU65+GT66-HC65,IF(A66&lt;'Données projet'!$A$270,$GR$205^A66,IF(A66='Données projet'!$A$270,'Données projet'!$B$270,GU65+GT66-HC65)))</f>
        <v>144.08653846153845</v>
      </c>
      <c r="GV66" s="17">
        <f>GU66*VLOOKUP('Données projet'!$B$18,Paramètres!$A$1:$I$89,3,0)*VLOOKUP('Données projet'!$B$18,Paramètres!$A$1:$I$89,5,0)</f>
        <v>96.65325</v>
      </c>
      <c r="GW66" s="13">
        <f t="shared" si="51"/>
        <v>26.163107798790282</v>
      </c>
      <c r="GX66" s="20">
        <f t="shared" si="28"/>
        <v>213.90515649955975</v>
      </c>
      <c r="GY66" s="59">
        <f t="shared" si="29"/>
        <v>507.23848983289304</v>
      </c>
      <c r="GZ66" s="59">
        <f ca="1">AVERAGE(OFFSET($GY$3,0,0,'Données projet'!$E$18+1,1))-AVERAGE(OFFSET($H$3,0,0,'Données projet'!$E$18+1,1))</f>
        <v>266.37807768393191</v>
      </c>
      <c r="HA66" s="59">
        <f t="shared" si="52"/>
        <v>168.52019826233425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0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4.4000000000000004</v>
      </c>
      <c r="N67" s="13">
        <f>IF('Données projet'!$A$36&gt;35,N66+M67-V66,IF(A67&lt;'Données projet'!$A$36,$K$205^A67,IF(A67='Données projet'!$A$36,'Données projet'!$B$36,N66+M67-V66)))</f>
        <v>250.59999999999985</v>
      </c>
      <c r="O67" s="13">
        <f>N67*VLOOKUP('Données projet'!$B$9,Paramètres!$A$1:$I$89,3,0)*VLOOKUP('Données projet'!$B$9,Paramètres!$A$1:$I$89,5,0)</f>
        <v>218.92415999999989</v>
      </c>
      <c r="P67" s="13">
        <f t="shared" si="33"/>
        <v>53.880990541091087</v>
      </c>
      <c r="Q67" s="20">
        <f t="shared" ref="Q67:Q98" si="54">(O67+P67)*0.475*44/12</f>
        <v>475.13563719240005</v>
      </c>
      <c r="R67" s="59">
        <f t="shared" ref="R67:R130" si="55">Q67+(I67+J67)*44/12</f>
        <v>768.46897052573331</v>
      </c>
      <c r="S67" s="59">
        <f ca="1">AVERAGE(OFFSET($R$3,0,0,'Données projet'!$E$9+1,1))-AVERAGE(OFFSET($H$3,0,0,'Données projet'!$E$9+1,1))</f>
        <v>324.86930206492627</v>
      </c>
      <c r="T67" s="59">
        <f t="shared" si="34"/>
        <v>317.03005098025352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23.458877010783667</v>
      </c>
      <c r="AA67" s="21">
        <f>EXP(-LN(2)/25)*AA66+(1-EXP(-LN(2)/25))/(LN(2)/25)*Calculateur!V67*Calculateur!X67*VLOOKUP('Données projet'!$B$9,Paramètres!$A$1:$I$89,3,0)*0.475*44/12</f>
        <v>11.619678169069728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35.078555179853396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8.1001602564102626</v>
      </c>
      <c r="AI67" s="13">
        <f>IF('Données projet'!$A$62&gt;35,AI66+AH67-AQ66,IF(A67&lt;'Données projet'!$A$62,$AF$205^A67,IF(A67='Données projet'!$A$62,'Données projet'!$B$62,AI66+AH67-AQ66)))</f>
        <v>186.66426282051296</v>
      </c>
      <c r="AJ67" s="13">
        <f>AI67*VLOOKUP('Données projet'!$B$10,Paramètres!$A$1:$I$89,3,0)*VLOOKUP('Données projet'!$B$10,Paramètres!$A$1:$I$89,5,0)</f>
        <v>177.62971250000012</v>
      </c>
      <c r="AK67" s="13">
        <f t="shared" si="35"/>
        <v>44.794434719638716</v>
      </c>
      <c r="AL67" s="20">
        <f t="shared" si="4"/>
        <v>387.38872307420428</v>
      </c>
      <c r="AM67" s="59">
        <f t="shared" si="5"/>
        <v>680.72205640753759</v>
      </c>
      <c r="AN67" s="59">
        <f ca="1">AVERAGE(OFFSET($AM$3,0,0,'Données projet'!$E$10+1,1))-AVERAGE(OFFSET($H$3,0,0,'Données projet'!$E$10+1,1))</f>
        <v>401.81944956556271</v>
      </c>
      <c r="AO67" s="59">
        <f t="shared" si="36"/>
        <v>292.20785523952651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12.952597065081733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12.952597065081733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8.6666666666666661</v>
      </c>
      <c r="BD67" s="12">
        <f>IF('Données projet'!$A$88&gt;35,BD66+BC67-BL66,IF(A67&lt;'Données projet'!$A$88,$BA$205^A67,IF(A67='Données projet'!$A$88,'Données projet'!$B$88,BD66+BC67-BL66)))</f>
        <v>284.66666666666674</v>
      </c>
      <c r="BE67" s="13">
        <f>BD67*VLOOKUP('Données projet'!$B$11,Paramètres!$A$1:$I$89,3,0)*VLOOKUP('Données projet'!$B$11,Paramètres!$A$1:$I$89,5,0)</f>
        <v>222.04000000000008</v>
      </c>
      <c r="BF67" s="13">
        <f t="shared" si="37"/>
        <v>54.558031180803596</v>
      </c>
      <c r="BG67" s="20">
        <f t="shared" si="7"/>
        <v>481.74157097323308</v>
      </c>
      <c r="BH67" s="59">
        <f t="shared" si="8"/>
        <v>775.0749043065664</v>
      </c>
      <c r="BI67" s="59">
        <f ca="1">AVERAGE(OFFSET($BH$3,0,0,'Données projet'!$E$11+1,1))-AVERAGE(OFFSET($H$3,0,0,'Données projet'!$E$11+1,1))</f>
        <v>288.80569134263209</v>
      </c>
      <c r="BJ67" s="59">
        <f t="shared" si="38"/>
        <v>283.48738729114024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22.442367534348239</v>
      </c>
      <c r="BQ67" s="21">
        <f>EXP(-LN(2)/25)*BQ66+(1-EXP(-LN(2)/25))/(LN(2)/25)*Calculateur!BL67*Calculateur!BN67*VLOOKUP('Données projet'!$B$11,Paramètres!$A$1:$I$89,3,0)*0.475*44/12</f>
        <v>22.693027413901479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45.135394948249719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190.6</v>
      </c>
      <c r="BZ67" s="13">
        <f>BY67*VLOOKUP('Données projet'!$B$12,Paramètres!$A$1:$I$89,3,0)*VLOOKUP('Données projet'!$B$12,Paramètres!$A$1:$I$89,5,0)</f>
        <v>199.21512000000001</v>
      </c>
      <c r="CA67" s="13">
        <f t="shared" si="39"/>
        <v>49.571635402297147</v>
      </c>
      <c r="CB67" s="20">
        <f t="shared" si="10"/>
        <v>433.30359899233423</v>
      </c>
      <c r="CC67" s="59">
        <f t="shared" si="11"/>
        <v>726.63693232566754</v>
      </c>
      <c r="CD67" s="59">
        <f ca="1">AVERAGE(OFFSET($CC$3,0,0,'Données projet'!$E$12+1,1))-AVERAGE(OFFSET($H$3,0,0,'Données projet'!$E$12+1,1))</f>
        <v>352.22281362023102</v>
      </c>
      <c r="CE67" s="59">
        <f t="shared" si="40"/>
        <v>310.2353747925161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5.7645294818521213</v>
      </c>
      <c r="CL67" s="21">
        <f>EXP(-LN(2)/25)*CL66+(1-EXP(-LN(2)/25))/(LN(2)/25)*Calculateur!CG67*Calculateur!CI67*VLOOKUP('Données projet'!$B$12,Paramètres!$A$1:$I$89,3,0)*0.475*44/12</f>
        <v>13.798042685939414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19.562572167791537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5.9431089743589762</v>
      </c>
      <c r="CT67" s="12">
        <f>IF('Données projet'!$A$140&gt;35,CT66+CS67-DB66,IF(A67&lt;'Données projet'!$A$140,$CQ$205^A67,IF(A67='Données projet'!$A$140,'Données projet'!$B$140,CT66+CS67-DB66)))</f>
        <v>150.02964743589743</v>
      </c>
      <c r="CU67" s="17">
        <f>CT67*VLOOKUP('Données projet'!$B$13,Paramètres!$A$1:$I$89,3,0)*VLOOKUP('Données projet'!$B$13,Paramètres!$A$1:$I$89,5,0)</f>
        <v>135.746825</v>
      </c>
      <c r="CV67" s="13">
        <f t="shared" si="41"/>
        <v>35.320920291530086</v>
      </c>
      <c r="CW67" s="20">
        <f t="shared" si="13"/>
        <v>297.94298971608151</v>
      </c>
      <c r="CX67" s="59">
        <f t="shared" si="14"/>
        <v>591.27632304941483</v>
      </c>
      <c r="CY67" s="59">
        <f ca="1">AVERAGE(OFFSET($CX$3,0,0,'Données projet'!$E$13+1,1))-AVERAGE(OFFSET($H$3,0,0,'Données projet'!$E$13+1,1))</f>
        <v>345.49688858037996</v>
      </c>
      <c r="CZ67" s="59">
        <f t="shared" si="42"/>
        <v>213.15872113755023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5.9431089743589762</v>
      </c>
      <c r="DO67" s="12">
        <f>IF('Données projet'!$A$166&gt;35,DO66+DN67-DW66,IF(A67&lt;'Données projet'!$A$166,$DL$205^A67,IF(A67='Données projet'!$A$166,'Données projet'!$B$166,DO66+DN67-DW66)))</f>
        <v>150.02964743589743</v>
      </c>
      <c r="DP67" s="17">
        <f>DO67*VLOOKUP('Données projet'!$B$14,Paramètres!$A$1:$I$89,3,0)*VLOOKUP('Données projet'!$B$14,Paramètres!$A$1:$I$89,5,0)</f>
        <v>152.13006250000001</v>
      </c>
      <c r="DQ67" s="13">
        <f t="shared" si="43"/>
        <v>39.06225200390233</v>
      </c>
      <c r="DR67" s="20">
        <f t="shared" si="16"/>
        <v>332.99328109429655</v>
      </c>
      <c r="DS67" s="59">
        <f t="shared" si="17"/>
        <v>626.32661442762992</v>
      </c>
      <c r="DT67" s="59">
        <f ca="1">AVERAGE(OFFSET($DS$3,0,0,'Données projet'!$E$14+1,1))-AVERAGE(OFFSET($H$3,0,0,'Données projet'!$E$14+1,1))</f>
        <v>382.26108489744581</v>
      </c>
      <c r="DU67" s="59">
        <f t="shared" si="44"/>
        <v>233.89423996158826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9.4423076923076916</v>
      </c>
      <c r="EJ67" s="12">
        <f>IF('Données projet'!$A$192&gt;35,EJ66+EI67-ER66,IF(A67&lt;'Données projet'!$A$192,$EG$205^A67,IF(A67='Données projet'!$A$192,'Données projet'!$B$192,EJ66+EI67-ER66)))</f>
        <v>233.6474358974358</v>
      </c>
      <c r="EK67" s="17">
        <f>EJ67*VLOOKUP('Données projet'!$B$15,Paramètres!$A$1:$I$89,3,0)*VLOOKUP('Données projet'!$B$15,Paramètres!$A$1:$I$89,5,0)</f>
        <v>196.82459999999995</v>
      </c>
      <c r="EL67" s="13">
        <f t="shared" si="45"/>
        <v>49.045662224272554</v>
      </c>
      <c r="EM67" s="20">
        <f t="shared" si="19"/>
        <v>428.22404004060792</v>
      </c>
      <c r="EN67" s="59">
        <f t="shared" si="20"/>
        <v>721.55737337394123</v>
      </c>
      <c r="EO67" s="59">
        <f ca="1">AVERAGE(OFFSET($EN$3,0,0,'Données projet'!$E$15+1,1))-AVERAGE(OFFSET($H$3,0,0,'Données projet'!$E$15+1,1))</f>
        <v>312.48716825299158</v>
      </c>
      <c r="EP67" s="59">
        <f t="shared" si="46"/>
        <v>258.68277822755357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18.10780193654761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18.10780193654761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5.9431089743589762</v>
      </c>
      <c r="FE67" s="12">
        <f>IF('Données projet'!$A$218&gt;35,FE66+FD67-FM66,IF(A67&lt;'Données projet'!$A$218,$FB$205^A67,IF(A67='Données projet'!$A$218,'Données projet'!$B$218,FE66+FD67-FM66)))</f>
        <v>150.02964743589743</v>
      </c>
      <c r="FF67" s="17">
        <f>FE67*VLOOKUP('Données projet'!$B$16,Paramètres!$A$1:$I$89,3,0)*VLOOKUP('Données projet'!$B$16,Paramètres!$A$1:$I$89,5,0)</f>
        <v>161.49191249999998</v>
      </c>
      <c r="FG67" s="13">
        <f t="shared" si="47"/>
        <v>41.1788384504368</v>
      </c>
      <c r="FH67" s="20">
        <f t="shared" si="22"/>
        <v>352.98489123867739</v>
      </c>
      <c r="FI67" s="59">
        <f t="shared" si="23"/>
        <v>646.31822457201065</v>
      </c>
      <c r="FJ67" s="59">
        <f ca="1">AVERAGE(OFFSET($FI$3,0,0,'Données projet'!$E$16+1,1))-AVERAGE(OFFSET($H$3,0,0,'Données projet'!$E$16+1,1))</f>
        <v>403.23110963096246</v>
      </c>
      <c r="FK67" s="59">
        <f t="shared" si="48"/>
        <v>245.72000393124898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5.9431089743589762</v>
      </c>
      <c r="FZ67" s="12">
        <f>IF('Données projet'!$A$244&gt;35,FZ66+FY67-GH66,IF(A67&lt;'Données projet'!$A$244,$FW$205^A67,IF(A67='Données projet'!$A$244,'Données projet'!$B$244,FZ66+FY67-GH66)))</f>
        <v>150.02964743589743</v>
      </c>
      <c r="GA67" s="17">
        <f>FZ67*VLOOKUP('Données projet'!$B$17,Paramètres!$A$1:$I$89,3,0)*VLOOKUP('Données projet'!$B$17,Paramètres!$A$1:$I$89,5,0)</f>
        <v>145.10867500000001</v>
      </c>
      <c r="GB67" s="13">
        <f t="shared" si="49"/>
        <v>37.464878834869843</v>
      </c>
      <c r="GC67" s="20">
        <f t="shared" si="25"/>
        <v>317.982272929065</v>
      </c>
      <c r="GD67" s="59">
        <f t="shared" si="26"/>
        <v>611.31560626239832</v>
      </c>
      <c r="GE67" s="59">
        <f ca="1">AVERAGE(OFFSET($GD$3,0,0,'Données projet'!$E$17+1,1))-AVERAGE(OFFSET($H$3,0,0,'Données projet'!$E$17+1,1))</f>
        <v>336.2911850338175</v>
      </c>
      <c r="GF67" s="59">
        <f t="shared" si="50"/>
        <v>225.01415116995503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0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5.9431089743589762</v>
      </c>
      <c r="GU67" s="12">
        <f>IF('Données projet'!$A$270&gt;35,GU66+GT67-HC66,IF(A67&lt;'Données projet'!$A$270,$GR$205^A67,IF(A67='Données projet'!$A$270,'Données projet'!$B$270,GU66+GT67-HC66)))</f>
        <v>150.02964743589743</v>
      </c>
      <c r="GV67" s="17">
        <f>GU67*VLOOKUP('Données projet'!$B$18,Paramètres!$A$1:$I$89,3,0)*VLOOKUP('Données projet'!$B$18,Paramètres!$A$1:$I$89,5,0)</f>
        <v>100.6398875</v>
      </c>
      <c r="GW67" s="13">
        <f t="shared" si="51"/>
        <v>27.11438528362714</v>
      </c>
      <c r="GX67" s="20">
        <f t="shared" si="28"/>
        <v>222.50535843148396</v>
      </c>
      <c r="GY67" s="59">
        <f t="shared" si="29"/>
        <v>515.83869176481721</v>
      </c>
      <c r="GZ67" s="59">
        <f ca="1">AVERAGE(OFFSET($GY$3,0,0,'Données projet'!$E$18+1,1))-AVERAGE(OFFSET($H$3,0,0,'Données projet'!$E$18+1,1))</f>
        <v>266.37807768393191</v>
      </c>
      <c r="HA67" s="59">
        <f t="shared" si="52"/>
        <v>168.52019826233425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0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255</v>
      </c>
      <c r="L68" s="12">
        <f>VLOOKUP(A68,'Données projet'!$A$35:$I$55,9,0)</f>
        <v>4.4000000000000004</v>
      </c>
      <c r="M68" s="12">
        <f t="array" ref="M68">INDEX(L:L,MIN(IF(ISNUMBER(L68:L264),ROW(L68:L264),"")))</f>
        <v>4.4000000000000004</v>
      </c>
      <c r="N68" s="13">
        <f>IF('Données projet'!$A$36&gt;35,N67+M68-V67,IF(A68&lt;'Données projet'!$A$36,$K$205^A68,IF(A68='Données projet'!$A$36,'Données projet'!$B$36,N67+M68-V67)))</f>
        <v>254.99999999999986</v>
      </c>
      <c r="O68" s="13">
        <f>N68*VLOOKUP('Données projet'!$B$9,Paramètres!$A$1:$I$89,3,0)*VLOOKUP('Données projet'!$B$9,Paramètres!$A$1:$I$89,5,0)</f>
        <v>222.76799999999989</v>
      </c>
      <c r="P68" s="13">
        <f t="shared" si="33"/>
        <v>54.716058356609459</v>
      </c>
      <c r="Q68" s="20">
        <f t="shared" si="54"/>
        <v>483.28473497109462</v>
      </c>
      <c r="R68" s="59">
        <f t="shared" si="55"/>
        <v>776.61806830442788</v>
      </c>
      <c r="S68" s="59">
        <f ca="1">AVERAGE(OFFSET($R$3,0,0,'Données projet'!$E$9+1,1))-AVERAGE(OFFSET($H$3,0,0,'Données projet'!$E$9+1,1))</f>
        <v>324.86930206492627</v>
      </c>
      <c r="T68" s="59">
        <f t="shared" si="34"/>
        <v>317.03005098025352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11</v>
      </c>
      <c r="W68" s="16">
        <f>IF(ISNA(VLOOKUP(A68,'Données projet'!$A$35:$I$55,5,0)),0%,VLOOKUP(A68,'Données projet'!$A$35:$I$55,5,0)*VLOOKUP('Données projet'!$B$9,Paramètres!$A$1:$I$89,7,0))</f>
        <v>0.43459999999999999</v>
      </c>
      <c r="X68" s="16">
        <f>IF(ISNA(VLOOKUP(A68,'Données projet'!$A$35:$I$55,6,0)),0%,VLOOKUP(A68,'Données projet'!$A$35:$I$55,6,0)*VLOOKUP('Données projet'!$B$9,Paramètres!$A$1:$I$89,7,0))</f>
        <v>4.7699999999999999E-2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27.615674239075194</v>
      </c>
      <c r="AA68" s="21">
        <f>EXP(-LN(2)/25)*AA67+(1-EXP(-LN(2)/25))/(LN(2)/25)*Calculateur!V68*Calculateur!X68*VLOOKUP('Données projet'!$B$9,Paramètres!$A$1:$I$89,3,0)*0.475*44/12</f>
        <v>11.806665509309106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39.422339748384303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8.1001602564102626</v>
      </c>
      <c r="AI68" s="13">
        <f>IF('Données projet'!$A$62&gt;35,AI67+AH68-AQ67,IF(A68&lt;'Données projet'!$A$62,$AF$205^A68,IF(A68='Données projet'!$A$62,'Données projet'!$B$62,AI67+AH68-AQ67)))</f>
        <v>194.76442307692321</v>
      </c>
      <c r="AJ68" s="13">
        <f>AI68*VLOOKUP('Données projet'!$B$10,Paramètres!$A$1:$I$89,3,0)*VLOOKUP('Données projet'!$B$10,Paramètres!$A$1:$I$89,5,0)</f>
        <v>185.33782500000012</v>
      </c>
      <c r="AK68" s="13">
        <f t="shared" si="35"/>
        <v>46.50772653623585</v>
      </c>
      <c r="AL68" s="20">
        <f t="shared" ref="AL68:AL131" si="58">(AJ68+AK68)*0.475*44/12</f>
        <v>403.79766892561094</v>
      </c>
      <c r="AM68" s="59">
        <f t="shared" ref="AM68:AM131" si="59">AL68+(AD68+AE68)*44/12</f>
        <v>697.13100225894425</v>
      </c>
      <c r="AN68" s="59">
        <f ca="1">AVERAGE(OFFSET($AM$3,0,0,'Données projet'!$E$10+1,1))-AVERAGE(OFFSET($H$3,0,0,'Données projet'!$E$10+1,1))</f>
        <v>401.81944956556271</v>
      </c>
      <c r="AO68" s="59">
        <f t="shared" si="36"/>
        <v>292.20785523952651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12.6986045369396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12.6986045369396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8.6666666666666661</v>
      </c>
      <c r="BD68" s="12">
        <f>IF('Données projet'!$A$88&gt;35,BD67+BC68-BL67,IF(A68&lt;'Données projet'!$A$88,$BA$205^A68,IF(A68='Données projet'!$A$88,'Données projet'!$B$88,BD67+BC68-BL67)))</f>
        <v>293.33333333333343</v>
      </c>
      <c r="BE68" s="13">
        <f>BD68*VLOOKUP('Données projet'!$B$11,Paramètres!$A$1:$I$89,3,0)*VLOOKUP('Données projet'!$B$11,Paramètres!$A$1:$I$89,5,0)</f>
        <v>228.80000000000007</v>
      </c>
      <c r="BF68" s="13">
        <f t="shared" si="37"/>
        <v>56.023134533701196</v>
      </c>
      <c r="BG68" s="20">
        <f t="shared" ref="BG68:BG131" si="61">(BE68+BF68)*0.475*44/12</f>
        <v>496.06695931286299</v>
      </c>
      <c r="BH68" s="59">
        <f t="shared" ref="BH68:BH131" si="62">BG68+(AY68+AZ68)*44/12</f>
        <v>789.40029264619625</v>
      </c>
      <c r="BI68" s="59">
        <f ca="1">AVERAGE(OFFSET($BH$3,0,0,'Données projet'!$E$11+1,1))-AVERAGE(OFFSET($H$3,0,0,'Données projet'!$E$11+1,1))</f>
        <v>288.80569134263209</v>
      </c>
      <c r="BJ68" s="59">
        <f t="shared" si="38"/>
        <v>283.48738729114024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22.002286395492241</v>
      </c>
      <c r="BQ68" s="21">
        <f>EXP(-LN(2)/25)*BQ67+(1-EXP(-LN(2)/25))/(LN(2)/25)*Calculateur!BL68*Calculateur!BN68*VLOOKUP('Données projet'!$B$11,Paramètres!$A$1:$I$89,3,0)*0.475*44/12</f>
        <v>22.072485385893899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44.07477178138614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195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195</v>
      </c>
      <c r="BZ68" s="13">
        <f>BY68*VLOOKUP('Données projet'!$B$12,Paramètres!$A$1:$I$89,3,0)*VLOOKUP('Données projet'!$B$12,Paramètres!$A$1:$I$89,5,0)</f>
        <v>203.81400000000002</v>
      </c>
      <c r="CA68" s="13">
        <f t="shared" si="39"/>
        <v>50.581445724851562</v>
      </c>
      <c r="CB68" s="20">
        <f t="shared" ref="CB68:CB131" si="64">(BZ68+CA68)*0.475*44/12</f>
        <v>443.07206797078311</v>
      </c>
      <c r="CC68" s="59">
        <f t="shared" ref="CC68:CC131" si="65">CB68+(BT68+BU68)*44/12</f>
        <v>736.40540130411637</v>
      </c>
      <c r="CD68" s="59">
        <f ca="1">AVERAGE(OFFSET($CC$3,0,0,'Données projet'!$E$12+1,1))-AVERAGE(OFFSET($H$3,0,0,'Données projet'!$E$12+1,1))</f>
        <v>352.22281362023102</v>
      </c>
      <c r="CE68" s="59">
        <f t="shared" si="40"/>
        <v>310.2353747925161</v>
      </c>
      <c r="CF68" s="15">
        <f>IF(ISNA(VLOOKUP(A68,'Données projet'!$A$113:$I$133,3,0)),0,VLOOKUP(A68,'Données projet'!$A$113:$I$133,3,0))</f>
        <v>10</v>
      </c>
      <c r="CG68" s="15" t="str">
        <f>IF(ISNA(VLOOKUP(A68,'Données projet'!$A$113:$I$133,4,0)),0,VLOOKUP(A68,'Données projet'!$A$113:$I$133,4,0))</f>
        <v>15</v>
      </c>
      <c r="CH68" s="16">
        <f>IF(ISNA(VLOOKUP(A68,'Données projet'!$A$113:$I$133,5,0)),0%,VLOOKUP(A68,'Données projet'!$A$113:$I$133,5,0)*VLOOKUP('Données projet'!$B$12,Paramètres!$A$1:$I$89,7,0))</f>
        <v>0.17200000000000001</v>
      </c>
      <c r="CI68" s="16">
        <f>IF(ISNA(VLOOKUP(A68,'Données projet'!$A$113:$I$133,6,0)),0%,VLOOKUP(A68,'Données projet'!$A$113:$I$133,6,0)*VLOOKUP('Données projet'!$B$12,Paramètres!$A$1:$I$89,7,0))</f>
        <v>0.17200000000000001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8.632519687703434</v>
      </c>
      <c r="CL68" s="21">
        <f>EXP(-LN(2)/25)*CL67+(1-EXP(-LN(2)/25))/(LN(2)/25)*Calculateur!CG68*Calculateur!CI68*VLOOKUP('Données projet'!$B$12,Paramètres!$A$1:$I$89,3,0)*0.475*44/12</f>
        <v>16.390026148580574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25.02254583628401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5.9431089743589762</v>
      </c>
      <c r="CT68" s="12">
        <f>IF('Données projet'!$A$140&gt;35,CT67+CS68-DB67,IF(A68&lt;'Données projet'!$A$140,$CQ$205^A68,IF(A68='Données projet'!$A$140,'Données projet'!$B$140,CT67+CS68-DB67)))</f>
        <v>155.97275641025641</v>
      </c>
      <c r="CU68" s="17">
        <f>CT68*VLOOKUP('Données projet'!$B$13,Paramètres!$A$1:$I$89,3,0)*VLOOKUP('Données projet'!$B$13,Paramètres!$A$1:$I$89,5,0)</f>
        <v>141.12414999999999</v>
      </c>
      <c r="CV68" s="13">
        <f t="shared" si="41"/>
        <v>36.554412483418083</v>
      </c>
      <c r="CW68" s="20">
        <f t="shared" ref="CW68:CW131" si="67">(CU68+CV68)*0.475*44/12</f>
        <v>309.45682965861977</v>
      </c>
      <c r="CX68" s="59">
        <f t="shared" ref="CX68:CX131" si="68">CW68+(CO68+CP68)*44/12</f>
        <v>602.79016299195314</v>
      </c>
      <c r="CY68" s="59">
        <f ca="1">AVERAGE(OFFSET($CX$3,0,0,'Données projet'!$E$13+1,1))-AVERAGE(OFFSET($H$3,0,0,'Données projet'!$E$13+1,1))</f>
        <v>345.49688858037996</v>
      </c>
      <c r="CZ68" s="59">
        <f t="shared" si="42"/>
        <v>213.15872113755023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5.9431089743589762</v>
      </c>
      <c r="DO68" s="12">
        <f>IF('Données projet'!$A$166&gt;35,DO67+DN68-DW67,IF(A68&lt;'Données projet'!$A$166,$DL$205^A68,IF(A68='Données projet'!$A$166,'Données projet'!$B$166,DO67+DN68-DW67)))</f>
        <v>155.97275641025641</v>
      </c>
      <c r="DP68" s="17">
        <f>DO68*VLOOKUP('Données projet'!$B$14,Paramètres!$A$1:$I$89,3,0)*VLOOKUP('Données projet'!$B$14,Paramètres!$A$1:$I$89,5,0)</f>
        <v>158.15637500000003</v>
      </c>
      <c r="DQ68" s="13">
        <f t="shared" si="43"/>
        <v>40.426400572135641</v>
      </c>
      <c r="DR68" s="20">
        <f t="shared" ref="DR68:DR131" si="70">(DP68+DQ68)*0.475*44/12</f>
        <v>345.86500078813629</v>
      </c>
      <c r="DS68" s="59">
        <f t="shared" ref="DS68:DS131" si="71">DR68+(DJ68+DK68)*44/12</f>
        <v>639.19833412146954</v>
      </c>
      <c r="DT68" s="59">
        <f ca="1">AVERAGE(OFFSET($DS$3,0,0,'Données projet'!$E$14+1,1))-AVERAGE(OFFSET($H$3,0,0,'Données projet'!$E$14+1,1))</f>
        <v>382.26108489744581</v>
      </c>
      <c r="DU68" s="59">
        <f t="shared" si="44"/>
        <v>233.89423996158826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243.08974358974359</v>
      </c>
      <c r="EH68" s="12">
        <f>VLOOKUP(A68,'Données projet'!$A$191:$I$211,9,0)</f>
        <v>9.4423076923076916</v>
      </c>
      <c r="EI68" s="12">
        <f t="array" ref="EI68">INDEX(EH:EH,MIN(IF(ISNUMBER(EH68:EH264),ROW(EH68:EH264),"")))</f>
        <v>9.4423076923076916</v>
      </c>
      <c r="EJ68" s="12">
        <f>IF('Données projet'!$A$192&gt;35,EJ67+EI68-ER67,IF(A68&lt;'Données projet'!$A$192,$EG$205^A68,IF(A68='Données projet'!$A$192,'Données projet'!$B$192,EJ67+EI68-ER67)))</f>
        <v>243.08974358974348</v>
      </c>
      <c r="EK68" s="17">
        <f>EJ68*VLOOKUP('Données projet'!$B$15,Paramètres!$A$1:$I$89,3,0)*VLOOKUP('Données projet'!$B$15,Paramètres!$A$1:$I$89,5,0)</f>
        <v>204.7787999999999</v>
      </c>
      <c r="EL68" s="13">
        <f t="shared" si="45"/>
        <v>50.792955660067982</v>
      </c>
      <c r="EM68" s="20">
        <f t="shared" ref="EM68:EM131" si="73">(EK68+EL68)*0.475*44/12</f>
        <v>445.12080777461819</v>
      </c>
      <c r="EN68" s="59">
        <f t="shared" ref="EN68:EN131" si="74">EM68+(EE68+EF68)*44/12</f>
        <v>738.4541411079515</v>
      </c>
      <c r="EO68" s="59">
        <f ca="1">AVERAGE(OFFSET($EN$3,0,0,'Données projet'!$E$15+1,1))-AVERAGE(OFFSET($H$3,0,0,'Données projet'!$E$15+1,1))</f>
        <v>312.48716825299158</v>
      </c>
      <c r="EP68" s="59">
        <f t="shared" si="46"/>
        <v>258.68277822755357</v>
      </c>
      <c r="EQ68" s="15">
        <f>IF(ISNA(VLOOKUP(A68,'Données projet'!$A$191:$I$211,3,0)),0,VLOOKUP(A68,'Données projet'!$A$191:$I$211,3,0))</f>
        <v>6</v>
      </c>
      <c r="ER68" s="15">
        <f>IF(ISNA(VLOOKUP(A68,'Données projet'!$A$191:$I$211,4,0)),0,VLOOKUP(A68,'Données projet'!$A$191:$I$211,4,0))</f>
        <v>39.615384615384613</v>
      </c>
      <c r="ES68" s="16">
        <f>IF(ISNA(VLOOKUP(A68,'Données projet'!$A$191:$I$211,5,0)),0%,VLOOKUP(A68,'Données projet'!$A$191:$I$211,5,0)*VLOOKUP('Données projet'!$B$15,Paramètres!$A$1:$I$89,7,0))</f>
        <v>0.30099999999999999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28.857137994478379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28.857137994478379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5.9431089743589762</v>
      </c>
      <c r="FE68" s="12">
        <f>IF('Données projet'!$A$218&gt;35,FE67+FD68-FM67,IF(A68&lt;'Données projet'!$A$218,$FB$205^A68,IF(A68='Données projet'!$A$218,'Données projet'!$B$218,FE67+FD68-FM67)))</f>
        <v>155.97275641025641</v>
      </c>
      <c r="FF68" s="17">
        <f>FE68*VLOOKUP('Données projet'!$B$16,Paramètres!$A$1:$I$89,3,0)*VLOOKUP('Données projet'!$B$16,Paramètres!$A$1:$I$89,5,0)</f>
        <v>167.88907499999999</v>
      </c>
      <c r="FG68" s="13">
        <f t="shared" si="47"/>
        <v>42.616903350229627</v>
      </c>
      <c r="FH68" s="20">
        <f t="shared" ref="FH68:FH131" si="76">(FF68+FG68)*0.475*44/12</f>
        <v>366.6312456266499</v>
      </c>
      <c r="FI68" s="59">
        <f t="shared" ref="FI68:FI131" si="77">FH68+(EZ68+FA68)*44/12</f>
        <v>659.96457895998321</v>
      </c>
      <c r="FJ68" s="59">
        <f ca="1">AVERAGE(OFFSET($FI$3,0,0,'Données projet'!$E$16+1,1))-AVERAGE(OFFSET($H$3,0,0,'Données projet'!$E$16+1,1))</f>
        <v>403.23110963096246</v>
      </c>
      <c r="FK68" s="59">
        <f t="shared" si="48"/>
        <v>245.72000393124898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5.9431089743589762</v>
      </c>
      <c r="FZ68" s="12">
        <f>IF('Données projet'!$A$244&gt;35,FZ67+FY68-GH67,IF(A68&lt;'Données projet'!$A$244,$FW$205^A68,IF(A68='Données projet'!$A$244,'Données projet'!$B$244,FZ67+FY68-GH67)))</f>
        <v>155.97275641025641</v>
      </c>
      <c r="GA68" s="17">
        <f>FZ68*VLOOKUP('Données projet'!$B$17,Paramètres!$A$1:$I$89,3,0)*VLOOKUP('Données projet'!$B$17,Paramètres!$A$1:$I$89,5,0)</f>
        <v>150.85685000000001</v>
      </c>
      <c r="GB68" s="13">
        <f t="shared" si="49"/>
        <v>38.773243258316775</v>
      </c>
      <c r="GC68" s="20">
        <f t="shared" ref="GC68:GC131" si="79">(GA68+GB68)*0.475*44/12</f>
        <v>330.27241242490169</v>
      </c>
      <c r="GD68" s="59">
        <f t="shared" ref="GD68:GD131" si="80">GC68+(FU68+FV68)*44/12</f>
        <v>623.605745758235</v>
      </c>
      <c r="GE68" s="59">
        <f ca="1">AVERAGE(OFFSET($GD$3,0,0,'Données projet'!$E$17+1,1))-AVERAGE(OFFSET($H$3,0,0,'Données projet'!$E$17+1,1))</f>
        <v>336.2911850338175</v>
      </c>
      <c r="GF68" s="59">
        <f t="shared" si="50"/>
        <v>225.01415116995503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0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5.9431089743589762</v>
      </c>
      <c r="GU68" s="12">
        <f>IF('Données projet'!$A$270&gt;35,GU67+GT68-HC67,IF(A68&lt;'Données projet'!$A$270,$GR$205^A68,IF(A68='Données projet'!$A$270,'Données projet'!$B$270,GU67+GT68-HC67)))</f>
        <v>155.97275641025641</v>
      </c>
      <c r="GV68" s="17">
        <f>GU68*VLOOKUP('Données projet'!$B$18,Paramètres!$A$1:$I$89,3,0)*VLOOKUP('Données projet'!$B$18,Paramètres!$A$1:$I$89,5,0)</f>
        <v>104.62652499999999</v>
      </c>
      <c r="GW68" s="13">
        <f t="shared" si="51"/>
        <v>28.061285371709413</v>
      </c>
      <c r="GX68" s="20">
        <f t="shared" ref="GX68:GX131" si="82">(GV68+GW68)*0.475*44/12</f>
        <v>231.09793639739382</v>
      </c>
      <c r="GY68" s="59">
        <f t="shared" ref="GY68:GY131" si="83">GX68+(GP68+GQ68)*44/12</f>
        <v>524.43126973072708</v>
      </c>
      <c r="GZ68" s="59">
        <f ca="1">AVERAGE(OFFSET($GY$3,0,0,'Données projet'!$E$18+1,1))-AVERAGE(OFFSET($H$3,0,0,'Données projet'!$E$18+1,1))</f>
        <v>266.37807768393191</v>
      </c>
      <c r="HA68" s="59">
        <f t="shared" si="52"/>
        <v>168.52019826233425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84">SUM(HG68:HI68)</f>
        <v>0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3.8</v>
      </c>
      <c r="N69" s="13">
        <f>IF('Données projet'!$A$36&gt;35,N68+M69-V68,IF(A69&lt;'Données projet'!$A$36,$K$205^A69,IF(A69='Données projet'!$A$36,'Données projet'!$B$36,N68+M69-V68)))</f>
        <v>247.79999999999984</v>
      </c>
      <c r="O69" s="13">
        <f>N69*VLOOKUP('Données projet'!$B$9,Paramètres!$A$1:$I$89,3,0)*VLOOKUP('Données projet'!$B$9,Paramètres!$A$1:$I$89,5,0)</f>
        <v>216.47807999999986</v>
      </c>
      <c r="P69" s="13">
        <f t="shared" ref="P69:P132" si="87">EXP(-1.0587+0.8836*LN(O69)+0.284)</f>
        <v>53.348696328338377</v>
      </c>
      <c r="Q69" s="20">
        <f t="shared" si="54"/>
        <v>469.94830210518904</v>
      </c>
      <c r="R69" s="59">
        <f t="shared" si="55"/>
        <v>763.28163543852236</v>
      </c>
      <c r="S69" s="59">
        <f ca="1">AVERAGE(OFFSET($R$3,0,0,'Données projet'!$E$9+1,1))-AVERAGE(OFFSET($H$3,0,0,'Données projet'!$E$9+1,1))</f>
        <v>324.86930206492627</v>
      </c>
      <c r="T69" s="59">
        <f t="shared" ref="T69:T132" si="88">$T$3</f>
        <v>317.03005098025352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27.074147711145017</v>
      </c>
      <c r="AA69" s="21">
        <f>EXP(-LN(2)/25)*AA68+(1-EXP(-LN(2)/25))/(LN(2)/25)*Calculateur!V69*Calculateur!X69*VLOOKUP('Données projet'!$B$9,Paramètres!$A$1:$I$89,3,0)*0.475*44/12</f>
        <v>11.483811620071494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38.557959331216509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8.1001602564102626</v>
      </c>
      <c r="AI69" s="13">
        <f>IF('Données projet'!$A$62&gt;35,AI68+AH69-AQ68,IF(A69&lt;'Données projet'!$A$62,$AF$205^A69,IF(A69='Données projet'!$A$62,'Données projet'!$B$62,AI68+AH69-AQ68)))</f>
        <v>202.86458333333348</v>
      </c>
      <c r="AJ69" s="13">
        <f>AI69*VLOOKUP('Données projet'!$B$10,Paramètres!$A$1:$I$89,3,0)*VLOOKUP('Données projet'!$B$10,Paramètres!$A$1:$I$89,5,0)</f>
        <v>193.04593750000015</v>
      </c>
      <c r="AK69" s="13">
        <f t="shared" ref="AK69:AK132" si="89">EXP(-1.0587+0.8836*LN(AJ69)+0.284)</f>
        <v>48.212741795005009</v>
      </c>
      <c r="AL69" s="20">
        <f t="shared" si="58"/>
        <v>420.19219977213396</v>
      </c>
      <c r="AM69" s="59">
        <f t="shared" si="59"/>
        <v>713.52553310546728</v>
      </c>
      <c r="AN69" s="59">
        <f ca="1">AVERAGE(OFFSET($AM$3,0,0,'Données projet'!$E$10+1,1))-AVERAGE(OFFSET($H$3,0,0,'Données projet'!$E$10+1,1))</f>
        <v>401.81944956556271</v>
      </c>
      <c r="AO69" s="59">
        <f t="shared" ref="AO69:AO132" si="90">$AO$3</f>
        <v>292.20785523952651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12.449592647354189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12.449592647354189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8.6666666666666661</v>
      </c>
      <c r="BD69" s="12">
        <f>IF('Données projet'!$A$88&gt;35,BD68+BC69-BL68,IF(A69&lt;'Données projet'!$A$88,$BA$205^A69,IF(A69='Données projet'!$A$88,'Données projet'!$B$88,BD68+BC69-BL68)))</f>
        <v>302.00000000000011</v>
      </c>
      <c r="BE69" s="13">
        <f>BD69*VLOOKUP('Données projet'!$B$11,Paramètres!$A$1:$I$89,3,0)*VLOOKUP('Données projet'!$B$11,Paramètres!$A$1:$I$89,5,0)</f>
        <v>235.56000000000009</v>
      </c>
      <c r="BF69" s="13">
        <f t="shared" ref="BF69:BF132" si="91">EXP(-1.0587+0.8836*LN(BE69)+0.284)</f>
        <v>57.483207143847771</v>
      </c>
      <c r="BG69" s="20">
        <f t="shared" si="61"/>
        <v>510.38358577553487</v>
      </c>
      <c r="BH69" s="59">
        <f t="shared" si="62"/>
        <v>803.71691910886818</v>
      </c>
      <c r="BI69" s="59">
        <f ca="1">AVERAGE(OFFSET($BH$3,0,0,'Données projet'!$E$11+1,1))-AVERAGE(OFFSET($H$3,0,0,'Données projet'!$E$11+1,1))</f>
        <v>288.80569134263209</v>
      </c>
      <c r="BJ69" s="59">
        <f t="shared" ref="BJ69:BJ132" si="92">$BJ$3</f>
        <v>283.48738729114024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21.57083497934622</v>
      </c>
      <c r="BQ69" s="21">
        <f>EXP(-LN(2)/25)*BQ68+(1-EXP(-LN(2)/25))/(LN(2)/25)*Calculateur!BL69*Calculateur!BN69*VLOOKUP('Données projet'!$B$11,Paramètres!$A$1:$I$89,3,0)*0.475*44/12</f>
        <v>21.468912112275071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43.039747091621294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4.2</v>
      </c>
      <c r="BY69" s="12">
        <f>IF('Données projet'!$A$114&gt;35,BY68+BX69-CG68,IF(A69&lt;'Données projet'!$A$114,$BV$205^A69,IF(A69='Données projet'!$A$114,'Données projet'!$B$114,BY68+BX69-CG68)))</f>
        <v>184.2</v>
      </c>
      <c r="BZ69" s="13">
        <f>BY69*VLOOKUP('Données projet'!$B$12,Paramètres!$A$1:$I$89,3,0)*VLOOKUP('Données projet'!$B$12,Paramètres!$A$1:$I$89,5,0)</f>
        <v>192.52584000000002</v>
      </c>
      <c r="CA69" s="13">
        <f t="shared" ref="CA69:CA132" si="93">EXP(-1.0587+0.8836*LN(BZ69)+0.284)</f>
        <v>48.097950277474887</v>
      </c>
      <c r="CB69" s="20">
        <f t="shared" si="64"/>
        <v>419.08643473326879</v>
      </c>
      <c r="CC69" s="59">
        <f t="shared" si="65"/>
        <v>712.41976806660205</v>
      </c>
      <c r="CD69" s="59">
        <f ca="1">AVERAGE(OFFSET($CC$3,0,0,'Données projet'!$E$12+1,1))-AVERAGE(OFFSET($H$3,0,0,'Données projet'!$E$12+1,1))</f>
        <v>352.22281362023102</v>
      </c>
      <c r="CE69" s="59">
        <f t="shared" ref="CE69:CE132" si="94">$CE$3</f>
        <v>310.2353747925161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8.4632412419446723</v>
      </c>
      <c r="CL69" s="21">
        <f>EXP(-LN(2)/25)*CL68+(1-EXP(-LN(2)/25))/(LN(2)/25)*Calculateur!CG69*Calculateur!CI69*VLOOKUP('Données projet'!$B$12,Paramètres!$A$1:$I$89,3,0)*0.475*44/12</f>
        <v>15.941840021633624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24.405081263578296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5.9431089743589762</v>
      </c>
      <c r="CT69" s="12">
        <f>IF('Données projet'!$A$140&gt;35,CT68+CS69-DB68,IF(A69&lt;'Données projet'!$A$140,$CQ$205^A69,IF(A69='Données projet'!$A$140,'Données projet'!$B$140,CT68+CS69-DB68)))</f>
        <v>161.91586538461539</v>
      </c>
      <c r="CU69" s="17">
        <f>CT69*VLOOKUP('Données projet'!$B$13,Paramètres!$A$1:$I$89,3,0)*VLOOKUP('Données projet'!$B$13,Paramètres!$A$1:$I$89,5,0)</f>
        <v>146.501475</v>
      </c>
      <c r="CV69" s="13">
        <f t="shared" ref="CV69:CV132" si="95">EXP(-1.0587+0.8836*LN(CU69)+0.284)</f>
        <v>37.782444550133206</v>
      </c>
      <c r="CW69" s="20">
        <f t="shared" si="67"/>
        <v>320.96115988314858</v>
      </c>
      <c r="CX69" s="59">
        <f t="shared" si="68"/>
        <v>614.2944932164819</v>
      </c>
      <c r="CY69" s="59">
        <f ca="1">AVERAGE(OFFSET($CX$3,0,0,'Données projet'!$E$13+1,1))-AVERAGE(OFFSET($H$3,0,0,'Données projet'!$E$13+1,1))</f>
        <v>345.49688858037996</v>
      </c>
      <c r="CZ69" s="59">
        <f t="shared" ref="CZ69:CZ132" si="96">$CZ$3</f>
        <v>213.15872113755023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5.9431089743589762</v>
      </c>
      <c r="DO69" s="12">
        <f>IF('Données projet'!$A$166&gt;35,DO68+DN69-DW68,IF(A69&lt;'Données projet'!$A$166,$DL$205^A69,IF(A69='Données projet'!$A$166,'Données projet'!$B$166,DO68+DN69-DW68)))</f>
        <v>161.91586538461539</v>
      </c>
      <c r="DP69" s="17">
        <f>DO69*VLOOKUP('Données projet'!$B$14,Paramètres!$A$1:$I$89,3,0)*VLOOKUP('Données projet'!$B$14,Paramètres!$A$1:$I$89,5,0)</f>
        <v>164.18268750000001</v>
      </c>
      <c r="DQ69" s="13">
        <f t="shared" ref="DQ69:DQ132" si="97">EXP(-1.0587+0.8836*LN(DP69)+0.284)</f>
        <v>41.784510657121224</v>
      </c>
      <c r="DR69" s="20">
        <f t="shared" si="70"/>
        <v>358.72620345698607</v>
      </c>
      <c r="DS69" s="59">
        <f t="shared" si="71"/>
        <v>652.05953679031938</v>
      </c>
      <c r="DT69" s="59">
        <f ca="1">AVERAGE(OFFSET($DS$3,0,0,'Données projet'!$E$14+1,1))-AVERAGE(OFFSET($H$3,0,0,'Données projet'!$E$14+1,1))</f>
        <v>382.26108489744581</v>
      </c>
      <c r="DU69" s="59">
        <f t="shared" ref="DU69:DU132" si="98">$DU$3</f>
        <v>233.89423996158826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9.0815018315018357</v>
      </c>
      <c r="EJ69" s="12">
        <f>IF('Données projet'!$A$192&gt;35,EJ68+EI69-ER68,IF(A69&lt;'Données projet'!$A$192,$EG$205^A69,IF(A69='Données projet'!$A$192,'Données projet'!$B$192,EJ68+EI69-ER68)))</f>
        <v>212.5558608058607</v>
      </c>
      <c r="EK69" s="17">
        <f>EJ69*VLOOKUP('Données projet'!$B$15,Paramètres!$A$1:$I$89,3,0)*VLOOKUP('Données projet'!$B$15,Paramètres!$A$1:$I$89,5,0)</f>
        <v>179.05705714285708</v>
      </c>
      <c r="EL69" s="13">
        <f t="shared" ref="EL69:EL132" si="99">EXP(-1.0587+0.8836*LN(EK69)+0.284)</f>
        <v>45.112334667500271</v>
      </c>
      <c r="EM69" s="20">
        <f t="shared" si="73"/>
        <v>390.42835740303912</v>
      </c>
      <c r="EN69" s="59">
        <f t="shared" si="74"/>
        <v>683.76169073637243</v>
      </c>
      <c r="EO69" s="59">
        <f ca="1">AVERAGE(OFFSET($EN$3,0,0,'Données projet'!$E$15+1,1))-AVERAGE(OFFSET($H$3,0,0,'Données projet'!$E$15+1,1))</f>
        <v>312.48716825299158</v>
      </c>
      <c r="EP69" s="59">
        <f t="shared" ref="EP69:EP132" si="100">$EP$3</f>
        <v>258.68277822755357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28.291267119522868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28.291267119522868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5.9431089743589762</v>
      </c>
      <c r="FE69" s="12">
        <f>IF('Données projet'!$A$218&gt;35,FE68+FD69-FM68,IF(A69&lt;'Données projet'!$A$218,$FB$205^A69,IF(A69='Données projet'!$A$218,'Données projet'!$B$218,FE68+FD69-FM68)))</f>
        <v>161.91586538461539</v>
      </c>
      <c r="FF69" s="17">
        <f>FE69*VLOOKUP('Données projet'!$B$16,Paramètres!$A$1:$I$89,3,0)*VLOOKUP('Données projet'!$B$16,Paramètres!$A$1:$I$89,5,0)</f>
        <v>174.2862375</v>
      </c>
      <c r="FG69" s="13">
        <f t="shared" ref="FG69:FG132" si="101">EXP(-1.0587+0.8836*LN(FF69)+0.284)</f>
        <v>44.048602571819437</v>
      </c>
      <c r="FH69" s="20">
        <f t="shared" si="76"/>
        <v>380.26651312508551</v>
      </c>
      <c r="FI69" s="59">
        <f t="shared" si="77"/>
        <v>673.59984645841882</v>
      </c>
      <c r="FJ69" s="59">
        <f ca="1">AVERAGE(OFFSET($FI$3,0,0,'Données projet'!$E$16+1,1))-AVERAGE(OFFSET($H$3,0,0,'Données projet'!$E$16+1,1))</f>
        <v>403.23110963096246</v>
      </c>
      <c r="FK69" s="59">
        <f t="shared" ref="FK69:FK132" si="102">$FK$3</f>
        <v>245.72000393124898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5.9431089743589762</v>
      </c>
      <c r="FZ69" s="12">
        <f>IF('Données projet'!$A$244&gt;35,FZ68+FY69-GH68,IF(A69&lt;'Données projet'!$A$244,$FW$205^A69,IF(A69='Données projet'!$A$244,'Données projet'!$B$244,FZ68+FY69-GH68)))</f>
        <v>161.91586538461539</v>
      </c>
      <c r="GA69" s="17">
        <f>FZ69*VLOOKUP('Données projet'!$B$17,Paramètres!$A$1:$I$89,3,0)*VLOOKUP('Données projet'!$B$17,Paramètres!$A$1:$I$89,5,0)</f>
        <v>156.60502500000001</v>
      </c>
      <c r="GB69" s="13">
        <f t="shared" ref="GB69:GB132" si="103">EXP(-1.0587+0.8836*LN(GA69)+0.284)</f>
        <v>40.075816130288338</v>
      </c>
      <c r="GC69" s="20">
        <f t="shared" si="79"/>
        <v>342.55246496858553</v>
      </c>
      <c r="GD69" s="59">
        <f t="shared" si="80"/>
        <v>635.88579830191884</v>
      </c>
      <c r="GE69" s="59">
        <f ca="1">AVERAGE(OFFSET($GD$3,0,0,'Données projet'!$E$17+1,1))-AVERAGE(OFFSET($H$3,0,0,'Données projet'!$E$17+1,1))</f>
        <v>336.2911850338175</v>
      </c>
      <c r="GF69" s="59">
        <f t="shared" ref="GF69:GF132" si="104">$GF$3</f>
        <v>225.01415116995503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0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5.9431089743589762</v>
      </c>
      <c r="GU69" s="12">
        <f>IF('Données projet'!$A$270&gt;35,GU68+GT69-HC68,IF(A69&lt;'Données projet'!$A$270,$GR$205^A69,IF(A69='Données projet'!$A$270,'Données projet'!$B$270,GU68+GT69-HC68)))</f>
        <v>161.91586538461539</v>
      </c>
      <c r="GV69" s="17">
        <f>GU69*VLOOKUP('Données projet'!$B$18,Paramètres!$A$1:$I$89,3,0)*VLOOKUP('Données projet'!$B$18,Paramètres!$A$1:$I$89,5,0)</f>
        <v>108.6131625</v>
      </c>
      <c r="GW69" s="13">
        <f t="shared" ref="GW69:GW132" si="105">EXP(-1.0587+0.8836*LN(GV69)+0.284)</f>
        <v>29.003993951291569</v>
      </c>
      <c r="GX69" s="20">
        <f t="shared" si="82"/>
        <v>239.68321415266612</v>
      </c>
      <c r="GY69" s="59">
        <f t="shared" si="83"/>
        <v>533.01654748599947</v>
      </c>
      <c r="GZ69" s="59">
        <f ca="1">AVERAGE(OFFSET($GY$3,0,0,'Données projet'!$E$18+1,1))-AVERAGE(OFFSET($H$3,0,0,'Données projet'!$E$18+1,1))</f>
        <v>266.37807768393191</v>
      </c>
      <c r="HA69" s="59">
        <f t="shared" ref="HA69:HA132" si="106">$HA$3</f>
        <v>168.52019826233425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84"/>
        <v>0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3.8</v>
      </c>
      <c r="N70" s="13">
        <f>IF('Données projet'!$A$36&gt;35,N69+M70-V69,IF(A70&lt;'Données projet'!$A$36,$K$205^A70,IF(A70='Données projet'!$A$36,'Données projet'!$B$36,N69+M70-V69)))</f>
        <v>251.59999999999985</v>
      </c>
      <c r="O70" s="13">
        <f>N70*VLOOKUP('Données projet'!$B$9,Paramètres!$A$1:$I$89,3,0)*VLOOKUP('Données projet'!$B$9,Paramètres!$A$1:$I$89,5,0)</f>
        <v>219.7977599999999</v>
      </c>
      <c r="P70" s="13">
        <f t="shared" si="87"/>
        <v>54.070927503307338</v>
      </c>
      <c r="Q70" s="20">
        <f t="shared" si="54"/>
        <v>476.98796406826</v>
      </c>
      <c r="R70" s="59">
        <f t="shared" si="55"/>
        <v>770.32129740159326</v>
      </c>
      <c r="S70" s="59">
        <f ca="1">AVERAGE(OFFSET($R$3,0,0,'Données projet'!$E$9+1,1))-AVERAGE(OFFSET($H$3,0,0,'Données projet'!$E$9+1,1))</f>
        <v>324.86930206492627</v>
      </c>
      <c r="T70" s="59">
        <f t="shared" si="88"/>
        <v>317.03005098025352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26.543240188128983</v>
      </c>
      <c r="AA70" s="21">
        <f>EXP(-LN(2)/25)*AA69+(1-EXP(-LN(2)/25))/(LN(2)/25)*Calculateur!V70*Calculateur!X70*VLOOKUP('Données projet'!$B$9,Paramètres!$A$1:$I$89,3,0)*0.475*44/12</f>
        <v>11.169786187413232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37.713026375542213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8.1001602564102626</v>
      </c>
      <c r="AI70" s="13">
        <f>IF('Données projet'!$A$62&gt;35,AI69+AH70-AQ69,IF(A70&lt;'Données projet'!$A$62,$AF$205^A70,IF(A70='Données projet'!$A$62,'Données projet'!$B$62,AI69+AH70-AQ69)))</f>
        <v>210.96474358974376</v>
      </c>
      <c r="AJ70" s="13">
        <f>AI70*VLOOKUP('Données projet'!$B$10,Paramètres!$A$1:$I$89,3,0)*VLOOKUP('Données projet'!$B$10,Paramètres!$A$1:$I$89,5,0)</f>
        <v>200.75405000000018</v>
      </c>
      <c r="AK70" s="13">
        <f t="shared" si="89"/>
        <v>49.909848780355581</v>
      </c>
      <c r="AL70" s="20">
        <f t="shared" si="58"/>
        <v>436.57295704245297</v>
      </c>
      <c r="AM70" s="59">
        <f t="shared" si="59"/>
        <v>729.90629037578628</v>
      </c>
      <c r="AN70" s="59">
        <f ca="1">AVERAGE(OFFSET($AM$3,0,0,'Données projet'!$E$10+1,1))-AVERAGE(OFFSET($H$3,0,0,'Données projet'!$E$10+1,1))</f>
        <v>401.81944956556271</v>
      </c>
      <c r="AO70" s="59">
        <f t="shared" si="90"/>
        <v>292.20785523952651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12.205463729041291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12.205463729041291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8.6666666666666661</v>
      </c>
      <c r="BD70" s="12">
        <f>IF('Données projet'!$A$88&gt;35,BD69+BC70-BL69,IF(A70&lt;'Données projet'!$A$88,$BA$205^A70,IF(A70='Données projet'!$A$88,'Données projet'!$B$88,BD69+BC70-BL69)))</f>
        <v>310.6666666666668</v>
      </c>
      <c r="BE70" s="13">
        <f>BD70*VLOOKUP('Données projet'!$B$11,Paramètres!$A$1:$I$89,3,0)*VLOOKUP('Données projet'!$B$11,Paramètres!$A$1:$I$89,5,0)</f>
        <v>242.32000000000011</v>
      </c>
      <c r="BF70" s="13">
        <f t="shared" si="91"/>
        <v>58.938409961900909</v>
      </c>
      <c r="BG70" s="20">
        <f t="shared" si="61"/>
        <v>524.69173068364421</v>
      </c>
      <c r="BH70" s="59">
        <f t="shared" si="62"/>
        <v>818.02506401697747</v>
      </c>
      <c r="BI70" s="59">
        <f ca="1">AVERAGE(OFFSET($BH$3,0,0,'Données projet'!$E$11+1,1))-AVERAGE(OFFSET($H$3,0,0,'Données projet'!$E$11+1,1))</f>
        <v>288.80569134263209</v>
      </c>
      <c r="BJ70" s="59">
        <f t="shared" si="92"/>
        <v>283.48738729114024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21.147844062311442</v>
      </c>
      <c r="BQ70" s="21">
        <f>EXP(-LN(2)/25)*BQ69+(1-EXP(-LN(2)/25))/(LN(2)/25)*Calculateur!BL70*Calculateur!BN70*VLOOKUP('Données projet'!$B$11,Paramètres!$A$1:$I$89,3,0)*0.475*44/12</f>
        <v>20.881843581563889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42.029687643875334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4.2</v>
      </c>
      <c r="BY70" s="12">
        <f>IF('Données projet'!$A$114&gt;35,BY69+BX70-CG69,IF(A70&lt;'Données projet'!$A$114,$BV$205^A70,IF(A70='Données projet'!$A$114,'Données projet'!$B$114,BY69+BX70-CG69)))</f>
        <v>188.39999999999998</v>
      </c>
      <c r="BZ70" s="13">
        <f>BY70*VLOOKUP('Données projet'!$B$12,Paramètres!$A$1:$I$89,3,0)*VLOOKUP('Données projet'!$B$12,Paramètres!$A$1:$I$89,5,0)</f>
        <v>196.91568000000001</v>
      </c>
      <c r="CA70" s="13">
        <f t="shared" si="93"/>
        <v>49.065715635506891</v>
      </c>
      <c r="CB70" s="20">
        <f t="shared" si="64"/>
        <v>428.41759739850778</v>
      </c>
      <c r="CC70" s="59">
        <f t="shared" si="65"/>
        <v>721.75093073184109</v>
      </c>
      <c r="CD70" s="59">
        <f ca="1">AVERAGE(OFFSET($CC$3,0,0,'Données projet'!$E$12+1,1))-AVERAGE(OFFSET($H$3,0,0,'Données projet'!$E$12+1,1))</f>
        <v>352.22281362023102</v>
      </c>
      <c r="CE70" s="59">
        <f t="shared" si="94"/>
        <v>310.2353747925161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8.2972822432575839</v>
      </c>
      <c r="CL70" s="21">
        <f>EXP(-LN(2)/25)*CL69+(1-EXP(-LN(2)/25))/(LN(2)/25)*Calculateur!CG70*Calculateur!CI70*VLOOKUP('Données projet'!$B$12,Paramètres!$A$1:$I$89,3,0)*0.475*44/12</f>
        <v>15.50590956789712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23.803191811154704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167.85897435897436</v>
      </c>
      <c r="CR70" s="12">
        <f>VLOOKUP(A70,'Données projet'!$A$139:$I$159,9,0)</f>
        <v>5.9431089743589762</v>
      </c>
      <c r="CS70" s="12">
        <f t="array" ref="CS70">INDEX(CR:CR,MIN(IF(ISNUMBER(CR70:CR266),ROW(CR70:CR266),"")))</f>
        <v>5.9431089743589762</v>
      </c>
      <c r="CT70" s="12">
        <f>IF('Données projet'!$A$140&gt;35,CT69+CS70-DB69,IF(A70&lt;'Données projet'!$A$140,$CQ$205^A70,IF(A70='Données projet'!$A$140,'Données projet'!$B$140,CT69+CS70-DB69)))</f>
        <v>167.85897435897436</v>
      </c>
      <c r="CU70" s="17">
        <f>CT70*VLOOKUP('Données projet'!$B$13,Paramètres!$A$1:$I$89,3,0)*VLOOKUP('Données projet'!$B$13,Paramètres!$A$1:$I$89,5,0)</f>
        <v>151.87880000000001</v>
      </c>
      <c r="CV70" s="13">
        <f t="shared" si="95"/>
        <v>39.005239858021888</v>
      </c>
      <c r="CW70" s="20">
        <f t="shared" si="67"/>
        <v>332.45636941938818</v>
      </c>
      <c r="CX70" s="59">
        <f t="shared" si="68"/>
        <v>625.7897027527215</v>
      </c>
      <c r="CY70" s="59">
        <f ca="1">AVERAGE(OFFSET($CX$3,0,0,'Données projet'!$E$13+1,1))-AVERAGE(OFFSET($H$3,0,0,'Données projet'!$E$13+1,1))</f>
        <v>345.49688858037996</v>
      </c>
      <c r="CZ70" s="59">
        <f t="shared" si="96"/>
        <v>213.15872113755023</v>
      </c>
      <c r="DA70" s="15">
        <f>IF(ISNA(VLOOKUP(A70,'Données projet'!$A$139:$I$159,3,0)),0,VLOOKUP(A70,'Données projet'!$A$139:$I$159,3,0))</f>
        <v>4</v>
      </c>
      <c r="DB70" s="15">
        <f>IF(ISNA(VLOOKUP(A70,'Données projet'!$A$139:$I$159,4,0)),0,VLOOKUP(A70,'Données projet'!$A$139:$I$159,4,0))</f>
        <v>31.993589743589741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projet'!$A$165:$I$185,2,0)</f>
        <v>167.85897435897436</v>
      </c>
      <c r="DM70" s="12">
        <f>VLOOKUP(A70,'Données projet'!$A$165:$I$185,9,0)</f>
        <v>5.9431089743589762</v>
      </c>
      <c r="DN70" s="12">
        <f t="array" ref="DN70">INDEX(DM:DM,MIN(IF(ISNUMBER(DM70:DM266),ROW(DM70:DM266),"")))</f>
        <v>5.9431089743589762</v>
      </c>
      <c r="DO70" s="12">
        <f>IF('Données projet'!$A$166&gt;35,DO69+DN70-DW69,IF(A70&lt;'Données projet'!$A$166,$DL$205^A70,IF(A70='Données projet'!$A$166,'Données projet'!$B$166,DO69+DN70-DW69)))</f>
        <v>167.85897435897436</v>
      </c>
      <c r="DP70" s="17">
        <f>DO70*VLOOKUP('Données projet'!$B$14,Paramètres!$A$1:$I$89,3,0)*VLOOKUP('Données projet'!$B$14,Paramètres!$A$1:$I$89,5,0)</f>
        <v>170.209</v>
      </c>
      <c r="DQ70" s="13">
        <f t="shared" si="97"/>
        <v>43.136829285053246</v>
      </c>
      <c r="DR70" s="20">
        <f t="shared" si="70"/>
        <v>371.57731933813437</v>
      </c>
      <c r="DS70" s="59">
        <f t="shared" si="71"/>
        <v>664.91065267146769</v>
      </c>
      <c r="DT70" s="59">
        <f ca="1">AVERAGE(OFFSET($DS$3,0,0,'Données projet'!$E$14+1,1))-AVERAGE(OFFSET($H$3,0,0,'Données projet'!$E$14+1,1))</f>
        <v>382.26108489744581</v>
      </c>
      <c r="DU70" s="59">
        <f t="shared" si="98"/>
        <v>233.89423996158826</v>
      </c>
      <c r="DV70" s="15">
        <f>IF(ISNA(VLOOKUP(A70,'Données projet'!$A$165:$I$185,3,0)),0,VLOOKUP(A70,'Données projet'!$A$165:$I$185,3,0))</f>
        <v>4</v>
      </c>
      <c r="DW70" s="15">
        <f>IF(ISNA(VLOOKUP(A70,'Données projet'!$A$165:$I$185,4,0)),0,VLOOKUP(A70,'Données projet'!$A$165:$I$185,4,0))</f>
        <v>31.993589743589741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9.0815018315018357</v>
      </c>
      <c r="EJ70" s="12">
        <f>IF('Données projet'!$A$192&gt;35,EJ69+EI70-ER69,IF(A70&lt;'Données projet'!$A$192,$EG$205^A70,IF(A70='Données projet'!$A$192,'Données projet'!$B$192,EJ69+EI70-ER69)))</f>
        <v>221.63736263736254</v>
      </c>
      <c r="EK70" s="17">
        <f>EJ70*VLOOKUP('Données projet'!$B$15,Paramètres!$A$1:$I$89,3,0)*VLOOKUP('Données projet'!$B$15,Paramètres!$A$1:$I$89,5,0)</f>
        <v>186.70731428571423</v>
      </c>
      <c r="EL70" s="13">
        <f t="shared" si="99"/>
        <v>46.811247783346438</v>
      </c>
      <c r="EM70" s="20">
        <f t="shared" si="73"/>
        <v>406.71149560361397</v>
      </c>
      <c r="EN70" s="59">
        <f t="shared" si="74"/>
        <v>700.04482893694728</v>
      </c>
      <c r="EO70" s="59">
        <f ca="1">AVERAGE(OFFSET($EN$3,0,0,'Données projet'!$E$15+1,1))-AVERAGE(OFFSET($H$3,0,0,'Données projet'!$E$15+1,1))</f>
        <v>312.48716825299158</v>
      </c>
      <c r="EP70" s="59">
        <f t="shared" si="100"/>
        <v>258.68277822755357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27.736492627278082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27.736492627278082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>
        <f>VLOOKUP(A70,'Données projet'!$A$217:$I$237,2,0)</f>
        <v>167.85897435897436</v>
      </c>
      <c r="FC70" s="12">
        <f>VLOOKUP(A70,'Données projet'!$A$217:$I$237,9,0)</f>
        <v>5.9431089743589762</v>
      </c>
      <c r="FD70" s="12">
        <f t="array" ref="FD70">INDEX(FC:FC,MIN(IF(ISNUMBER(FC70:FC266),ROW(FC70:FC266),"")))</f>
        <v>5.9431089743589762</v>
      </c>
      <c r="FE70" s="12">
        <f>IF('Données projet'!$A$218&gt;35,FE69+FD70-FM69,IF(A70&lt;'Données projet'!$A$218,$FB$205^A70,IF(A70='Données projet'!$A$218,'Données projet'!$B$218,FE69+FD70-FM69)))</f>
        <v>167.85897435897436</v>
      </c>
      <c r="FF70" s="17">
        <f>FE70*VLOOKUP('Données projet'!$B$16,Paramètres!$A$1:$I$89,3,0)*VLOOKUP('Données projet'!$B$16,Paramètres!$A$1:$I$89,5,0)</f>
        <v>180.68340000000001</v>
      </c>
      <c r="FG70" s="13">
        <f t="shared" si="101"/>
        <v>45.474196526503945</v>
      </c>
      <c r="FH70" s="20">
        <f t="shared" si="76"/>
        <v>393.89114728366098</v>
      </c>
      <c r="FI70" s="59">
        <f t="shared" si="77"/>
        <v>687.22448061699424</v>
      </c>
      <c r="FJ70" s="59">
        <f ca="1">AVERAGE(OFFSET($FI$3,0,0,'Données projet'!$E$16+1,1))-AVERAGE(OFFSET($H$3,0,0,'Données projet'!$E$16+1,1))</f>
        <v>403.23110963096246</v>
      </c>
      <c r="FK70" s="59">
        <f t="shared" si="102"/>
        <v>245.72000393124898</v>
      </c>
      <c r="FL70" s="15">
        <f>IF(ISNA(VLOOKUP(A70,'Données projet'!$A$217:$I$237,3,0)),0,VLOOKUP(A70,'Données projet'!$A$217:$I$237,3,0))</f>
        <v>4</v>
      </c>
      <c r="FM70" s="15">
        <f>IF(ISNA(VLOOKUP(A70,'Données projet'!$A$217:$I$237,4,0)),0,VLOOKUP(A70,'Données projet'!$A$217:$I$237,4,0))</f>
        <v>31.993589743589741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>
        <f>VLOOKUP(A70,'Données projet'!$A$243:$I$263,2,0)</f>
        <v>167.85897435897436</v>
      </c>
      <c r="FX70" s="12">
        <f>VLOOKUP(A70,'Données projet'!$A$243:$I$263,9,0)</f>
        <v>5.9431089743589762</v>
      </c>
      <c r="FY70" s="12">
        <f t="array" ref="FY70">INDEX(FX:FX,MIN(IF(ISNUMBER(FX70:FX266),ROW(FX70:FX266),"")))</f>
        <v>5.9431089743589762</v>
      </c>
      <c r="FZ70" s="12">
        <f>IF('Données projet'!$A$244&gt;35,FZ69+FY70-GH69,IF(A70&lt;'Données projet'!$A$244,$FW$205^A70,IF(A70='Données projet'!$A$244,'Données projet'!$B$244,FZ69+FY70-GH69)))</f>
        <v>167.85897435897436</v>
      </c>
      <c r="GA70" s="17">
        <f>FZ70*VLOOKUP('Données projet'!$B$17,Paramètres!$A$1:$I$89,3,0)*VLOOKUP('Données projet'!$B$17,Paramètres!$A$1:$I$89,5,0)</f>
        <v>162.35320000000002</v>
      </c>
      <c r="GB70" s="13">
        <f t="shared" si="103"/>
        <v>41.372834375333397</v>
      </c>
      <c r="GC70" s="20">
        <f t="shared" si="79"/>
        <v>354.82284320370565</v>
      </c>
      <c r="GD70" s="59">
        <f t="shared" si="80"/>
        <v>648.15617653703896</v>
      </c>
      <c r="GE70" s="59">
        <f ca="1">AVERAGE(OFFSET($GD$3,0,0,'Données projet'!$E$17+1,1))-AVERAGE(OFFSET($H$3,0,0,'Données projet'!$E$17+1,1))</f>
        <v>336.2911850338175</v>
      </c>
      <c r="GF70" s="59">
        <f t="shared" si="104"/>
        <v>225.01415116995503</v>
      </c>
      <c r="GG70" s="15">
        <f>IF(ISNA(VLOOKUP(A70,'Données projet'!$A$243:$I$263,3,0)),0,VLOOKUP(A70,'Données projet'!$A$243:$I$263,3,0))</f>
        <v>4</v>
      </c>
      <c r="GH70" s="15">
        <f>IF(ISNA(VLOOKUP(A70,'Données projet'!$A$243:$I$263,4,0)),0,VLOOKUP(A70,'Données projet'!$A$243:$I$263,4,0))</f>
        <v>31.993589743589741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0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>
        <f>VLOOKUP(A70,'Données projet'!$A$269:$I$289,2,0)</f>
        <v>167.85897435897436</v>
      </c>
      <c r="GS70" s="12">
        <f>VLOOKUP(A70,'Données projet'!$A$269:$I$289,9,0)</f>
        <v>5.9431089743589762</v>
      </c>
      <c r="GT70" s="12">
        <f t="array" ref="GT70">INDEX(GS:GS,MIN(IF(ISNUMBER(GS70:GS266),ROW(GS70:GS266),"")))</f>
        <v>5.9431089743589762</v>
      </c>
      <c r="GU70" s="12">
        <f>IF('Données projet'!$A$270&gt;35,GU69+GT70-HC69,IF(A70&lt;'Données projet'!$A$270,$GR$205^A70,IF(A70='Données projet'!$A$270,'Données projet'!$B$270,GU69+GT70-HC69)))</f>
        <v>167.85897435897436</v>
      </c>
      <c r="GV70" s="17">
        <f>GU70*VLOOKUP('Données projet'!$B$18,Paramètres!$A$1:$I$89,3,0)*VLOOKUP('Données projet'!$B$18,Paramètres!$A$1:$I$89,5,0)</f>
        <v>112.5998</v>
      </c>
      <c r="GW70" s="13">
        <f t="shared" si="105"/>
        <v>29.942682491325325</v>
      </c>
      <c r="GX70" s="20">
        <f t="shared" si="82"/>
        <v>248.26149033905827</v>
      </c>
      <c r="GY70" s="59">
        <f t="shared" si="83"/>
        <v>541.59482367239161</v>
      </c>
      <c r="GZ70" s="59">
        <f ca="1">AVERAGE(OFFSET($GY$3,0,0,'Données projet'!$E$18+1,1))-AVERAGE(OFFSET($H$3,0,0,'Données projet'!$E$18+1,1))</f>
        <v>266.37807768393191</v>
      </c>
      <c r="HA70" s="59">
        <f t="shared" si="106"/>
        <v>168.52019826233425</v>
      </c>
      <c r="HB70" s="15">
        <f>IF(ISNA(VLOOKUP(A70,'Données projet'!$A$269:$I$289,3,0)),0,VLOOKUP(A70,'Données projet'!$A$269:$I$289,3,0))</f>
        <v>4</v>
      </c>
      <c r="HC70" s="15">
        <f>IF(ISNA(VLOOKUP(A70,'Données projet'!$A$269:$I$289,4,0)),0,VLOOKUP(A70,'Données projet'!$A$269:$I$289,4,0))</f>
        <v>31.993589743589741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84"/>
        <v>0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3.8</v>
      </c>
      <c r="N71" s="13">
        <f>IF('Données projet'!$A$36&gt;35,N70+M71-V70,IF(A71&lt;'Données projet'!$A$36,$K$205^A71,IF(A71='Données projet'!$A$36,'Données projet'!$B$36,N70+M71-V70)))</f>
        <v>255.39999999999986</v>
      </c>
      <c r="O71" s="13">
        <f>N71*VLOOKUP('Données projet'!$B$9,Paramètres!$A$1:$I$89,3,0)*VLOOKUP('Données projet'!$B$9,Paramètres!$A$1:$I$89,5,0)</f>
        <v>223.11743999999993</v>
      </c>
      <c r="P71" s="13">
        <f t="shared" si="87"/>
        <v>54.791890039639448</v>
      </c>
      <c r="Q71" s="20">
        <f t="shared" si="54"/>
        <v>484.02541648570531</v>
      </c>
      <c r="R71" s="59">
        <f t="shared" si="55"/>
        <v>777.35874981903862</v>
      </c>
      <c r="S71" s="59">
        <f ca="1">AVERAGE(OFFSET($R$3,0,0,'Données projet'!$E$9+1,1))-AVERAGE(OFFSET($H$3,0,0,'Données projet'!$E$9+1,1))</f>
        <v>324.86930206492627</v>
      </c>
      <c r="T71" s="59">
        <f t="shared" si="88"/>
        <v>317.03005098025352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26.022743437817681</v>
      </c>
      <c r="AA71" s="21">
        <f>EXP(-LN(2)/25)*AA70+(1-EXP(-LN(2)/25))/(LN(2)/25)*Calculateur!V71*Calculateur!X71*VLOOKUP('Données projet'!$B$9,Paramètres!$A$1:$I$89,3,0)*0.475*44/12</f>
        <v>10.864347796724891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36.887091234542574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8.1001602564102626</v>
      </c>
      <c r="AI71" s="13">
        <f>IF('Données projet'!$A$62&gt;35,AI70+AH71-AQ70,IF(A71&lt;'Données projet'!$A$62,$AF$205^A71,IF(A71='Données projet'!$A$62,'Données projet'!$B$62,AI70+AH71-AQ70)))</f>
        <v>219.06490384615404</v>
      </c>
      <c r="AJ71" s="13">
        <f>AI71*VLOOKUP('Données projet'!$B$10,Paramètres!$A$1:$I$89,3,0)*VLOOKUP('Données projet'!$B$10,Paramètres!$A$1:$I$89,5,0)</f>
        <v>208.4621625000002</v>
      </c>
      <c r="AK71" s="13">
        <f t="shared" si="89"/>
        <v>51.599385893914338</v>
      </c>
      <c r="AL71" s="20">
        <f t="shared" si="58"/>
        <v>452.94053011940122</v>
      </c>
      <c r="AM71" s="59">
        <f t="shared" si="59"/>
        <v>746.27386345273453</v>
      </c>
      <c r="AN71" s="59">
        <f ca="1">AVERAGE(OFFSET($AM$3,0,0,'Données projet'!$E$10+1,1))-AVERAGE(OFFSET($H$3,0,0,'Données projet'!$E$10+1,1))</f>
        <v>401.81944956556271</v>
      </c>
      <c r="AO71" s="59">
        <f t="shared" si="90"/>
        <v>292.20785523952651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11.966122029912574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11.966122029912574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8.6666666666666661</v>
      </c>
      <c r="BD71" s="12">
        <f>IF('Données projet'!$A$88&gt;35,BD70+BC71-BL70,IF(A71&lt;'Données projet'!$A$88,$BA$205^A71,IF(A71='Données projet'!$A$88,'Données projet'!$B$88,BD70+BC71-BL70)))</f>
        <v>319.33333333333348</v>
      </c>
      <c r="BE71" s="13">
        <f>BD71*VLOOKUP('Données projet'!$B$11,Paramètres!$A$1:$I$89,3,0)*VLOOKUP('Données projet'!$B$11,Paramètres!$A$1:$I$89,5,0)</f>
        <v>249.08000000000013</v>
      </c>
      <c r="BF71" s="13">
        <f t="shared" si="91"/>
        <v>60.388894447487857</v>
      </c>
      <c r="BG71" s="20">
        <f t="shared" si="61"/>
        <v>538.99165782937473</v>
      </c>
      <c r="BH71" s="59">
        <f t="shared" si="62"/>
        <v>832.3249911627081</v>
      </c>
      <c r="BI71" s="59">
        <f ca="1">AVERAGE(OFFSET($BH$3,0,0,'Données projet'!$E$11+1,1))-AVERAGE(OFFSET($H$3,0,0,'Données projet'!$E$11+1,1))</f>
        <v>288.80569134263209</v>
      </c>
      <c r="BJ71" s="59">
        <f t="shared" si="92"/>
        <v>283.48738729114024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20.733147739160732</v>
      </c>
      <c r="BQ71" s="21">
        <f>EXP(-LN(2)/25)*BQ70+(1-EXP(-LN(2)/25))/(LN(2)/25)*Calculateur!BL71*Calculateur!BN71*VLOOKUP('Données projet'!$B$11,Paramètres!$A$1:$I$89,3,0)*0.475*44/12</f>
        <v>20.310828470697597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41.043976209858329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4.2</v>
      </c>
      <c r="BY71" s="12">
        <f>IF('Données projet'!$A$114&gt;35,BY70+BX71-CG70,IF(A71&lt;'Données projet'!$A$114,$BV$205^A71,IF(A71='Données projet'!$A$114,'Données projet'!$B$114,BY70+BX71-CG70)))</f>
        <v>192.59999999999997</v>
      </c>
      <c r="BZ71" s="13">
        <f>BY71*VLOOKUP('Données projet'!$B$12,Paramètres!$A$1:$I$89,3,0)*VLOOKUP('Données projet'!$B$12,Paramètres!$A$1:$I$89,5,0)</f>
        <v>201.30551999999997</v>
      </c>
      <c r="CA71" s="13">
        <f t="shared" si="93"/>
        <v>50.030972770730415</v>
      </c>
      <c r="CB71" s="20">
        <f t="shared" si="64"/>
        <v>437.74439157568872</v>
      </c>
      <c r="CC71" s="59">
        <f t="shared" si="65"/>
        <v>731.07772490902198</v>
      </c>
      <c r="CD71" s="59">
        <f ca="1">AVERAGE(OFFSET($CC$3,0,0,'Données projet'!$E$12+1,1))-AVERAGE(OFFSET($H$3,0,0,'Données projet'!$E$12+1,1))</f>
        <v>352.22281362023102</v>
      </c>
      <c r="CE71" s="59">
        <f t="shared" si="94"/>
        <v>310.2353747925161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8.134577599309754</v>
      </c>
      <c r="CL71" s="21">
        <f>EXP(-LN(2)/25)*CL70+(1-EXP(-LN(2)/25))/(LN(2)/25)*Calculateur!CG71*Calculateur!CI71*VLOOKUP('Données projet'!$B$12,Paramètres!$A$1:$I$89,3,0)*0.475*44/12</f>
        <v>15.081899655342628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23.216477254652382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5.6899038461538431</v>
      </c>
      <c r="CT71" s="12">
        <f>IF('Données projet'!$A$140&gt;35,CT70+CS71-DB70,IF(A71&lt;'Données projet'!$A$140,$CQ$205^A71,IF(A71='Données projet'!$A$140,'Données projet'!$B$140,CT70+CS71-DB70)))</f>
        <v>141.55528846153845</v>
      </c>
      <c r="CU71" s="17">
        <f>CT71*VLOOKUP('Données projet'!$B$13,Paramètres!$A$1:$I$89,3,0)*VLOOKUP('Données projet'!$B$13,Paramètres!$A$1:$I$89,5,0)</f>
        <v>128.07922499999998</v>
      </c>
      <c r="CV71" s="13">
        <f t="shared" si="95"/>
        <v>33.552140849481908</v>
      </c>
      <c r="CW71" s="20">
        <f t="shared" si="67"/>
        <v>281.50796218784762</v>
      </c>
      <c r="CX71" s="59">
        <f t="shared" si="68"/>
        <v>574.84129552118088</v>
      </c>
      <c r="CY71" s="59">
        <f ca="1">AVERAGE(OFFSET($CX$3,0,0,'Données projet'!$E$13+1,1))-AVERAGE(OFFSET($H$3,0,0,'Données projet'!$E$13+1,1))</f>
        <v>345.49688858037996</v>
      </c>
      <c r="CZ71" s="59">
        <f t="shared" si="96"/>
        <v>213.15872113755023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5.6899038461538431</v>
      </c>
      <c r="DO71" s="12">
        <f>IF('Données projet'!$A$166&gt;35,DO70+DN71-DW70,IF(A71&lt;'Données projet'!$A$166,$DL$205^A71,IF(A71='Données projet'!$A$166,'Données projet'!$B$166,DO70+DN71-DW70)))</f>
        <v>141.55528846153845</v>
      </c>
      <c r="DP71" s="17">
        <f>DO71*VLOOKUP('Données projet'!$B$14,Paramètres!$A$1:$I$89,3,0)*VLOOKUP('Données projet'!$B$14,Paramètres!$A$1:$I$89,5,0)</f>
        <v>143.53706249999999</v>
      </c>
      <c r="DQ71" s="13">
        <f t="shared" si="97"/>
        <v>37.106116440776098</v>
      </c>
      <c r="DR71" s="20">
        <f t="shared" si="70"/>
        <v>314.62020332185165</v>
      </c>
      <c r="DS71" s="59">
        <f t="shared" si="71"/>
        <v>607.95353665518496</v>
      </c>
      <c r="DT71" s="59">
        <f ca="1">AVERAGE(OFFSET($DS$3,0,0,'Données projet'!$E$14+1,1))-AVERAGE(OFFSET($H$3,0,0,'Données projet'!$E$14+1,1))</f>
        <v>382.26108489744581</v>
      </c>
      <c r="DU71" s="59">
        <f t="shared" si="98"/>
        <v>233.89423996158826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9.0815018315018357</v>
      </c>
      <c r="EJ71" s="12">
        <f>IF('Données projet'!$A$192&gt;35,EJ70+EI71-ER70,IF(A71&lt;'Données projet'!$A$192,$EG$205^A71,IF(A71='Données projet'!$A$192,'Données projet'!$B$192,EJ70+EI71-ER70)))</f>
        <v>230.71886446886438</v>
      </c>
      <c r="EK71" s="17">
        <f>EJ71*VLOOKUP('Données projet'!$B$15,Paramètres!$A$1:$I$89,3,0)*VLOOKUP('Données projet'!$B$15,Paramètres!$A$1:$I$89,5,0)</f>
        <v>194.35757142857139</v>
      </c>
      <c r="EL71" s="13">
        <f t="shared" si="99"/>
        <v>48.502074932417422</v>
      </c>
      <c r="EM71" s="20">
        <f t="shared" si="73"/>
        <v>422.98055074538883</v>
      </c>
      <c r="EN71" s="59">
        <f t="shared" si="74"/>
        <v>716.31388407872214</v>
      </c>
      <c r="EO71" s="59">
        <f ca="1">AVERAGE(OFFSET($EN$3,0,0,'Données projet'!$E$15+1,1))-AVERAGE(OFFSET($H$3,0,0,'Données projet'!$E$15+1,1))</f>
        <v>312.48716825299158</v>
      </c>
      <c r="EP71" s="59">
        <f t="shared" si="100"/>
        <v>258.68277822755357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27.192596924447187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27.192596924447187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5.6899038461538431</v>
      </c>
      <c r="FE71" s="12">
        <f>IF('Données projet'!$A$218&gt;35,FE70+FD71-FM70,IF(A71&lt;'Données projet'!$A$218,$FB$205^A71,IF(A71='Données projet'!$A$218,'Données projet'!$B$218,FE70+FD71-FM70)))</f>
        <v>141.55528846153845</v>
      </c>
      <c r="FF71" s="17">
        <f>FE71*VLOOKUP('Données projet'!$B$16,Paramètres!$A$1:$I$89,3,0)*VLOOKUP('Données projet'!$B$16,Paramètres!$A$1:$I$89,5,0)</f>
        <v>152.3701125</v>
      </c>
      <c r="FG71" s="13">
        <f t="shared" si="101"/>
        <v>39.116709765867299</v>
      </c>
      <c r="FH71" s="20">
        <f t="shared" si="76"/>
        <v>333.50621544638557</v>
      </c>
      <c r="FI71" s="59">
        <f t="shared" si="77"/>
        <v>626.83954877971883</v>
      </c>
      <c r="FJ71" s="59">
        <f ca="1">AVERAGE(OFFSET($FI$3,0,0,'Données projet'!$E$16+1,1))-AVERAGE(OFFSET($H$3,0,0,'Données projet'!$E$16+1,1))</f>
        <v>403.23110963096246</v>
      </c>
      <c r="FK71" s="59">
        <f t="shared" si="102"/>
        <v>245.72000393124898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5.6899038461538431</v>
      </c>
      <c r="FZ71" s="12">
        <f>IF('Données projet'!$A$244&gt;35,FZ70+FY71-GH70,IF(A71&lt;'Données projet'!$A$244,$FW$205^A71,IF(A71='Données projet'!$A$244,'Données projet'!$B$244,FZ70+FY71-GH70)))</f>
        <v>141.55528846153845</v>
      </c>
      <c r="GA71" s="17">
        <f>FZ71*VLOOKUP('Données projet'!$B$17,Paramètres!$A$1:$I$89,3,0)*VLOOKUP('Données projet'!$B$17,Paramètres!$A$1:$I$89,5,0)</f>
        <v>136.91227499999999</v>
      </c>
      <c r="GB71" s="13">
        <f t="shared" si="103"/>
        <v>35.588735548256899</v>
      </c>
      <c r="GC71" s="20">
        <f t="shared" si="79"/>
        <v>300.43926003821406</v>
      </c>
      <c r="GD71" s="59">
        <f t="shared" si="80"/>
        <v>593.77259337154737</v>
      </c>
      <c r="GE71" s="59">
        <f ca="1">AVERAGE(OFFSET($GD$3,0,0,'Données projet'!$E$17+1,1))-AVERAGE(OFFSET($H$3,0,0,'Données projet'!$E$17+1,1))</f>
        <v>336.2911850338175</v>
      </c>
      <c r="GF71" s="59">
        <f t="shared" si="104"/>
        <v>225.01415116995503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0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5.6899038461538431</v>
      </c>
      <c r="GU71" s="12">
        <f>IF('Données projet'!$A$270&gt;35,GU70+GT71-HC70,IF(A71&lt;'Données projet'!$A$270,$GR$205^A71,IF(A71='Données projet'!$A$270,'Données projet'!$B$270,GU70+GT71-HC70)))</f>
        <v>141.55528846153845</v>
      </c>
      <c r="GV71" s="17">
        <f>GU71*VLOOKUP('Données projet'!$B$18,Paramètres!$A$1:$I$89,3,0)*VLOOKUP('Données projet'!$B$18,Paramètres!$A$1:$I$89,5,0)</f>
        <v>94.955287499999997</v>
      </c>
      <c r="GW71" s="13">
        <f t="shared" si="105"/>
        <v>25.756567682114792</v>
      </c>
      <c r="GX71" s="20">
        <f t="shared" si="82"/>
        <v>210.23981444218327</v>
      </c>
      <c r="GY71" s="59">
        <f t="shared" si="83"/>
        <v>503.57314777551659</v>
      </c>
      <c r="GZ71" s="59">
        <f ca="1">AVERAGE(OFFSET($GY$3,0,0,'Données projet'!$E$18+1,1))-AVERAGE(OFFSET($H$3,0,0,'Données projet'!$E$18+1,1))</f>
        <v>266.37807768393191</v>
      </c>
      <c r="HA71" s="59">
        <f t="shared" si="106"/>
        <v>168.52019826233425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84"/>
        <v>0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3.8</v>
      </c>
      <c r="N72" s="13">
        <f>IF('Données projet'!$A$36&gt;35,N71+M72-V71,IF(A72&lt;'Données projet'!$A$36,$K$205^A72,IF(A72='Données projet'!$A$36,'Données projet'!$B$36,N71+M72-V71)))</f>
        <v>259.19999999999987</v>
      </c>
      <c r="O72" s="13">
        <f>N72*VLOOKUP('Données projet'!$B$9,Paramètres!$A$1:$I$89,3,0)*VLOOKUP('Données projet'!$B$9,Paramètres!$A$1:$I$89,5,0)</f>
        <v>226.43711999999991</v>
      </c>
      <c r="P72" s="13">
        <f t="shared" si="87"/>
        <v>55.5116049933753</v>
      </c>
      <c r="Q72" s="20">
        <f t="shared" si="54"/>
        <v>491.06069603012844</v>
      </c>
      <c r="R72" s="59">
        <f t="shared" si="55"/>
        <v>784.39402936346175</v>
      </c>
      <c r="S72" s="59">
        <f ca="1">AVERAGE(OFFSET($R$3,0,0,'Données projet'!$E$9+1,1))-AVERAGE(OFFSET($H$3,0,0,'Données projet'!$E$9+1,1))</f>
        <v>324.86930206492627</v>
      </c>
      <c r="T72" s="59">
        <f t="shared" si="88"/>
        <v>317.03005098025352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25.512453311308313</v>
      </c>
      <c r="AA72" s="21">
        <f>EXP(-LN(2)/25)*AA71+(1-EXP(-LN(2)/25))/(LN(2)/25)*Calculateur!V72*Calculateur!X72*VLOOKUP('Données projet'!$B$9,Paramètres!$A$1:$I$89,3,0)*0.475*44/12</f>
        <v>10.56726163489223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36.079714946200539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8.1001602564102626</v>
      </c>
      <c r="AI72" s="13">
        <f>IF('Données projet'!$A$62&gt;35,AI71+AH72-AQ71,IF(A72&lt;'Données projet'!$A$62,$AF$205^A72,IF(A72='Données projet'!$A$62,'Données projet'!$B$62,AI71+AH72-AQ71)))</f>
        <v>227.16506410256432</v>
      </c>
      <c r="AJ72" s="13">
        <f>AI72*VLOOKUP('Données projet'!$B$10,Paramètres!$A$1:$I$89,3,0)*VLOOKUP('Données projet'!$B$10,Paramètres!$A$1:$I$89,5,0)</f>
        <v>216.17027500000017</v>
      </c>
      <c r="AK72" s="13">
        <f t="shared" si="89"/>
        <v>53.28166509380884</v>
      </c>
      <c r="AL72" s="20">
        <f t="shared" si="58"/>
        <v>469.29546233005067</v>
      </c>
      <c r="AM72" s="59">
        <f t="shared" si="59"/>
        <v>762.62879566338393</v>
      </c>
      <c r="AN72" s="59">
        <f ca="1">AVERAGE(OFFSET($AM$3,0,0,'Données projet'!$E$10+1,1))-AVERAGE(OFFSET($H$3,0,0,'Données projet'!$E$10+1,1))</f>
        <v>401.81944956556271</v>
      </c>
      <c r="AO72" s="59">
        <f t="shared" si="90"/>
        <v>292.20785523952651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11.731473675519748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11.731473675519748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328</v>
      </c>
      <c r="BB72" s="12">
        <f>VLOOKUP(A72,'Données projet'!$A$87:$I$107,9,0)</f>
        <v>8.6666666666666661</v>
      </c>
      <c r="BC72" s="12">
        <f t="array" ref="BC72">INDEX(BB:BB,MIN(IF(ISNUMBER(BB72:BB268),ROW(BB72:BB268),"")))</f>
        <v>8.6666666666666661</v>
      </c>
      <c r="BD72" s="12">
        <f>IF('Données projet'!$A$88&gt;35,BD71+BC72-BL71,IF(A72&lt;'Données projet'!$A$88,$BA$205^A72,IF(A72='Données projet'!$A$88,'Données projet'!$B$88,BD71+BC72-BL71)))</f>
        <v>328.00000000000017</v>
      </c>
      <c r="BE72" s="13">
        <f>BD72*VLOOKUP('Données projet'!$B$11,Paramètres!$A$1:$I$89,3,0)*VLOOKUP('Données projet'!$B$11,Paramètres!$A$1:$I$89,5,0)</f>
        <v>255.84000000000015</v>
      </c>
      <c r="BF72" s="13">
        <f t="shared" si="91"/>
        <v>61.834803371075886</v>
      </c>
      <c r="BG72" s="20">
        <f t="shared" si="61"/>
        <v>553.28361587129086</v>
      </c>
      <c r="BH72" s="59">
        <f t="shared" si="62"/>
        <v>846.61694920462423</v>
      </c>
      <c r="BI72" s="59">
        <f ca="1">AVERAGE(OFFSET($BH$3,0,0,'Données projet'!$E$11+1,1))-AVERAGE(OFFSET($H$3,0,0,'Données projet'!$E$11+1,1))</f>
        <v>288.80569134263209</v>
      </c>
      <c r="BJ72" s="59">
        <f t="shared" si="92"/>
        <v>283.48738729114024</v>
      </c>
      <c r="BK72" s="15" t="str">
        <f>IF(ISNA(VLOOKUP(A72,'Données projet'!$A$87:$I$107,3,0)),0,VLOOKUP(A72,'Données projet'!$A$87:$I$107,3,0))</f>
        <v>CR</v>
      </c>
      <c r="BL72" s="15">
        <f>IF(ISNA(VLOOKUP(A72,'Données projet'!$A$87:$I$107,4,0)),0,VLOOKUP(A72,'Données projet'!$A$87:$I$107,4,0))</f>
        <v>328</v>
      </c>
      <c r="BM72" s="16">
        <f>IF(ISNA(VLOOKUP(A72,'Données projet'!$A$87:$I$107,5,0)),0%,VLOOKUP(A72,'Données projet'!$A$87:$I$107,5,0)*VLOOKUP('Données projet'!$B$11,Paramètres!$A$1:$I$89,7,0))</f>
        <v>0.215</v>
      </c>
      <c r="BN72" s="16">
        <f>IF(ISNA(VLOOKUP(A72,'Données projet'!$A$87:$I$107,6,0)),0%,VLOOKUP(A72,'Données projet'!$A$87:$I$107,6,0)*VLOOKUP('Données projet'!$B$11,Paramètres!$A$1:$I$89,7,0))</f>
        <v>0.17200000000000001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81.133644866404865</v>
      </c>
      <c r="BQ72" s="21">
        <f>EXP(-LN(2)/25)*BQ71+(1-EXP(-LN(2)/25))/(LN(2)/25)*Calculateur!BL72*Calculateur!BN72*VLOOKUP('Données projet'!$B$11,Paramètres!$A$1:$I$89,3,0)*0.475*44/12</f>
        <v>68.209540548443968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149.34318541484885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4.2</v>
      </c>
      <c r="BY72" s="12">
        <f>IF('Données projet'!$A$114&gt;35,BY71+BX72-CG71,IF(A72&lt;'Données projet'!$A$114,$BV$205^A72,IF(A72='Données projet'!$A$114,'Données projet'!$B$114,BY71+BX72-CG71)))</f>
        <v>196.79999999999995</v>
      </c>
      <c r="BZ72" s="13">
        <f>BY72*VLOOKUP('Données projet'!$B$12,Paramètres!$A$1:$I$89,3,0)*VLOOKUP('Données projet'!$B$12,Paramètres!$A$1:$I$89,5,0)</f>
        <v>205.69535999999997</v>
      </c>
      <c r="CA72" s="13">
        <f t="shared" si="93"/>
        <v>50.993782678591273</v>
      </c>
      <c r="CB72" s="20">
        <f t="shared" si="64"/>
        <v>447.06692349854637</v>
      </c>
      <c r="CC72" s="59">
        <f t="shared" si="65"/>
        <v>740.40025683187969</v>
      </c>
      <c r="CD72" s="59">
        <f ca="1">AVERAGE(OFFSET($CC$3,0,0,'Données projet'!$E$12+1,1))-AVERAGE(OFFSET($H$3,0,0,'Données projet'!$E$12+1,1))</f>
        <v>352.22281362023102</v>
      </c>
      <c r="CE72" s="59">
        <f t="shared" si="94"/>
        <v>310.2353747925161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7.9750634941897074</v>
      </c>
      <c r="CL72" s="21">
        <f>EXP(-LN(2)/25)*CL71+(1-EXP(-LN(2)/25))/(LN(2)/25)*Calculateur!CG72*Calculateur!CI72*VLOOKUP('Données projet'!$B$12,Paramètres!$A$1:$I$89,3,0)*0.475*44/12</f>
        <v>14.669484316144651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22.644547810334359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5.6899038461538431</v>
      </c>
      <c r="CT72" s="12">
        <f>IF('Données projet'!$A$140&gt;35,CT71+CS72-DB71,IF(A72&lt;'Données projet'!$A$140,$CQ$205^A72,IF(A72='Données projet'!$A$140,'Données projet'!$B$140,CT71+CS72-DB71)))</f>
        <v>147.24519230769229</v>
      </c>
      <c r="CU72" s="17">
        <f>CT72*VLOOKUP('Données projet'!$B$13,Paramètres!$A$1:$I$89,3,0)*VLOOKUP('Données projet'!$B$13,Paramètres!$A$1:$I$89,5,0)</f>
        <v>133.22744999999998</v>
      </c>
      <c r="CV72" s="13">
        <f t="shared" si="95"/>
        <v>34.741060528773644</v>
      </c>
      <c r="CW72" s="20">
        <f t="shared" si="67"/>
        <v>292.545155837614</v>
      </c>
      <c r="CX72" s="59">
        <f t="shared" si="68"/>
        <v>585.87848917094732</v>
      </c>
      <c r="CY72" s="59">
        <f ca="1">AVERAGE(OFFSET($CX$3,0,0,'Données projet'!$E$13+1,1))-AVERAGE(OFFSET($H$3,0,0,'Données projet'!$E$13+1,1))</f>
        <v>345.49688858037996</v>
      </c>
      <c r="CZ72" s="59">
        <f t="shared" si="96"/>
        <v>213.15872113755023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5.6899038461538431</v>
      </c>
      <c r="DO72" s="12">
        <f>IF('Données projet'!$A$166&gt;35,DO71+DN72-DW71,IF(A72&lt;'Données projet'!$A$166,$DL$205^A72,IF(A72='Données projet'!$A$166,'Données projet'!$B$166,DO71+DN72-DW71)))</f>
        <v>147.24519230769229</v>
      </c>
      <c r="DP72" s="17">
        <f>DO72*VLOOKUP('Données projet'!$B$14,Paramètres!$A$1:$I$89,3,0)*VLOOKUP('Données projet'!$B$14,Paramètres!$A$1:$I$89,5,0)</f>
        <v>149.306625</v>
      </c>
      <c r="DQ72" s="13">
        <f t="shared" si="97"/>
        <v>38.420971199416954</v>
      </c>
      <c r="DR72" s="20">
        <f t="shared" si="70"/>
        <v>326.95889671398453</v>
      </c>
      <c r="DS72" s="59">
        <f t="shared" si="71"/>
        <v>620.29223004731784</v>
      </c>
      <c r="DT72" s="59">
        <f ca="1">AVERAGE(OFFSET($DS$3,0,0,'Données projet'!$E$14+1,1))-AVERAGE(OFFSET($H$3,0,0,'Données projet'!$E$14+1,1))</f>
        <v>382.26108489744581</v>
      </c>
      <c r="DU72" s="59">
        <f t="shared" si="98"/>
        <v>233.89423996158826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9.0815018315018357</v>
      </c>
      <c r="EJ72" s="12">
        <f>IF('Données projet'!$A$192&gt;35,EJ71+EI72-ER71,IF(A72&lt;'Données projet'!$A$192,$EG$205^A72,IF(A72='Données projet'!$A$192,'Données projet'!$B$192,EJ71+EI72-ER71)))</f>
        <v>239.80036630036622</v>
      </c>
      <c r="EK72" s="17">
        <f>EJ72*VLOOKUP('Données projet'!$B$15,Paramètres!$A$1:$I$89,3,0)*VLOOKUP('Données projet'!$B$15,Paramètres!$A$1:$I$89,5,0)</f>
        <v>202.00782857142855</v>
      </c>
      <c r="EL72" s="13">
        <f t="shared" si="99"/>
        <v>50.185170814026193</v>
      </c>
      <c r="EM72" s="20">
        <f t="shared" si="73"/>
        <v>439.23614059633366</v>
      </c>
      <c r="EN72" s="59">
        <f t="shared" si="74"/>
        <v>732.56947392966697</v>
      </c>
      <c r="EO72" s="59">
        <f ca="1">AVERAGE(OFFSET($EN$3,0,0,'Données projet'!$E$15+1,1))-AVERAGE(OFFSET($H$3,0,0,'Données projet'!$E$15+1,1))</f>
        <v>312.48716825299158</v>
      </c>
      <c r="EP72" s="59">
        <f t="shared" si="100"/>
        <v>258.68277822755357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26.659366684605185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26.659366684605185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5.6899038461538431</v>
      </c>
      <c r="FE72" s="12">
        <f>IF('Données projet'!$A$218&gt;35,FE71+FD72-FM71,IF(A72&lt;'Données projet'!$A$218,$FB$205^A72,IF(A72='Données projet'!$A$218,'Données projet'!$B$218,FE71+FD72-FM71)))</f>
        <v>147.24519230769229</v>
      </c>
      <c r="FF72" s="17">
        <f>FE72*VLOOKUP('Données projet'!$B$16,Paramètres!$A$1:$I$89,3,0)*VLOOKUP('Données projet'!$B$16,Paramètres!$A$1:$I$89,5,0)</f>
        <v>158.49472499999999</v>
      </c>
      <c r="FG72" s="13">
        <f t="shared" si="101"/>
        <v>40.502809873112795</v>
      </c>
      <c r="FH72" s="20">
        <f t="shared" si="76"/>
        <v>346.58737323733811</v>
      </c>
      <c r="FI72" s="59">
        <f t="shared" si="77"/>
        <v>639.92070657067143</v>
      </c>
      <c r="FJ72" s="59">
        <f ca="1">AVERAGE(OFFSET($FI$3,0,0,'Données projet'!$E$16+1,1))-AVERAGE(OFFSET($H$3,0,0,'Données projet'!$E$16+1,1))</f>
        <v>403.23110963096246</v>
      </c>
      <c r="FK72" s="59">
        <f t="shared" si="102"/>
        <v>245.72000393124898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5.6899038461538431</v>
      </c>
      <c r="FZ72" s="12">
        <f>IF('Données projet'!$A$244&gt;35,FZ71+FY72-GH71,IF(A72&lt;'Données projet'!$A$244,$FW$205^A72,IF(A72='Données projet'!$A$244,'Données projet'!$B$244,FZ71+FY72-GH71)))</f>
        <v>147.24519230769229</v>
      </c>
      <c r="GA72" s="17">
        <f>FZ72*VLOOKUP('Données projet'!$B$17,Paramètres!$A$1:$I$89,3,0)*VLOOKUP('Données projet'!$B$17,Paramètres!$A$1:$I$89,5,0)</f>
        <v>142.41555</v>
      </c>
      <c r="GB72" s="13">
        <f t="shared" si="103"/>
        <v>36.849821934495218</v>
      </c>
      <c r="GC72" s="20">
        <f t="shared" si="79"/>
        <v>312.22052278591252</v>
      </c>
      <c r="GD72" s="59">
        <f t="shared" si="80"/>
        <v>605.55385611924589</v>
      </c>
      <c r="GE72" s="59">
        <f ca="1">AVERAGE(OFFSET($GD$3,0,0,'Données projet'!$E$17+1,1))-AVERAGE(OFFSET($H$3,0,0,'Données projet'!$E$17+1,1))</f>
        <v>336.2911850338175</v>
      </c>
      <c r="GF72" s="59">
        <f t="shared" si="104"/>
        <v>225.01415116995503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0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5.6899038461538431</v>
      </c>
      <c r="GU72" s="12">
        <f>IF('Données projet'!$A$270&gt;35,GU71+GT72-HC71,IF(A72&lt;'Données projet'!$A$270,$GR$205^A72,IF(A72='Données projet'!$A$270,'Données projet'!$B$270,GU71+GT72-HC71)))</f>
        <v>147.24519230769229</v>
      </c>
      <c r="GV72" s="17">
        <f>GU72*VLOOKUP('Données projet'!$B$18,Paramètres!$A$1:$I$89,3,0)*VLOOKUP('Données projet'!$B$18,Paramètres!$A$1:$I$89,5,0)</f>
        <v>98.772075000000001</v>
      </c>
      <c r="GW72" s="13">
        <f t="shared" si="105"/>
        <v>26.669251326525181</v>
      </c>
      <c r="GX72" s="20">
        <f t="shared" si="82"/>
        <v>218.47697668536469</v>
      </c>
      <c r="GY72" s="59">
        <f t="shared" si="83"/>
        <v>511.81031001869803</v>
      </c>
      <c r="GZ72" s="59">
        <f ca="1">AVERAGE(OFFSET($GY$3,0,0,'Données projet'!$E$18+1,1))-AVERAGE(OFFSET($H$3,0,0,'Données projet'!$E$18+1,1))</f>
        <v>266.37807768393191</v>
      </c>
      <c r="HA72" s="59">
        <f t="shared" si="106"/>
        <v>168.52019826233425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84"/>
        <v>0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3.8</v>
      </c>
      <c r="M73" s="12">
        <f t="array" ref="M73">INDEX(L:L,MIN(IF(ISNUMBER(L73:L269),ROW(L73:L269),"")))</f>
        <v>3.8</v>
      </c>
      <c r="N73" s="13">
        <f>IF('Données projet'!$A$36&gt;35,N72+M73-V72,IF(A73&lt;'Données projet'!$A$36,$K$205^A73,IF(A73='Données projet'!$A$36,'Données projet'!$B$36,N72+M73-V72)))</f>
        <v>262.99999999999989</v>
      </c>
      <c r="O73" s="13">
        <f>N73*VLOOKUP('Données projet'!$B$9,Paramètres!$A$1:$I$89,3,0)*VLOOKUP('Données projet'!$B$9,Paramètres!$A$1:$I$89,5,0)</f>
        <v>229.75679999999991</v>
      </c>
      <c r="P73" s="13">
        <f t="shared" si="87"/>
        <v>56.23009276772752</v>
      </c>
      <c r="Q73" s="20">
        <f t="shared" si="54"/>
        <v>498.09383823712528</v>
      </c>
      <c r="R73" s="59">
        <f t="shared" si="55"/>
        <v>791.42717157045854</v>
      </c>
      <c r="S73" s="59">
        <f ca="1">AVERAGE(OFFSET($R$3,0,0,'Données projet'!$E$9+1,1))-AVERAGE(OFFSET($H$3,0,0,'Données projet'!$E$9+1,1))</f>
        <v>324.86930206492627</v>
      </c>
      <c r="T73" s="59">
        <f t="shared" si="88"/>
        <v>317.03005098025352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10</v>
      </c>
      <c r="W73" s="16">
        <f>IF(ISNA(VLOOKUP(A73,'Données projet'!$A$35:$I$55,5,0)),0%,VLOOKUP(A73,'Données projet'!$A$35:$I$55,5,0)*VLOOKUP('Données projet'!$B$9,Paramètres!$A$1:$I$89,7,0))</f>
        <v>0.47700000000000004</v>
      </c>
      <c r="X73" s="16">
        <f>IF(ISNA(VLOOKUP(A73,'Données projet'!$A$35:$I$55,6,0)),0%,VLOOKUP(A73,'Données projet'!$A$35:$I$55,6,0)*VLOOKUP('Données projet'!$B$9,Paramètres!$A$1:$I$89,7,0))</f>
        <v>5.3000000000000005E-2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29.618744328314683</v>
      </c>
      <c r="AA73" s="21">
        <f>EXP(-LN(2)/25)*AA72+(1-EXP(-LN(2)/25))/(LN(2)/25)*Calculateur!V73*Calculateur!X73*VLOOKUP('Données projet'!$B$9,Paramètres!$A$1:$I$89,3,0)*0.475*44/12</f>
        <v>10.788125623742516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40.4068699520572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8.1001602564102626</v>
      </c>
      <c r="AI73" s="13">
        <f>IF('Données projet'!$A$62&gt;35,AI72+AH73-AQ72,IF(A73&lt;'Données projet'!$A$62,$AF$205^A73,IF(A73='Données projet'!$A$62,'Données projet'!$B$62,AI72+AH73-AQ72)))</f>
        <v>235.26522435897459</v>
      </c>
      <c r="AJ73" s="13">
        <f>AI73*VLOOKUP('Données projet'!$B$10,Paramètres!$A$1:$I$89,3,0)*VLOOKUP('Données projet'!$B$10,Paramètres!$A$1:$I$89,5,0)</f>
        <v>223.8783875000002</v>
      </c>
      <c r="AK73" s="13">
        <f t="shared" si="89"/>
        <v>54.956974829619661</v>
      </c>
      <c r="AL73" s="20">
        <f t="shared" si="58"/>
        <v>485.63825605742119</v>
      </c>
      <c r="AM73" s="59">
        <f t="shared" si="59"/>
        <v>778.9715893907545</v>
      </c>
      <c r="AN73" s="59">
        <f ca="1">AVERAGE(OFFSET($AM$3,0,0,'Données projet'!$E$10+1,1))-AVERAGE(OFFSET($H$3,0,0,'Données projet'!$E$10+1,1))</f>
        <v>401.81944956556271</v>
      </c>
      <c r="AO73" s="59">
        <f t="shared" si="90"/>
        <v>292.20785523952651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11.501426632235201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11.501426632235201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1.7053025658242404E-13</v>
      </c>
      <c r="BE73" s="13">
        <f>BD73*VLOOKUP('Données projet'!$B$11,Paramètres!$A$1:$I$89,3,0)*VLOOKUP('Données projet'!$B$11,Paramètres!$A$1:$I$89,5,0)</f>
        <v>1.3301360013429075E-13</v>
      </c>
      <c r="BF73" s="13">
        <f t="shared" si="91"/>
        <v>1.9329766731057041E-12</v>
      </c>
      <c r="BG73" s="20">
        <f t="shared" si="61"/>
        <v>3.5982663925596575E-12</v>
      </c>
      <c r="BH73" s="59">
        <f t="shared" si="62"/>
        <v>293.3333333333369</v>
      </c>
      <c r="BI73" s="59">
        <f ca="1">AVERAGE(OFFSET($BH$3,0,0,'Données projet'!$E$11+1,1))-AVERAGE(OFFSET($H$3,0,0,'Données projet'!$E$11+1,1))</f>
        <v>288.80569134263209</v>
      </c>
      <c r="BJ73" s="59">
        <f t="shared" si="92"/>
        <v>283.48738729114024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79.542663577211641</v>
      </c>
      <c r="BQ73" s="21">
        <f>EXP(-LN(2)/25)*BQ72+(1-EXP(-LN(2)/25))/(LN(2)/25)*Calculateur!BL73*Calculateur!BN73*VLOOKUP('Données projet'!$B$11,Paramètres!$A$1:$I$89,3,0)*0.475*44/12</f>
        <v>66.344347075162929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145.88701065237456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201</v>
      </c>
      <c r="BW73" s="12">
        <f>VLOOKUP(A73,'Données projet'!$A$113:$I$133,9,0)</f>
        <v>4.2</v>
      </c>
      <c r="BX73" s="12">
        <f t="array" ref="BX73">INDEX(BW:BW,MIN(IF(ISNUMBER(BW73:BW269),ROW(BW73:BW269),"")))</f>
        <v>4.2</v>
      </c>
      <c r="BY73" s="12">
        <f>IF('Données projet'!$A$114&gt;35,BY72+BX73-CG72,IF(A73&lt;'Données projet'!$A$114,$BV$205^A73,IF(A73='Données projet'!$A$114,'Données projet'!$B$114,BY72+BX73-CG72)))</f>
        <v>200.99999999999994</v>
      </c>
      <c r="BZ73" s="13">
        <f>BY73*VLOOKUP('Données projet'!$B$12,Paramètres!$A$1:$I$89,3,0)*VLOOKUP('Données projet'!$B$12,Paramètres!$A$1:$I$89,5,0)</f>
        <v>210.08519999999993</v>
      </c>
      <c r="CA73" s="13">
        <f t="shared" si="93"/>
        <v>51.954203602341089</v>
      </c>
      <c r="CB73" s="20">
        <f t="shared" si="64"/>
        <v>456.38529460741051</v>
      </c>
      <c r="CC73" s="59">
        <f t="shared" si="65"/>
        <v>749.71862794074377</v>
      </c>
      <c r="CD73" s="59">
        <f ca="1">AVERAGE(OFFSET($CC$3,0,0,'Données projet'!$E$12+1,1))-AVERAGE(OFFSET($H$3,0,0,'Données projet'!$E$12+1,1))</f>
        <v>352.22281362023102</v>
      </c>
      <c r="CE73" s="59">
        <f t="shared" si="94"/>
        <v>310.2353747925161</v>
      </c>
      <c r="CF73" s="15">
        <f>IF(ISNA(VLOOKUP(A73,'Données projet'!$A$113:$I$133,3,0)),0,VLOOKUP(A73,'Données projet'!$A$113:$I$133,3,0))</f>
        <v>11</v>
      </c>
      <c r="CG73" s="15" t="str">
        <f>IF(ISNA(VLOOKUP(A73,'Données projet'!$A$113:$I$133,4,0)),0,VLOOKUP(A73,'Données projet'!$A$113:$I$133,4,0))</f>
        <v>14</v>
      </c>
      <c r="CH73" s="16">
        <f>IF(ISNA(VLOOKUP(A73,'Données projet'!$A$113:$I$133,5,0)),0%,VLOOKUP(A73,'Données projet'!$A$113:$I$133,5,0)*VLOOKUP('Données projet'!$B$12,Paramètres!$A$1:$I$89,7,0))</f>
        <v>0.17200000000000001</v>
      </c>
      <c r="CI73" s="16">
        <f>IF(ISNA(VLOOKUP(A73,'Données projet'!$A$113:$I$133,6,0)),0%,VLOOKUP(A73,'Données projet'!$A$113:$I$133,6,0)*VLOOKUP('Données projet'!$B$12,Paramètres!$A$1:$I$89,7,0))</f>
        <v>0.17200000000000001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10.600971202153387</v>
      </c>
      <c r="CL73" s="21">
        <f>EXP(-LN(2)/25)*CL72+(1-EXP(-LN(2)/25))/(LN(2)/25)*Calculateur!CG73*Calculateur!CI73*VLOOKUP('Données projet'!$B$12,Paramètres!$A$1:$I$89,3,0)*0.475*44/12</f>
        <v>17.039685383881015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27.640656586034403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5.6899038461538431</v>
      </c>
      <c r="CT73" s="12">
        <f>IF('Données projet'!$A$140&gt;35,CT72+CS73-DB72,IF(A73&lt;'Données projet'!$A$140,$CQ$205^A73,IF(A73='Données projet'!$A$140,'Données projet'!$B$140,CT72+CS73-DB72)))</f>
        <v>152.93509615384613</v>
      </c>
      <c r="CU73" s="17">
        <f>CT73*VLOOKUP('Données projet'!$B$13,Paramètres!$A$1:$I$89,3,0)*VLOOKUP('Données projet'!$B$13,Paramètres!$A$1:$I$89,5,0)</f>
        <v>138.37567499999997</v>
      </c>
      <c r="CV73" s="13">
        <f t="shared" si="95"/>
        <v>35.924643086227974</v>
      </c>
      <c r="CW73" s="20">
        <f t="shared" si="67"/>
        <v>303.57305400018032</v>
      </c>
      <c r="CX73" s="59">
        <f t="shared" si="68"/>
        <v>596.90638733351363</v>
      </c>
      <c r="CY73" s="59">
        <f ca="1">AVERAGE(OFFSET($CX$3,0,0,'Données projet'!$E$13+1,1))-AVERAGE(OFFSET($H$3,0,0,'Données projet'!$E$13+1,1))</f>
        <v>345.49688858037996</v>
      </c>
      <c r="CZ73" s="59">
        <f t="shared" si="96"/>
        <v>213.15872113755023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5.6899038461538431</v>
      </c>
      <c r="DO73" s="12">
        <f>IF('Données projet'!$A$166&gt;35,DO72+DN73-DW72,IF(A73&lt;'Données projet'!$A$166,$DL$205^A73,IF(A73='Données projet'!$A$166,'Données projet'!$B$166,DO72+DN73-DW72)))</f>
        <v>152.93509615384613</v>
      </c>
      <c r="DP73" s="17">
        <f>DO73*VLOOKUP('Données projet'!$B$14,Paramètres!$A$1:$I$89,3,0)*VLOOKUP('Données projet'!$B$14,Paramètres!$A$1:$I$89,5,0)</f>
        <v>155.0761875</v>
      </c>
      <c r="DQ73" s="13">
        <f t="shared" si="97"/>
        <v>39.729923507145784</v>
      </c>
      <c r="DR73" s="20">
        <f t="shared" si="70"/>
        <v>339.28731000411216</v>
      </c>
      <c r="DS73" s="59">
        <f t="shared" si="71"/>
        <v>632.62064333744547</v>
      </c>
      <c r="DT73" s="59">
        <f ca="1">AVERAGE(OFFSET($DS$3,0,0,'Données projet'!$E$14+1,1))-AVERAGE(OFFSET($H$3,0,0,'Données projet'!$E$14+1,1))</f>
        <v>382.26108489744581</v>
      </c>
      <c r="DU73" s="59">
        <f t="shared" si="98"/>
        <v>233.89423996158826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9.0815018315018357</v>
      </c>
      <c r="EJ73" s="12">
        <f>IF('Données projet'!$A$192&gt;35,EJ72+EI73-ER72,IF(A73&lt;'Données projet'!$A$192,$EG$205^A73,IF(A73='Données projet'!$A$192,'Données projet'!$B$192,EJ72+EI73-ER72)))</f>
        <v>248.88186813186806</v>
      </c>
      <c r="EK73" s="17">
        <f>EJ73*VLOOKUP('Données projet'!$B$15,Paramètres!$A$1:$I$89,3,0)*VLOOKUP('Données projet'!$B$15,Paramètres!$A$1:$I$89,5,0)</f>
        <v>209.65808571428565</v>
      </c>
      <c r="EL73" s="13">
        <f t="shared" si="99"/>
        <v>51.860861740036924</v>
      </c>
      <c r="EM73" s="20">
        <f t="shared" si="73"/>
        <v>455.47883348294516</v>
      </c>
      <c r="EN73" s="59">
        <f t="shared" si="74"/>
        <v>748.81216681627848</v>
      </c>
      <c r="EO73" s="59">
        <f ca="1">AVERAGE(OFFSET($EN$3,0,0,'Données projet'!$E$15+1,1))-AVERAGE(OFFSET($H$3,0,0,'Données projet'!$E$15+1,1))</f>
        <v>312.48716825299158</v>
      </c>
      <c r="EP73" s="59">
        <f t="shared" si="100"/>
        <v>258.68277822755357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26.136592764528153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26.136592764528153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5.6899038461538431</v>
      </c>
      <c r="FE73" s="12">
        <f>IF('Données projet'!$A$218&gt;35,FE72+FD73-FM72,IF(A73&lt;'Données projet'!$A$218,$FB$205^A73,IF(A73='Données projet'!$A$218,'Données projet'!$B$218,FE72+FD73-FM72)))</f>
        <v>152.93509615384613</v>
      </c>
      <c r="FF73" s="17">
        <f>FE73*VLOOKUP('Données projet'!$B$16,Paramètres!$A$1:$I$89,3,0)*VLOOKUP('Données projet'!$B$16,Paramètres!$A$1:$I$89,5,0)</f>
        <v>164.61933749999997</v>
      </c>
      <c r="FG73" s="13">
        <f t="shared" si="101"/>
        <v>41.882687705397203</v>
      </c>
      <c r="FH73" s="20">
        <f t="shared" si="76"/>
        <v>359.65769389940004</v>
      </c>
      <c r="FI73" s="59">
        <f t="shared" si="77"/>
        <v>652.99102723273336</v>
      </c>
      <c r="FJ73" s="59">
        <f ca="1">AVERAGE(OFFSET($FI$3,0,0,'Données projet'!$E$16+1,1))-AVERAGE(OFFSET($H$3,0,0,'Données projet'!$E$16+1,1))</f>
        <v>403.23110963096246</v>
      </c>
      <c r="FK73" s="59">
        <f t="shared" si="102"/>
        <v>245.72000393124898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5.6899038461538431</v>
      </c>
      <c r="FZ73" s="12">
        <f>IF('Données projet'!$A$244&gt;35,FZ72+FY73-GH72,IF(A73&lt;'Données projet'!$A$244,$FW$205^A73,IF(A73='Données projet'!$A$244,'Données projet'!$B$244,FZ72+FY73-GH72)))</f>
        <v>152.93509615384613</v>
      </c>
      <c r="GA73" s="17">
        <f>FZ73*VLOOKUP('Données projet'!$B$17,Paramètres!$A$1:$I$89,3,0)*VLOOKUP('Données projet'!$B$17,Paramètres!$A$1:$I$89,5,0)</f>
        <v>147.91882499999997</v>
      </c>
      <c r="GB73" s="13">
        <f t="shared" si="103"/>
        <v>38.105247238821875</v>
      </c>
      <c r="GC73" s="20">
        <f t="shared" si="79"/>
        <v>323.99192581594804</v>
      </c>
      <c r="GD73" s="59">
        <f t="shared" si="80"/>
        <v>617.32525914928135</v>
      </c>
      <c r="GE73" s="59">
        <f ca="1">AVERAGE(OFFSET($GD$3,0,0,'Données projet'!$E$17+1,1))-AVERAGE(OFFSET($H$3,0,0,'Données projet'!$E$17+1,1))</f>
        <v>336.2911850338175</v>
      </c>
      <c r="GF73" s="59">
        <f t="shared" si="104"/>
        <v>225.01415116995503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0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5.6899038461538431</v>
      </c>
      <c r="GU73" s="12">
        <f>IF('Données projet'!$A$270&gt;35,GU72+GT73-HC72,IF(A73&lt;'Données projet'!$A$270,$GR$205^A73,IF(A73='Données projet'!$A$270,'Données projet'!$B$270,GU72+GT73-HC72)))</f>
        <v>152.93509615384613</v>
      </c>
      <c r="GV73" s="17">
        <f>GU73*VLOOKUP('Données projet'!$B$18,Paramètres!$A$1:$I$89,3,0)*VLOOKUP('Données projet'!$B$18,Paramètres!$A$1:$I$89,5,0)</f>
        <v>102.58886249999999</v>
      </c>
      <c r="GW73" s="13">
        <f t="shared" si="105"/>
        <v>27.577837886923867</v>
      </c>
      <c r="GX73" s="20">
        <f t="shared" si="82"/>
        <v>226.70700317389233</v>
      </c>
      <c r="GY73" s="59">
        <f t="shared" si="83"/>
        <v>520.04033650722567</v>
      </c>
      <c r="GZ73" s="59">
        <f ca="1">AVERAGE(OFFSET($GY$3,0,0,'Données projet'!$E$18+1,1))-AVERAGE(OFFSET($H$3,0,0,'Données projet'!$E$18+1,1))</f>
        <v>266.37807768393191</v>
      </c>
      <c r="HA73" s="59">
        <f t="shared" si="106"/>
        <v>168.52019826233425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84"/>
        <v>0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3.4</v>
      </c>
      <c r="N74" s="13">
        <f>IF('Données projet'!$A$36&gt;35,N73+M74-V73,IF(A74&lt;'Données projet'!$A$36,$K$205^A74,IF(A74='Données projet'!$A$36,'Données projet'!$B$36,N73+M74-V73)))</f>
        <v>256.39999999999986</v>
      </c>
      <c r="O74" s="13">
        <f>N74*VLOOKUP('Données projet'!$B$9,Paramètres!$A$1:$I$89,3,0)*VLOOKUP('Données projet'!$B$9,Paramètres!$A$1:$I$89,5,0)</f>
        <v>223.99103999999991</v>
      </c>
      <c r="P74" s="13">
        <f t="shared" si="87"/>
        <v>54.981408824201552</v>
      </c>
      <c r="Q74" s="20">
        <f t="shared" si="54"/>
        <v>485.87701503548419</v>
      </c>
      <c r="R74" s="59">
        <f t="shared" si="55"/>
        <v>779.21034836881745</v>
      </c>
      <c r="S74" s="59">
        <f ca="1">AVERAGE(OFFSET($R$3,0,0,'Données projet'!$E$9+1,1))-AVERAGE(OFFSET($H$3,0,0,'Données projet'!$E$9+1,1))</f>
        <v>324.86930206492627</v>
      </c>
      <c r="T74" s="59">
        <f t="shared" si="88"/>
        <v>317.03005098025352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29.037938817686637</v>
      </c>
      <c r="AA74" s="21">
        <f>EXP(-LN(2)/25)*AA73+(1-EXP(-LN(2)/25))/(LN(2)/25)*Calculateur!V74*Calculateur!X74*VLOOKUP('Données projet'!$B$9,Paramètres!$A$1:$I$89,3,0)*0.475*44/12</f>
        <v>10.493123761238408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39.531062578925045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243.36538461538464</v>
      </c>
      <c r="AG74" s="12">
        <f>VLOOKUP(A74,'Données projet'!$A$61:$I$81,9,0)</f>
        <v>8.1001602564102626</v>
      </c>
      <c r="AH74" s="12">
        <f t="array" ref="AH74">INDEX(AG:AG,MIN(IF(ISNUMBER(AG74:AG270),ROW(AG74:AG270),"")))</f>
        <v>8.1001602564102626</v>
      </c>
      <c r="AI74" s="13">
        <f>IF('Données projet'!$A$62&gt;35,AI73+AH74-AQ73,IF(A74&lt;'Données projet'!$A$62,$AF$205^A74,IF(A74='Données projet'!$A$62,'Données projet'!$B$62,AI73+AH74-AQ73)))</f>
        <v>243.36538461538487</v>
      </c>
      <c r="AJ74" s="13">
        <f>AI74*VLOOKUP('Données projet'!$B$10,Paramètres!$A$1:$I$89,3,0)*VLOOKUP('Données projet'!$B$10,Paramètres!$A$1:$I$89,5,0)</f>
        <v>231.58650000000023</v>
      </c>
      <c r="AK74" s="13">
        <f t="shared" si="89"/>
        <v>56.625582561776412</v>
      </c>
      <c r="AL74" s="20">
        <f t="shared" si="58"/>
        <v>501.96937712842765</v>
      </c>
      <c r="AM74" s="59">
        <f t="shared" si="59"/>
        <v>795.30271046176097</v>
      </c>
      <c r="AN74" s="59">
        <f ca="1">AVERAGE(OFFSET($AM$3,0,0,'Données projet'!$E$10+1,1))-AVERAGE(OFFSET($H$3,0,0,'Données projet'!$E$10+1,1))</f>
        <v>401.81944956556271</v>
      </c>
      <c r="AO74" s="59">
        <f t="shared" si="90"/>
        <v>292.20785523952651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39.935897435897431</v>
      </c>
      <c r="AR74" s="16">
        <f>IF(ISNA(VLOOKUP(A74,'Données projet'!$A$61:$I$81,5,0)),0%,VLOOKUP(A74,'Données projet'!$A$61:$I$81,5,0)*VLOOKUP('Données projet'!$B$10,Paramètres!$A$1:$I$89,7,0))</f>
        <v>0.30099999999999999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23.921259112005224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23.921259112005224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1.7053025658242404E-13</v>
      </c>
      <c r="BE74" s="13">
        <f>BD74*VLOOKUP('Données projet'!$B$11,Paramètres!$A$1:$I$89,3,0)*VLOOKUP('Données projet'!$B$11,Paramètres!$A$1:$I$89,5,0)</f>
        <v>1.3301360013429075E-13</v>
      </c>
      <c r="BF74" s="13">
        <f t="shared" si="91"/>
        <v>1.9329766731057041E-12</v>
      </c>
      <c r="BG74" s="20">
        <f t="shared" si="61"/>
        <v>3.5982663925596575E-12</v>
      </c>
      <c r="BH74" s="59">
        <f t="shared" si="62"/>
        <v>293.3333333333369</v>
      </c>
      <c r="BI74" s="59">
        <f ca="1">AVERAGE(OFFSET($BH$3,0,0,'Données projet'!$E$11+1,1))-AVERAGE(OFFSET($H$3,0,0,'Données projet'!$E$11+1,1))</f>
        <v>288.80569134263209</v>
      </c>
      <c r="BJ74" s="59">
        <f t="shared" si="92"/>
        <v>283.48738729114024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77.98288046069672</v>
      </c>
      <c r="BQ74" s="21">
        <f>EXP(-LN(2)/25)*BQ73+(1-EXP(-LN(2)/25))/(LN(2)/25)*Calculateur!BL74*Calculateur!BN74*VLOOKUP('Données projet'!$B$11,Paramètres!$A$1:$I$89,3,0)*0.475*44/12</f>
        <v>64.530157415495012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142.51303787619173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190.39999999999995</v>
      </c>
      <c r="BZ74" s="13">
        <f>BY74*VLOOKUP('Données projet'!$B$12,Paramètres!$A$1:$I$89,3,0)*VLOOKUP('Données projet'!$B$12,Paramètres!$A$1:$I$89,5,0)</f>
        <v>199.00607999999997</v>
      </c>
      <c r="CA74" s="13">
        <f t="shared" si="93"/>
        <v>49.525670897515027</v>
      </c>
      <c r="CB74" s="20">
        <f t="shared" si="64"/>
        <v>432.85946614650521</v>
      </c>
      <c r="CC74" s="59">
        <f t="shared" si="65"/>
        <v>726.19279947983853</v>
      </c>
      <c r="CD74" s="59">
        <f ca="1">AVERAGE(OFFSET($CC$3,0,0,'Données projet'!$E$12+1,1))-AVERAGE(OFFSET($H$3,0,0,'Données projet'!$E$12+1,1))</f>
        <v>352.22281362023102</v>
      </c>
      <c r="CE74" s="59">
        <f t="shared" si="94"/>
        <v>310.2353747925161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10.393092622833132</v>
      </c>
      <c r="CL74" s="21">
        <f>EXP(-LN(2)/25)*CL73+(1-EXP(-LN(2)/25))/(LN(2)/25)*Calculateur!CG74*Calculateur!CI74*VLOOKUP('Données projet'!$B$12,Paramètres!$A$1:$I$89,3,0)*0.475*44/12</f>
        <v>16.573734290980678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26.966826913813811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5.6899038461538431</v>
      </c>
      <c r="CT74" s="12">
        <f>IF('Données projet'!$A$140&gt;35,CT73+CS74-DB73,IF(A74&lt;'Données projet'!$A$140,$CQ$205^A74,IF(A74='Données projet'!$A$140,'Données projet'!$B$140,CT73+CS74-DB73)))</f>
        <v>158.62499999999997</v>
      </c>
      <c r="CU74" s="17">
        <f>CT74*VLOOKUP('Données projet'!$B$13,Paramètres!$A$1:$I$89,3,0)*VLOOKUP('Données projet'!$B$13,Paramètres!$A$1:$I$89,5,0)</f>
        <v>143.52389999999997</v>
      </c>
      <c r="CV74" s="13">
        <f t="shared" si="95"/>
        <v>37.103109825509961</v>
      </c>
      <c r="CW74" s="20">
        <f t="shared" si="67"/>
        <v>314.59204211276312</v>
      </c>
      <c r="CX74" s="59">
        <f t="shared" si="68"/>
        <v>607.9253754460965</v>
      </c>
      <c r="CY74" s="59">
        <f ca="1">AVERAGE(OFFSET($CX$3,0,0,'Données projet'!$E$13+1,1))-AVERAGE(OFFSET($H$3,0,0,'Données projet'!$E$13+1,1))</f>
        <v>345.49688858037996</v>
      </c>
      <c r="CZ74" s="59">
        <f t="shared" si="96"/>
        <v>213.15872113755023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5.6899038461538431</v>
      </c>
      <c r="DO74" s="12">
        <f>IF('Données projet'!$A$166&gt;35,DO73+DN74-DW73,IF(A74&lt;'Données projet'!$A$166,$DL$205^A74,IF(A74='Données projet'!$A$166,'Données projet'!$B$166,DO73+DN74-DW73)))</f>
        <v>158.62499999999997</v>
      </c>
      <c r="DP74" s="17">
        <f>DO74*VLOOKUP('Données projet'!$B$14,Paramètres!$A$1:$I$89,3,0)*VLOOKUP('Données projet'!$B$14,Paramètres!$A$1:$I$89,5,0)</f>
        <v>160.84574999999998</v>
      </c>
      <c r="DQ74" s="13">
        <f t="shared" si="97"/>
        <v>41.033218108988017</v>
      </c>
      <c r="DR74" s="20">
        <f t="shared" si="70"/>
        <v>351.60586945648743</v>
      </c>
      <c r="DS74" s="59">
        <f t="shared" si="71"/>
        <v>644.93920278982068</v>
      </c>
      <c r="DT74" s="59">
        <f ca="1">AVERAGE(OFFSET($DS$3,0,0,'Données projet'!$E$14+1,1))-AVERAGE(OFFSET($H$3,0,0,'Données projet'!$E$14+1,1))</f>
        <v>382.26108489744581</v>
      </c>
      <c r="DU74" s="59">
        <f t="shared" si="98"/>
        <v>233.89423996158826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9.0815018315018357</v>
      </c>
      <c r="EJ74" s="12">
        <f>IF('Données projet'!$A$192&gt;35,EJ73+EI74-ER73,IF(A74&lt;'Données projet'!$A$192,$EG$205^A74,IF(A74='Données projet'!$A$192,'Données projet'!$B$192,EJ73+EI74-ER73)))</f>
        <v>257.96336996336987</v>
      </c>
      <c r="EK74" s="17">
        <f>EJ74*VLOOKUP('Données projet'!$B$15,Paramètres!$A$1:$I$89,3,0)*VLOOKUP('Données projet'!$B$15,Paramètres!$A$1:$I$89,5,0)</f>
        <v>217.3083428571428</v>
      </c>
      <c r="EL74" s="13">
        <f t="shared" si="99"/>
        <v>53.529448859036869</v>
      </c>
      <c r="EM74" s="20">
        <f t="shared" si="73"/>
        <v>471.70915390567961</v>
      </c>
      <c r="EN74" s="59">
        <f t="shared" si="74"/>
        <v>765.04248723901287</v>
      </c>
      <c r="EO74" s="59">
        <f ca="1">AVERAGE(OFFSET($EN$3,0,0,'Données projet'!$E$15+1,1))-AVERAGE(OFFSET($H$3,0,0,'Données projet'!$E$15+1,1))</f>
        <v>312.48716825299158</v>
      </c>
      <c r="EP74" s="59">
        <f t="shared" si="100"/>
        <v>258.68277822755357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25.624070122163225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25.624070122163225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5.6899038461538431</v>
      </c>
      <c r="FE74" s="12">
        <f>IF('Données projet'!$A$218&gt;35,FE73+FD74-FM73,IF(A74&lt;'Données projet'!$A$218,$FB$205^A74,IF(A74='Données projet'!$A$218,'Données projet'!$B$218,FE73+FD74-FM73)))</f>
        <v>158.62499999999997</v>
      </c>
      <c r="FF74" s="17">
        <f>FE74*VLOOKUP('Données projet'!$B$16,Paramètres!$A$1:$I$89,3,0)*VLOOKUP('Données projet'!$B$16,Paramètres!$A$1:$I$89,5,0)</f>
        <v>170.74394999999996</v>
      </c>
      <c r="FG74" s="13">
        <f t="shared" si="101"/>
        <v>43.256601269244634</v>
      </c>
      <c r="FH74" s="20">
        <f t="shared" si="76"/>
        <v>372.71762679393436</v>
      </c>
      <c r="FI74" s="59">
        <f t="shared" si="77"/>
        <v>666.05096012726767</v>
      </c>
      <c r="FJ74" s="59">
        <f ca="1">AVERAGE(OFFSET($FI$3,0,0,'Données projet'!$E$16+1,1))-AVERAGE(OFFSET($H$3,0,0,'Données projet'!$E$16+1,1))</f>
        <v>403.23110963096246</v>
      </c>
      <c r="FK74" s="59">
        <f t="shared" si="102"/>
        <v>245.72000393124898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5.6899038461538431</v>
      </c>
      <c r="FZ74" s="12">
        <f>IF('Données projet'!$A$244&gt;35,FZ73+FY74-GH73,IF(A74&lt;'Données projet'!$A$244,$FW$205^A74,IF(A74='Données projet'!$A$244,'Données projet'!$B$244,FZ73+FY74-GH73)))</f>
        <v>158.62499999999997</v>
      </c>
      <c r="GA74" s="17">
        <f>FZ74*VLOOKUP('Données projet'!$B$17,Paramètres!$A$1:$I$89,3,0)*VLOOKUP('Données projet'!$B$17,Paramètres!$A$1:$I$89,5,0)</f>
        <v>153.42209999999997</v>
      </c>
      <c r="GB74" s="13">
        <f t="shared" si="103"/>
        <v>39.355246197900911</v>
      </c>
      <c r="GC74" s="20">
        <f t="shared" si="79"/>
        <v>335.75387796134402</v>
      </c>
      <c r="GD74" s="59">
        <f t="shared" si="80"/>
        <v>629.08721129467733</v>
      </c>
      <c r="GE74" s="59">
        <f ca="1">AVERAGE(OFFSET($GD$3,0,0,'Données projet'!$E$17+1,1))-AVERAGE(OFFSET($H$3,0,0,'Données projet'!$E$17+1,1))</f>
        <v>336.2911850338175</v>
      </c>
      <c r="GF74" s="59">
        <f t="shared" si="104"/>
        <v>225.01415116995503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0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5.6899038461538431</v>
      </c>
      <c r="GU74" s="12">
        <f>IF('Données projet'!$A$270&gt;35,GU73+GT74-HC73,IF(A74&lt;'Données projet'!$A$270,$GR$205^A74,IF(A74='Données projet'!$A$270,'Données projet'!$B$270,GU73+GT74-HC73)))</f>
        <v>158.62499999999997</v>
      </c>
      <c r="GV74" s="17">
        <f>GU74*VLOOKUP('Données projet'!$B$18,Paramètres!$A$1:$I$89,3,0)*VLOOKUP('Données projet'!$B$18,Paramètres!$A$1:$I$89,5,0)</f>
        <v>106.40564999999998</v>
      </c>
      <c r="GW74" s="13">
        <f t="shared" si="105"/>
        <v>28.482497248828849</v>
      </c>
      <c r="GX74" s="20">
        <f t="shared" si="82"/>
        <v>234.93018979171021</v>
      </c>
      <c r="GY74" s="59">
        <f t="shared" si="83"/>
        <v>528.26352312504355</v>
      </c>
      <c r="GZ74" s="59">
        <f ca="1">AVERAGE(OFFSET($GY$3,0,0,'Données projet'!$E$18+1,1))-AVERAGE(OFFSET($H$3,0,0,'Données projet'!$E$18+1,1))</f>
        <v>266.37807768393191</v>
      </c>
      <c r="HA74" s="59">
        <f t="shared" si="106"/>
        <v>168.52019826233425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84"/>
        <v>0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3.4</v>
      </c>
      <c r="N75" s="13">
        <f>IF('Données projet'!$A$36&gt;35,N74+M75-V74,IF(A75&lt;'Données projet'!$A$36,$K$205^A75,IF(A75='Données projet'!$A$36,'Données projet'!$B$36,N74+M75-V74)))</f>
        <v>259.79999999999984</v>
      </c>
      <c r="O75" s="13">
        <f>N75*VLOOKUP('Données projet'!$B$9,Paramètres!$A$1:$I$89,3,0)*VLOOKUP('Données projet'!$B$9,Paramètres!$A$1:$I$89,5,0)</f>
        <v>226.96127999999987</v>
      </c>
      <c r="P75" s="13">
        <f t="shared" si="87"/>
        <v>55.625131501998617</v>
      </c>
      <c r="Q75" s="20">
        <f t="shared" si="54"/>
        <v>492.17133336598067</v>
      </c>
      <c r="R75" s="59">
        <f t="shared" si="55"/>
        <v>785.50466669931393</v>
      </c>
      <c r="S75" s="59">
        <f ca="1">AVERAGE(OFFSET($R$3,0,0,'Données projet'!$E$9+1,1))-AVERAGE(OFFSET($H$3,0,0,'Données projet'!$E$9+1,1))</f>
        <v>324.86930206492627</v>
      </c>
      <c r="T75" s="59">
        <f t="shared" si="88"/>
        <v>317.03005098025352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28.468522548865625</v>
      </c>
      <c r="AA75" s="21">
        <f>EXP(-LN(2)/25)*AA74+(1-EXP(-LN(2)/25))/(LN(2)/25)*Calculateur!V75*Calculateur!X75*VLOOKUP('Données projet'!$B$9,Paramètres!$A$1:$I$89,3,0)*0.475*44/12</f>
        <v>10.206188740177948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38.674711289043572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7.8425925925925934</v>
      </c>
      <c r="AI75" s="13">
        <f>IF('Données projet'!$A$62&gt;35,AI74+AH75-AQ74,IF(A75&lt;'Données projet'!$A$62,$AF$205^A75,IF(A75='Données projet'!$A$62,'Données projet'!$B$62,AI74+AH75-AQ74)))</f>
        <v>211.27207977208002</v>
      </c>
      <c r="AJ75" s="13">
        <f>AI75*VLOOKUP('Données projet'!$B$10,Paramètres!$A$1:$I$89,3,0)*VLOOKUP('Données projet'!$B$10,Paramètres!$A$1:$I$89,5,0)</f>
        <v>201.04651111111136</v>
      </c>
      <c r="AK75" s="13">
        <f t="shared" si="89"/>
        <v>49.974089288481544</v>
      </c>
      <c r="AL75" s="20">
        <f t="shared" si="58"/>
        <v>437.19421236262428</v>
      </c>
      <c r="AM75" s="59">
        <f t="shared" si="59"/>
        <v>730.52754569595754</v>
      </c>
      <c r="AN75" s="59">
        <f ca="1">AVERAGE(OFFSET($AM$3,0,0,'Données projet'!$E$10+1,1))-AVERAGE(OFFSET($H$3,0,0,'Données projet'!$E$10+1,1))</f>
        <v>401.81944956556271</v>
      </c>
      <c r="AO75" s="59">
        <f t="shared" si="90"/>
        <v>292.20785523952651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23.452177811346164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23.452177811346164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1.7053025658242404E-13</v>
      </c>
      <c r="BE75" s="13">
        <f>BD75*VLOOKUP('Données projet'!$B$11,Paramètres!$A$1:$I$89,3,0)*VLOOKUP('Données projet'!$B$11,Paramètres!$A$1:$I$89,5,0)</f>
        <v>1.3301360013429075E-13</v>
      </c>
      <c r="BF75" s="13">
        <f t="shared" si="91"/>
        <v>1.9329766731057041E-12</v>
      </c>
      <c r="BG75" s="20">
        <f t="shared" si="61"/>
        <v>3.5982663925596575E-12</v>
      </c>
      <c r="BH75" s="59">
        <f t="shared" si="62"/>
        <v>293.3333333333369</v>
      </c>
      <c r="BI75" s="59">
        <f ca="1">AVERAGE(OFFSET($BH$3,0,0,'Données projet'!$E$11+1,1))-AVERAGE(OFFSET($H$3,0,0,'Données projet'!$E$11+1,1))</f>
        <v>288.80569134263209</v>
      </c>
      <c r="BJ75" s="59">
        <f t="shared" si="92"/>
        <v>283.48738729114024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76.453683739722905</v>
      </c>
      <c r="BQ75" s="21">
        <f>EXP(-LN(2)/25)*BQ74+(1-EXP(-LN(2)/25))/(LN(2)/25)*Calculateur!BL75*Calculateur!BN75*VLOOKUP('Données projet'!$B$11,Paramètres!$A$1:$I$89,3,0)*0.475*44/12</f>
        <v>62.765576867474806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139.21926060719773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193.79999999999995</v>
      </c>
      <c r="BZ75" s="13">
        <f>BY75*VLOOKUP('Données projet'!$B$12,Paramètres!$A$1:$I$89,3,0)*VLOOKUP('Données projet'!$B$12,Paramètres!$A$1:$I$89,5,0)</f>
        <v>202.55975999999995</v>
      </c>
      <c r="CA75" s="13">
        <f t="shared" si="93"/>
        <v>50.306308435844208</v>
      </c>
      <c r="CB75" s="20">
        <f t="shared" si="64"/>
        <v>440.40840252576191</v>
      </c>
      <c r="CC75" s="59">
        <f t="shared" si="65"/>
        <v>733.74173585909523</v>
      </c>
      <c r="CD75" s="59">
        <f ca="1">AVERAGE(OFFSET($CC$3,0,0,'Données projet'!$E$12+1,1))-AVERAGE(OFFSET($H$3,0,0,'Données projet'!$E$12+1,1))</f>
        <v>352.22281362023102</v>
      </c>
      <c r="CE75" s="59">
        <f t="shared" si="94"/>
        <v>310.2353747925161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10.189290415659935</v>
      </c>
      <c r="CL75" s="21">
        <f>EXP(-LN(2)/25)*CL74+(1-EXP(-LN(2)/25))/(LN(2)/25)*Calculateur!CG75*Calculateur!CI75*VLOOKUP('Données projet'!$B$12,Paramètres!$A$1:$I$89,3,0)*0.475*44/12</f>
        <v>16.120524655219004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26.30981507087894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5.6899038461538431</v>
      </c>
      <c r="CT75" s="12">
        <f>IF('Données projet'!$A$140&gt;35,CT74+CS75-DB74,IF(A75&lt;'Données projet'!$A$140,$CQ$205^A75,IF(A75='Données projet'!$A$140,'Données projet'!$B$140,CT74+CS75-DB74)))</f>
        <v>164.31490384615381</v>
      </c>
      <c r="CU75" s="17">
        <f>CT75*VLOOKUP('Données projet'!$B$13,Paramètres!$A$1:$I$89,3,0)*VLOOKUP('Données projet'!$B$13,Paramètres!$A$1:$I$89,5,0)</f>
        <v>148.67212499999997</v>
      </c>
      <c r="CV75" s="13">
        <f t="shared" si="95"/>
        <v>38.276665273939201</v>
      </c>
      <c r="CW75" s="20">
        <f t="shared" si="67"/>
        <v>325.60247639377735</v>
      </c>
      <c r="CX75" s="59">
        <f t="shared" si="68"/>
        <v>618.93580972711061</v>
      </c>
      <c r="CY75" s="59">
        <f ca="1">AVERAGE(OFFSET($CX$3,0,0,'Données projet'!$E$13+1,1))-AVERAGE(OFFSET($H$3,0,0,'Données projet'!$E$13+1,1))</f>
        <v>345.49688858037996</v>
      </c>
      <c r="CZ75" s="59">
        <f t="shared" si="96"/>
        <v>213.15872113755023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5.6899038461538431</v>
      </c>
      <c r="DO75" s="12">
        <f>IF('Données projet'!$A$166&gt;35,DO74+DN75-DW74,IF(A75&lt;'Données projet'!$A$166,$DL$205^A75,IF(A75='Données projet'!$A$166,'Données projet'!$B$166,DO74+DN75-DW74)))</f>
        <v>164.31490384615381</v>
      </c>
      <c r="DP75" s="17">
        <f>DO75*VLOOKUP('Données projet'!$B$14,Paramètres!$A$1:$I$89,3,0)*VLOOKUP('Données projet'!$B$14,Paramètres!$A$1:$I$89,5,0)</f>
        <v>166.61531249999999</v>
      </c>
      <c r="DQ75" s="13">
        <f t="shared" si="97"/>
        <v>42.331081196606618</v>
      </c>
      <c r="DR75" s="20">
        <f t="shared" si="70"/>
        <v>363.9149690215898</v>
      </c>
      <c r="DS75" s="59">
        <f t="shared" si="71"/>
        <v>657.24830235492311</v>
      </c>
      <c r="DT75" s="59">
        <f ca="1">AVERAGE(OFFSET($DS$3,0,0,'Données projet'!$E$14+1,1))-AVERAGE(OFFSET($H$3,0,0,'Données projet'!$E$14+1,1))</f>
        <v>382.26108489744581</v>
      </c>
      <c r="DU75" s="59">
        <f t="shared" si="98"/>
        <v>233.89423996158826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>
        <f>VLOOKUP(A75,'Données projet'!$A$191:$I$211,2,0)</f>
        <v>267.04487179487182</v>
      </c>
      <c r="EH75" s="12">
        <f>VLOOKUP(A75,'Données projet'!$A$191:$I$211,9,0)</f>
        <v>9.0815018315018357</v>
      </c>
      <c r="EI75" s="12">
        <f t="array" ref="EI75">INDEX(EH:EH,MIN(IF(ISNUMBER(EH75:EH271),ROW(EH75:EH271),"")))</f>
        <v>9.0815018315018357</v>
      </c>
      <c r="EJ75" s="12">
        <f>IF('Données projet'!$A$192&gt;35,EJ74+EI75-ER74,IF(A75&lt;'Données projet'!$A$192,$EG$205^A75,IF(A75='Données projet'!$A$192,'Données projet'!$B$192,EJ74+EI75-ER74)))</f>
        <v>267.04487179487171</v>
      </c>
      <c r="EK75" s="17">
        <f>EJ75*VLOOKUP('Données projet'!$B$15,Paramètres!$A$1:$I$89,3,0)*VLOOKUP('Données projet'!$B$15,Paramètres!$A$1:$I$89,5,0)</f>
        <v>224.95859999999993</v>
      </c>
      <c r="EL75" s="13">
        <f t="shared" si="99"/>
        <v>55.191210913728668</v>
      </c>
      <c r="EM75" s="20">
        <f t="shared" si="73"/>
        <v>487.92758734141063</v>
      </c>
      <c r="EN75" s="59">
        <f t="shared" si="74"/>
        <v>781.26092067474394</v>
      </c>
      <c r="EO75" s="59">
        <f ca="1">AVERAGE(OFFSET($EN$3,0,0,'Données projet'!$E$15+1,1))-AVERAGE(OFFSET($H$3,0,0,'Données projet'!$E$15+1,1))</f>
        <v>312.48716825299158</v>
      </c>
      <c r="EP75" s="59">
        <f t="shared" si="100"/>
        <v>258.68277822755357</v>
      </c>
      <c r="EQ75" s="15">
        <f>IF(ISNA(VLOOKUP(A75,'Données projet'!$A$191:$I$211,3,0)),0,VLOOKUP(A75,'Données projet'!$A$191:$I$211,3,0))</f>
        <v>7</v>
      </c>
      <c r="ER75" s="15">
        <f>IF(ISNA(VLOOKUP(A75,'Données projet'!$A$191:$I$211,4,0)),0,VLOOKUP(A75,'Données projet'!$A$191:$I$211,4,0))</f>
        <v>45.891025641025642</v>
      </c>
      <c r="ES75" s="16">
        <f>IF(ISNA(VLOOKUP(A75,'Données projet'!$A$191:$I$211,5,0)),0%,VLOOKUP(A75,'Données projet'!$A$191:$I$211,5,0)*VLOOKUP('Données projet'!$B$15,Paramètres!$A$1:$I$89,7,0))</f>
        <v>0.30099999999999999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37.985114837685096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37.985114837685096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5.6899038461538431</v>
      </c>
      <c r="FE75" s="12">
        <f>IF('Données projet'!$A$218&gt;35,FE74+FD75-FM74,IF(A75&lt;'Données projet'!$A$218,$FB$205^A75,IF(A75='Données projet'!$A$218,'Données projet'!$B$218,FE74+FD75-FM74)))</f>
        <v>164.31490384615381</v>
      </c>
      <c r="FF75" s="17">
        <f>FE75*VLOOKUP('Données projet'!$B$16,Paramètres!$A$1:$I$89,3,0)*VLOOKUP('Données projet'!$B$16,Paramètres!$A$1:$I$89,5,0)</f>
        <v>176.86856249999997</v>
      </c>
      <c r="FG75" s="13">
        <f t="shared" si="101"/>
        <v>44.624789012503541</v>
      </c>
      <c r="FH75" s="20">
        <f t="shared" si="76"/>
        <v>385.76758721761024</v>
      </c>
      <c r="FI75" s="59">
        <f t="shared" si="77"/>
        <v>679.10092055094356</v>
      </c>
      <c r="FJ75" s="59">
        <f ca="1">AVERAGE(OFFSET($FI$3,0,0,'Données projet'!$E$16+1,1))-AVERAGE(OFFSET($H$3,0,0,'Données projet'!$E$16+1,1))</f>
        <v>403.23110963096246</v>
      </c>
      <c r="FK75" s="59">
        <f t="shared" si="102"/>
        <v>245.72000393124898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5.6899038461538431</v>
      </c>
      <c r="FZ75" s="12">
        <f>IF('Données projet'!$A$244&gt;35,FZ74+FY75-GH74,IF(A75&lt;'Données projet'!$A$244,$FW$205^A75,IF(A75='Données projet'!$A$244,'Données projet'!$B$244,FZ74+FY75-GH74)))</f>
        <v>164.31490384615381</v>
      </c>
      <c r="GA75" s="17">
        <f>FZ75*VLOOKUP('Données projet'!$B$17,Paramètres!$A$1:$I$89,3,0)*VLOOKUP('Données projet'!$B$17,Paramètres!$A$1:$I$89,5,0)</f>
        <v>158.92537499999997</v>
      </c>
      <c r="GB75" s="13">
        <f t="shared" si="103"/>
        <v>40.600035753736599</v>
      </c>
      <c r="GC75" s="20">
        <f t="shared" si="79"/>
        <v>347.5067570627578</v>
      </c>
      <c r="GD75" s="59">
        <f t="shared" si="80"/>
        <v>640.84009039609111</v>
      </c>
      <c r="GE75" s="59">
        <f ca="1">AVERAGE(OFFSET($GD$3,0,0,'Données projet'!$E$17+1,1))-AVERAGE(OFFSET($H$3,0,0,'Données projet'!$E$17+1,1))</f>
        <v>336.2911850338175</v>
      </c>
      <c r="GF75" s="59">
        <f t="shared" si="104"/>
        <v>225.01415116995503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0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5.6899038461538431</v>
      </c>
      <c r="GU75" s="12">
        <f>IF('Données projet'!$A$270&gt;35,GU74+GT75-HC74,IF(A75&lt;'Données projet'!$A$270,$GR$205^A75,IF(A75='Données projet'!$A$270,'Données projet'!$B$270,GU74+GT75-HC74)))</f>
        <v>164.31490384615381</v>
      </c>
      <c r="GV75" s="17">
        <f>GU75*VLOOKUP('Données projet'!$B$18,Paramètres!$A$1:$I$89,3,0)*VLOOKUP('Données projet'!$B$18,Paramètres!$A$1:$I$89,5,0)</f>
        <v>110.22243749999998</v>
      </c>
      <c r="GW75" s="13">
        <f t="shared" si="105"/>
        <v>29.383386419263083</v>
      </c>
      <c r="GX75" s="20">
        <f t="shared" si="82"/>
        <v>243.1468099927165</v>
      </c>
      <c r="GY75" s="59">
        <f t="shared" si="83"/>
        <v>536.48014332604976</v>
      </c>
      <c r="GZ75" s="59">
        <f ca="1">AVERAGE(OFFSET($GY$3,0,0,'Données projet'!$E$18+1,1))-AVERAGE(OFFSET($H$3,0,0,'Données projet'!$E$18+1,1))</f>
        <v>266.37807768393191</v>
      </c>
      <c r="HA75" s="59">
        <f t="shared" si="106"/>
        <v>168.52019826233425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84"/>
        <v>0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3.4</v>
      </c>
      <c r="N76" s="13">
        <f>IF('Données projet'!$A$36&gt;35,N75+M76-V75,IF(A76&lt;'Données projet'!$A$36,$K$205^A76,IF(A76='Données projet'!$A$36,'Données projet'!$B$36,N75+M76-V75)))</f>
        <v>263.19999999999982</v>
      </c>
      <c r="O76" s="13">
        <f>N76*VLOOKUP('Données projet'!$B$9,Paramètres!$A$1:$I$89,3,0)*VLOOKUP('Données projet'!$B$9,Paramètres!$A$1:$I$89,5,0)</f>
        <v>229.93151999999986</v>
      </c>
      <c r="P76" s="13">
        <f t="shared" si="87"/>
        <v>56.26787429746841</v>
      </c>
      <c r="Q76" s="20">
        <f t="shared" si="54"/>
        <v>498.4639450680906</v>
      </c>
      <c r="R76" s="59">
        <f t="shared" si="55"/>
        <v>791.79727840142391</v>
      </c>
      <c r="S76" s="59">
        <f ca="1">AVERAGE(OFFSET($R$3,0,0,'Données projet'!$E$9+1,1))-AVERAGE(OFFSET($H$3,0,0,'Données projet'!$E$9+1,1))</f>
        <v>324.86930206492627</v>
      </c>
      <c r="T76" s="59">
        <f t="shared" si="88"/>
        <v>317.03005098025352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27.910272185766566</v>
      </c>
      <c r="AA76" s="21">
        <f>EXP(-LN(2)/25)*AA75+(1-EXP(-LN(2)/25))/(LN(2)/25)*Calculateur!V76*Calculateur!X76*VLOOKUP('Données projet'!$B$9,Paramètres!$A$1:$I$89,3,0)*0.475*44/12</f>
        <v>9.9270999723576434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37.837372158124211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7.8425925925925934</v>
      </c>
      <c r="AI76" s="13">
        <f>IF('Données projet'!$A$62&gt;35,AI75+AH76-AQ75,IF(A76&lt;'Données projet'!$A$62,$AF$205^A76,IF(A76='Données projet'!$A$62,'Données projet'!$B$62,AI75+AH76-AQ75)))</f>
        <v>219.1146723646726</v>
      </c>
      <c r="AJ76" s="13">
        <f>AI76*VLOOKUP('Données projet'!$B$10,Paramètres!$A$1:$I$89,3,0)*VLOOKUP('Données projet'!$B$10,Paramètres!$A$1:$I$89,5,0)</f>
        <v>208.50952222222242</v>
      </c>
      <c r="AK76" s="13">
        <f t="shared" si="89"/>
        <v>51.609743905824573</v>
      </c>
      <c r="AL76" s="20">
        <f t="shared" si="58"/>
        <v>453.0410551730152</v>
      </c>
      <c r="AM76" s="59">
        <f t="shared" si="59"/>
        <v>746.37438850634851</v>
      </c>
      <c r="AN76" s="59">
        <f ca="1">AVERAGE(OFFSET($AM$3,0,0,'Données projet'!$E$10+1,1))-AVERAGE(OFFSET($H$3,0,0,'Données projet'!$E$10+1,1))</f>
        <v>401.81944956556271</v>
      </c>
      <c r="AO76" s="59">
        <f t="shared" si="90"/>
        <v>292.20785523952651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22.992294908881686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22.992294908881686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1.7053025658242404E-13</v>
      </c>
      <c r="BE76" s="13">
        <f>BD76*VLOOKUP('Données projet'!$B$11,Paramètres!$A$1:$I$89,3,0)*VLOOKUP('Données projet'!$B$11,Paramètres!$A$1:$I$89,5,0)</f>
        <v>1.3301360013429075E-13</v>
      </c>
      <c r="BF76" s="13">
        <f t="shared" si="91"/>
        <v>1.9329766731057041E-12</v>
      </c>
      <c r="BG76" s="20">
        <f t="shared" si="61"/>
        <v>3.5982663925596575E-12</v>
      </c>
      <c r="BH76" s="59">
        <f t="shared" si="62"/>
        <v>293.3333333333369</v>
      </c>
      <c r="BI76" s="59">
        <f ca="1">AVERAGE(OFFSET($BH$3,0,0,'Données projet'!$E$11+1,1))-AVERAGE(OFFSET($H$3,0,0,'Données projet'!$E$11+1,1))</f>
        <v>288.80569134263209</v>
      </c>
      <c r="BJ76" s="59">
        <f t="shared" si="92"/>
        <v>283.48738729114024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74.954473633729478</v>
      </c>
      <c r="BQ76" s="21">
        <f>EXP(-LN(2)/25)*BQ75+(1-EXP(-LN(2)/25))/(LN(2)/25)*Calculateur!BL76*Calculateur!BN76*VLOOKUP('Données projet'!$B$11,Paramètres!$A$1:$I$89,3,0)*0.475*44/12</f>
        <v>61.049248867335471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136.00372250106494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197.19999999999996</v>
      </c>
      <c r="BZ76" s="13">
        <f>BY76*VLOOKUP('Données projet'!$B$12,Paramètres!$A$1:$I$89,3,0)*VLOOKUP('Données projet'!$B$12,Paramètres!$A$1:$I$89,5,0)</f>
        <v>206.11344</v>
      </c>
      <c r="CA76" s="13">
        <f t="shared" si="93"/>
        <v>51.085353370375145</v>
      </c>
      <c r="CB76" s="20">
        <f t="shared" si="64"/>
        <v>447.95456512007007</v>
      </c>
      <c r="CC76" s="59">
        <f t="shared" si="65"/>
        <v>741.28789845340339</v>
      </c>
      <c r="CD76" s="59">
        <f ca="1">AVERAGE(OFFSET($CC$3,0,0,'Données projet'!$E$12+1,1))-AVERAGE(OFFSET($H$3,0,0,'Données projet'!$E$12+1,1))</f>
        <v>352.22281362023102</v>
      </c>
      <c r="CE76" s="59">
        <f t="shared" si="94"/>
        <v>310.2353747925161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9.9894846454623316</v>
      </c>
      <c r="CL76" s="21">
        <f>EXP(-LN(2)/25)*CL75+(1-EXP(-LN(2)/25))/(LN(2)/25)*Calculateur!CG76*Calculateur!CI76*VLOOKUP('Données projet'!$B$12,Paramètres!$A$1:$I$89,3,0)*0.475*44/12</f>
        <v>15.679708060780493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25.669192706242825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5.6899038461538431</v>
      </c>
      <c r="CT76" s="12">
        <f>IF('Données projet'!$A$140&gt;35,CT75+CS76-DB75,IF(A76&lt;'Données projet'!$A$140,$CQ$205^A76,IF(A76='Données projet'!$A$140,'Données projet'!$B$140,CT75+CS76-DB75)))</f>
        <v>170.00480769230765</v>
      </c>
      <c r="CU76" s="17">
        <f>CT76*VLOOKUP('Données projet'!$B$13,Paramètres!$A$1:$I$89,3,0)*VLOOKUP('Données projet'!$B$13,Paramètres!$A$1:$I$89,5,0)</f>
        <v>153.82034999999993</v>
      </c>
      <c r="CV76" s="13">
        <f t="shared" si="95"/>
        <v>39.445498990742948</v>
      </c>
      <c r="CW76" s="20">
        <f t="shared" si="67"/>
        <v>336.60468699221047</v>
      </c>
      <c r="CX76" s="59">
        <f t="shared" si="68"/>
        <v>629.93802032554379</v>
      </c>
      <c r="CY76" s="59">
        <f ca="1">AVERAGE(OFFSET($CX$3,0,0,'Données projet'!$E$13+1,1))-AVERAGE(OFFSET($H$3,0,0,'Données projet'!$E$13+1,1))</f>
        <v>345.49688858037996</v>
      </c>
      <c r="CZ76" s="59">
        <f t="shared" si="96"/>
        <v>213.15872113755023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5.6899038461538431</v>
      </c>
      <c r="DO76" s="12">
        <f>IF('Données projet'!$A$166&gt;35,DO75+DN76-DW75,IF(A76&lt;'Données projet'!$A$166,$DL$205^A76,IF(A76='Données projet'!$A$166,'Données projet'!$B$166,DO75+DN76-DW75)))</f>
        <v>170.00480769230765</v>
      </c>
      <c r="DP76" s="17">
        <f>DO76*VLOOKUP('Données projet'!$B$14,Paramètres!$A$1:$I$89,3,0)*VLOOKUP('Données projet'!$B$14,Paramètres!$A$1:$I$89,5,0)</f>
        <v>172.38487499999997</v>
      </c>
      <c r="DQ76" s="13">
        <f t="shared" si="97"/>
        <v>43.623722408092668</v>
      </c>
      <c r="DR76" s="20">
        <f t="shared" si="70"/>
        <v>376.21497381909467</v>
      </c>
      <c r="DS76" s="59">
        <f t="shared" si="71"/>
        <v>669.54830715242792</v>
      </c>
      <c r="DT76" s="59">
        <f ca="1">AVERAGE(OFFSET($DS$3,0,0,'Données projet'!$E$14+1,1))-AVERAGE(OFFSET($H$3,0,0,'Données projet'!$E$14+1,1))</f>
        <v>382.26108489744581</v>
      </c>
      <c r="DU76" s="59">
        <f t="shared" si="98"/>
        <v>233.89423996158826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8.5947293447293376</v>
      </c>
      <c r="EJ76" s="12">
        <f>IF('Données projet'!$A$192&gt;35,EJ75+EI76-ER75,IF(A76&lt;'Données projet'!$A$192,$EG$205^A76,IF(A76='Données projet'!$A$192,'Données projet'!$B$192,EJ75+EI76-ER75)))</f>
        <v>229.74857549857541</v>
      </c>
      <c r="EK76" s="17">
        <f>EJ76*VLOOKUP('Données projet'!$B$15,Paramètres!$A$1:$I$89,3,0)*VLOOKUP('Données projet'!$B$15,Paramètres!$A$1:$I$89,5,0)</f>
        <v>193.54019999999994</v>
      </c>
      <c r="EL76" s="13">
        <f t="shared" si="99"/>
        <v>48.321797872708039</v>
      </c>
      <c r="EM76" s="20">
        <f t="shared" si="73"/>
        <v>421.24297962829968</v>
      </c>
      <c r="EN76" s="59">
        <f t="shared" si="74"/>
        <v>714.57631296163299</v>
      </c>
      <c r="EO76" s="59">
        <f ca="1">AVERAGE(OFFSET($EN$3,0,0,'Données projet'!$E$15+1,1))-AVERAGE(OFFSET($H$3,0,0,'Données projet'!$E$15+1,1))</f>
        <v>312.48716825299158</v>
      </c>
      <c r="EP76" s="59">
        <f t="shared" si="100"/>
        <v>258.68277822755357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37.240249904350428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37.240249904350428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5.6899038461538431</v>
      </c>
      <c r="FE76" s="12">
        <f>IF('Données projet'!$A$218&gt;35,FE75+FD76-FM75,IF(A76&lt;'Données projet'!$A$218,$FB$205^A76,IF(A76='Données projet'!$A$218,'Données projet'!$B$218,FE75+FD76-FM75)))</f>
        <v>170.00480769230765</v>
      </c>
      <c r="FF76" s="17">
        <f>FE76*VLOOKUP('Données projet'!$B$16,Paramètres!$A$1:$I$89,3,0)*VLOOKUP('Données projet'!$B$16,Paramètres!$A$1:$I$89,5,0)</f>
        <v>182.99317499999995</v>
      </c>
      <c r="FG76" s="13">
        <f t="shared" si="101"/>
        <v>45.987471932496092</v>
      </c>
      <c r="FH76" s="20">
        <f t="shared" si="76"/>
        <v>398.80796007409725</v>
      </c>
      <c r="FI76" s="59">
        <f t="shared" si="77"/>
        <v>692.14129340743057</v>
      </c>
      <c r="FJ76" s="59">
        <f ca="1">AVERAGE(OFFSET($FI$3,0,0,'Données projet'!$E$16+1,1))-AVERAGE(OFFSET($H$3,0,0,'Données projet'!$E$16+1,1))</f>
        <v>403.23110963096246</v>
      </c>
      <c r="FK76" s="59">
        <f t="shared" si="102"/>
        <v>245.72000393124898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5.6899038461538431</v>
      </c>
      <c r="FZ76" s="12">
        <f>IF('Données projet'!$A$244&gt;35,FZ75+FY76-GH75,IF(A76&lt;'Données projet'!$A$244,$FW$205^A76,IF(A76='Données projet'!$A$244,'Données projet'!$B$244,FZ75+FY76-GH75)))</f>
        <v>170.00480769230765</v>
      </c>
      <c r="GA76" s="17">
        <f>FZ76*VLOOKUP('Données projet'!$B$17,Paramètres!$A$1:$I$89,3,0)*VLOOKUP('Données projet'!$B$17,Paramètres!$A$1:$I$89,5,0)</f>
        <v>164.42864999999995</v>
      </c>
      <c r="GB76" s="13">
        <f t="shared" si="103"/>
        <v>41.839816971687064</v>
      </c>
      <c r="GC76" s="20">
        <f t="shared" si="79"/>
        <v>359.25091330902154</v>
      </c>
      <c r="GD76" s="59">
        <f t="shared" si="80"/>
        <v>652.58424664235486</v>
      </c>
      <c r="GE76" s="59">
        <f ca="1">AVERAGE(OFFSET($GD$3,0,0,'Données projet'!$E$17+1,1))-AVERAGE(OFFSET($H$3,0,0,'Données projet'!$E$17+1,1))</f>
        <v>336.2911850338175</v>
      </c>
      <c r="GF76" s="59">
        <f t="shared" si="104"/>
        <v>225.01415116995503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0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5.6899038461538431</v>
      </c>
      <c r="GU76" s="12">
        <f>IF('Données projet'!$A$270&gt;35,GU75+GT76-HC75,IF(A76&lt;'Données projet'!$A$270,$GR$205^A76,IF(A76='Données projet'!$A$270,'Données projet'!$B$270,GU75+GT76-HC75)))</f>
        <v>170.00480769230765</v>
      </c>
      <c r="GV76" s="17">
        <f>GU76*VLOOKUP('Données projet'!$B$18,Paramètres!$A$1:$I$89,3,0)*VLOOKUP('Données projet'!$B$18,Paramètres!$A$1:$I$89,5,0)</f>
        <v>114.03922499999999</v>
      </c>
      <c r="GW76" s="13">
        <f t="shared" si="105"/>
        <v>30.280650914874524</v>
      </c>
      <c r="GX76" s="20">
        <f t="shared" si="82"/>
        <v>251.35711721840639</v>
      </c>
      <c r="GY76" s="59">
        <f t="shared" si="83"/>
        <v>544.69045055173967</v>
      </c>
      <c r="GZ76" s="59">
        <f ca="1">AVERAGE(OFFSET($GY$3,0,0,'Données projet'!$E$18+1,1))-AVERAGE(OFFSET($H$3,0,0,'Données projet'!$E$18+1,1))</f>
        <v>266.37807768393191</v>
      </c>
      <c r="HA76" s="59">
        <f t="shared" si="106"/>
        <v>168.52019826233425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84"/>
        <v>0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3.4</v>
      </c>
      <c r="N77" s="13">
        <f>IF('Données projet'!$A$36&gt;35,N76+M77-V76,IF(A77&lt;'Données projet'!$A$36,$K$205^A77,IF(A77='Données projet'!$A$36,'Données projet'!$B$36,N76+M77-V76)))</f>
        <v>266.5999999999998</v>
      </c>
      <c r="O77" s="13">
        <f>N77*VLOOKUP('Données projet'!$B$9,Paramètres!$A$1:$I$89,3,0)*VLOOKUP('Données projet'!$B$9,Paramètres!$A$1:$I$89,5,0)</f>
        <v>232.90175999999985</v>
      </c>
      <c r="P77" s="13">
        <f t="shared" si="87"/>
        <v>56.909651332233778</v>
      </c>
      <c r="Q77" s="20">
        <f t="shared" si="54"/>
        <v>504.75487473697353</v>
      </c>
      <c r="R77" s="59">
        <f t="shared" si="55"/>
        <v>798.08820807030679</v>
      </c>
      <c r="S77" s="59">
        <f ca="1">AVERAGE(OFFSET($R$3,0,0,'Données projet'!$E$9+1,1))-AVERAGE(OFFSET($H$3,0,0,'Données projet'!$E$9+1,1))</f>
        <v>324.86930206492627</v>
      </c>
      <c r="T77" s="59">
        <f t="shared" si="88"/>
        <v>317.03005098025352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27.362968771788776</v>
      </c>
      <c r="AA77" s="21">
        <f>EXP(-LN(2)/25)*AA76+(1-EXP(-LN(2)/25))/(LN(2)/25)*Calculateur!V77*Calculateur!X77*VLOOKUP('Données projet'!$B$9,Paramètres!$A$1:$I$89,3,0)*0.475*44/12</f>
        <v>9.6556429015700243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37.018611673358798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7.8425925925925934</v>
      </c>
      <c r="AI77" s="13">
        <f>IF('Données projet'!$A$62&gt;35,AI76+AH77-AQ76,IF(A77&lt;'Données projet'!$A$62,$AF$205^A77,IF(A77='Données projet'!$A$62,'Données projet'!$B$62,AI76+AH77-AQ76)))</f>
        <v>226.95726495726518</v>
      </c>
      <c r="AJ77" s="13">
        <f>AI77*VLOOKUP('Données projet'!$B$10,Paramètres!$A$1:$I$89,3,0)*VLOOKUP('Données projet'!$B$10,Paramètres!$A$1:$I$89,5,0)</f>
        <v>215.97253333333353</v>
      </c>
      <c r="AK77" s="13">
        <f t="shared" si="89"/>
        <v>53.238596683758736</v>
      </c>
      <c r="AL77" s="20">
        <f t="shared" si="58"/>
        <v>468.87605144643567</v>
      </c>
      <c r="AM77" s="59">
        <f t="shared" si="59"/>
        <v>762.20938477976893</v>
      </c>
      <c r="AN77" s="59">
        <f ca="1">AVERAGE(OFFSET($AM$3,0,0,'Données projet'!$E$10+1,1))-AVERAGE(OFFSET($H$3,0,0,'Données projet'!$E$10+1,1))</f>
        <v>401.81944956556271</v>
      </c>
      <c r="AO77" s="59">
        <f t="shared" si="90"/>
        <v>292.20785523952651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22.541430029633663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22.541430029633663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1.7053025658242404E-13</v>
      </c>
      <c r="BE77" s="13">
        <f>BD77*VLOOKUP('Données projet'!$B$11,Paramètres!$A$1:$I$89,3,0)*VLOOKUP('Données projet'!$B$11,Paramètres!$A$1:$I$89,5,0)</f>
        <v>1.3301360013429075E-13</v>
      </c>
      <c r="BF77" s="13">
        <f t="shared" si="91"/>
        <v>1.9329766731057041E-12</v>
      </c>
      <c r="BG77" s="20">
        <f t="shared" si="61"/>
        <v>3.5982663925596575E-12</v>
      </c>
      <c r="BH77" s="59">
        <f t="shared" si="62"/>
        <v>293.3333333333369</v>
      </c>
      <c r="BI77" s="59">
        <f ca="1">AVERAGE(OFFSET($BH$3,0,0,'Données projet'!$E$11+1,1))-AVERAGE(OFFSET($H$3,0,0,'Données projet'!$E$11+1,1))</f>
        <v>288.80569134263209</v>
      </c>
      <c r="BJ77" s="59">
        <f t="shared" si="92"/>
        <v>283.48738729114024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73.484662123486714</v>
      </c>
      <c r="BQ77" s="21">
        <f>EXP(-LN(2)/25)*BQ76+(1-EXP(-LN(2)/25))/(LN(2)/25)*Calculateur!BL77*Calculateur!BN77*VLOOKUP('Données projet'!$B$11,Paramètres!$A$1:$I$89,3,0)*0.475*44/12</f>
        <v>59.379853946617715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132.86451607010443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200.59999999999997</v>
      </c>
      <c r="BZ77" s="13">
        <f>BY77*VLOOKUP('Données projet'!$B$12,Paramètres!$A$1:$I$89,3,0)*VLOOKUP('Données projet'!$B$12,Paramètres!$A$1:$I$89,5,0)</f>
        <v>209.66711999999998</v>
      </c>
      <c r="CA77" s="13">
        <f t="shared" si="93"/>
        <v>51.862836328303665</v>
      </c>
      <c r="CB77" s="20">
        <f t="shared" si="64"/>
        <v>455.49800727179553</v>
      </c>
      <c r="CC77" s="59">
        <f t="shared" si="65"/>
        <v>748.83134060512884</v>
      </c>
      <c r="CD77" s="59">
        <f ca="1">AVERAGE(OFFSET($CC$3,0,0,'Données projet'!$E$12+1,1))-AVERAGE(OFFSET($H$3,0,0,'Données projet'!$E$12+1,1))</f>
        <v>352.22281362023102</v>
      </c>
      <c r="CE77" s="59">
        <f t="shared" si="94"/>
        <v>310.2353747925161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9.7935969445488169</v>
      </c>
      <c r="CL77" s="21">
        <f>EXP(-LN(2)/25)*CL76+(1-EXP(-LN(2)/25))/(LN(2)/25)*Calculateur!CG77*Calculateur!CI77*VLOOKUP('Données projet'!$B$12,Paramètres!$A$1:$I$89,3,0)*0.475*44/12</f>
        <v>15.25094561929844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25.044542563847259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5.6899038461538431</v>
      </c>
      <c r="CT77" s="12">
        <f>IF('Données projet'!$A$140&gt;35,CT76+CS77-DB76,IF(A77&lt;'Données projet'!$A$140,$CQ$205^A77,IF(A77='Données projet'!$A$140,'Données projet'!$B$140,CT76+CS77-DB76)))</f>
        <v>175.69471153846149</v>
      </c>
      <c r="CU77" s="17">
        <f>CT77*VLOOKUP('Données projet'!$B$13,Paramètres!$A$1:$I$89,3,0)*VLOOKUP('Données projet'!$B$13,Paramètres!$A$1:$I$89,5,0)</f>
        <v>158.96857499999996</v>
      </c>
      <c r="CV77" s="13">
        <f t="shared" si="95"/>
        <v>40.609787126426944</v>
      </c>
      <c r="CW77" s="20">
        <f t="shared" si="67"/>
        <v>347.59898070352688</v>
      </c>
      <c r="CX77" s="59">
        <f t="shared" si="68"/>
        <v>640.93231403686013</v>
      </c>
      <c r="CY77" s="59">
        <f ca="1">AVERAGE(OFFSET($CX$3,0,0,'Données projet'!$E$13+1,1))-AVERAGE(OFFSET($H$3,0,0,'Données projet'!$E$13+1,1))</f>
        <v>345.49688858037996</v>
      </c>
      <c r="CZ77" s="59">
        <f t="shared" si="96"/>
        <v>213.15872113755023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5.6899038461538431</v>
      </c>
      <c r="DO77" s="12">
        <f>IF('Données projet'!$A$166&gt;35,DO76+DN77-DW76,IF(A77&lt;'Données projet'!$A$166,$DL$205^A77,IF(A77='Données projet'!$A$166,'Données projet'!$B$166,DO76+DN77-DW76)))</f>
        <v>175.69471153846149</v>
      </c>
      <c r="DP77" s="17">
        <f>DO77*VLOOKUP('Données projet'!$B$14,Paramètres!$A$1:$I$89,3,0)*VLOOKUP('Données projet'!$B$14,Paramètres!$A$1:$I$89,5,0)</f>
        <v>178.15443749999994</v>
      </c>
      <c r="DQ77" s="13">
        <f t="shared" si="97"/>
        <v>44.911336552510832</v>
      </c>
      <c r="DR77" s="20">
        <f t="shared" si="70"/>
        <v>388.50622314145625</v>
      </c>
      <c r="DS77" s="59">
        <f t="shared" si="71"/>
        <v>681.83955647478956</v>
      </c>
      <c r="DT77" s="59">
        <f ca="1">AVERAGE(OFFSET($DS$3,0,0,'Données projet'!$E$14+1,1))-AVERAGE(OFFSET($H$3,0,0,'Données projet'!$E$14+1,1))</f>
        <v>382.26108489744581</v>
      </c>
      <c r="DU77" s="59">
        <f t="shared" si="98"/>
        <v>233.89423996158826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8.5947293447293376</v>
      </c>
      <c r="EJ77" s="12">
        <f>IF('Données projet'!$A$192&gt;35,EJ76+EI77-ER76,IF(A77&lt;'Données projet'!$A$192,$EG$205^A77,IF(A77='Données projet'!$A$192,'Données projet'!$B$192,EJ76+EI77-ER76)))</f>
        <v>238.34330484330474</v>
      </c>
      <c r="EK77" s="17">
        <f>EJ77*VLOOKUP('Données projet'!$B$15,Paramètres!$A$1:$I$89,3,0)*VLOOKUP('Données projet'!$B$15,Paramètres!$A$1:$I$89,5,0)</f>
        <v>200.78039999999993</v>
      </c>
      <c r="EL77" s="13">
        <f t="shared" si="99"/>
        <v>49.915637132547147</v>
      </c>
      <c r="EM77" s="20">
        <f t="shared" si="73"/>
        <v>436.62893133918618</v>
      </c>
      <c r="EN77" s="59">
        <f t="shared" si="74"/>
        <v>729.9622646725195</v>
      </c>
      <c r="EO77" s="59">
        <f ca="1">AVERAGE(OFFSET($EN$3,0,0,'Données projet'!$E$15+1,1))-AVERAGE(OFFSET($H$3,0,0,'Données projet'!$E$15+1,1))</f>
        <v>312.48716825299158</v>
      </c>
      <c r="EP77" s="59">
        <f t="shared" si="100"/>
        <v>258.68277822755357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36.509991318035709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36.509991318035709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5.6899038461538431</v>
      </c>
      <c r="FE77" s="12">
        <f>IF('Données projet'!$A$218&gt;35,FE76+FD77-FM76,IF(A77&lt;'Données projet'!$A$218,$FB$205^A77,IF(A77='Données projet'!$A$218,'Données projet'!$B$218,FE76+FD77-FM76)))</f>
        <v>175.69471153846149</v>
      </c>
      <c r="FF77" s="17">
        <f>FE77*VLOOKUP('Données projet'!$B$16,Paramètres!$A$1:$I$89,3,0)*VLOOKUP('Données projet'!$B$16,Paramètres!$A$1:$I$89,5,0)</f>
        <v>189.11778749999993</v>
      </c>
      <c r="FG77" s="13">
        <f t="shared" si="101"/>
        <v>47.344855394007666</v>
      </c>
      <c r="FH77" s="20">
        <f t="shared" si="76"/>
        <v>411.83910304039659</v>
      </c>
      <c r="FI77" s="59">
        <f t="shared" si="77"/>
        <v>705.17243637372985</v>
      </c>
      <c r="FJ77" s="59">
        <f ca="1">AVERAGE(OFFSET($FI$3,0,0,'Données projet'!$E$16+1,1))-AVERAGE(OFFSET($H$3,0,0,'Données projet'!$E$16+1,1))</f>
        <v>403.23110963096246</v>
      </c>
      <c r="FK77" s="59">
        <f t="shared" si="102"/>
        <v>245.72000393124898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5.6899038461538431</v>
      </c>
      <c r="FZ77" s="12">
        <f>IF('Données projet'!$A$244&gt;35,FZ76+FY77-GH76,IF(A77&lt;'Données projet'!$A$244,$FW$205^A77,IF(A77='Données projet'!$A$244,'Données projet'!$B$244,FZ76+FY77-GH76)))</f>
        <v>175.69471153846149</v>
      </c>
      <c r="GA77" s="17">
        <f>FZ77*VLOOKUP('Données projet'!$B$17,Paramètres!$A$1:$I$89,3,0)*VLOOKUP('Données projet'!$B$17,Paramètres!$A$1:$I$89,5,0)</f>
        <v>169.93192499999995</v>
      </c>
      <c r="GB77" s="13">
        <f t="shared" si="103"/>
        <v>43.074776694487269</v>
      </c>
      <c r="GC77" s="20">
        <f t="shared" si="79"/>
        <v>370.98667211789854</v>
      </c>
      <c r="GD77" s="59">
        <f t="shared" si="80"/>
        <v>664.32000545123185</v>
      </c>
      <c r="GE77" s="59">
        <f ca="1">AVERAGE(OFFSET($GD$3,0,0,'Données projet'!$E$17+1,1))-AVERAGE(OFFSET($H$3,0,0,'Données projet'!$E$17+1,1))</f>
        <v>336.2911850338175</v>
      </c>
      <c r="GF77" s="59">
        <f t="shared" si="104"/>
        <v>225.01415116995503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0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5.6899038461538431</v>
      </c>
      <c r="GU77" s="12">
        <f>IF('Données projet'!$A$270&gt;35,GU76+GT77-HC76,IF(A77&lt;'Données projet'!$A$270,$GR$205^A77,IF(A77='Données projet'!$A$270,'Données projet'!$B$270,GU76+GT77-HC76)))</f>
        <v>175.69471153846149</v>
      </c>
      <c r="GV77" s="17">
        <f>GU77*VLOOKUP('Données projet'!$B$18,Paramètres!$A$1:$I$89,3,0)*VLOOKUP('Données projet'!$B$18,Paramètres!$A$1:$I$89,5,0)</f>
        <v>117.85601249999996</v>
      </c>
      <c r="GW77" s="13">
        <f t="shared" si="105"/>
        <v>31.174425958999301</v>
      </c>
      <c r="GX77" s="20">
        <f t="shared" si="82"/>
        <v>259.56134698275702</v>
      </c>
      <c r="GY77" s="59">
        <f t="shared" si="83"/>
        <v>552.89468031609033</v>
      </c>
      <c r="GZ77" s="59">
        <f ca="1">AVERAGE(OFFSET($GY$3,0,0,'Données projet'!$E$18+1,1))-AVERAGE(OFFSET($H$3,0,0,'Données projet'!$E$18+1,1))</f>
        <v>266.37807768393191</v>
      </c>
      <c r="HA77" s="59">
        <f t="shared" si="106"/>
        <v>168.52019826233425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84"/>
        <v>0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270</v>
      </c>
      <c r="L78" s="12">
        <f>VLOOKUP(A78,'Données projet'!$A$35:$I$55,9,0)</f>
        <v>3.4</v>
      </c>
      <c r="M78" s="12">
        <f t="array" ref="M78">INDEX(L:L,MIN(IF(ISNUMBER(L78:L274),ROW(L78:L274),"")))</f>
        <v>3.4</v>
      </c>
      <c r="N78" s="13">
        <f>IF('Données projet'!$A$36&gt;35,N77+M78-V77,IF(A78&lt;'Données projet'!$A$36,$K$205^A78,IF(A78='Données projet'!$A$36,'Données projet'!$B$36,N77+M78-V77)))</f>
        <v>269.99999999999977</v>
      </c>
      <c r="O78" s="13">
        <f>N78*VLOOKUP('Données projet'!$B$9,Paramètres!$A$1:$I$89,3,0)*VLOOKUP('Données projet'!$B$9,Paramètres!$A$1:$I$89,5,0)</f>
        <v>235.87199999999982</v>
      </c>
      <c r="P78" s="13">
        <f t="shared" si="87"/>
        <v>57.55047634701522</v>
      </c>
      <c r="Q78" s="20">
        <f t="shared" si="54"/>
        <v>511.04414630438458</v>
      </c>
      <c r="R78" s="59">
        <f t="shared" si="55"/>
        <v>804.3774796377179</v>
      </c>
      <c r="S78" s="59">
        <f ca="1">AVERAGE(OFFSET($R$3,0,0,'Données projet'!$E$9+1,1))-AVERAGE(OFFSET($H$3,0,0,'Données projet'!$E$9+1,1))</f>
        <v>324.86930206492627</v>
      </c>
      <c r="T78" s="59">
        <f t="shared" si="88"/>
        <v>317.03005098025352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9</v>
      </c>
      <c r="W78" s="16">
        <f>IF(ISNA(VLOOKUP(A78,'Données projet'!$A$35:$I$55,5,0)),0%,VLOOKUP(A78,'Données projet'!$A$35:$I$55,5,0)*VLOOKUP('Données projet'!$B$9,Paramètres!$A$1:$I$89,7,0))</f>
        <v>0.47170000000000001</v>
      </c>
      <c r="X78" s="16">
        <f>IF(ISNA(VLOOKUP(A78,'Données projet'!$A$35:$I$55,6,0)),0%,VLOOKUP(A78,'Données projet'!$A$35:$I$55,6,0)*VLOOKUP('Données projet'!$B$9,Paramètres!$A$1:$I$89,7,0))</f>
        <v>5.8300000000000005E-2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30.926249096126178</v>
      </c>
      <c r="AA78" s="21">
        <f>EXP(-LN(2)/25)*AA77+(1-EXP(-LN(2)/25))/(LN(2)/25)*Calculateur!V78*Calculateur!X78*VLOOKUP('Données projet'!$B$9,Paramètres!$A$1:$I$89,3,0)*0.475*44/12</f>
        <v>9.8963368894833064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40.822585985609486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7.8425925925925934</v>
      </c>
      <c r="AI78" s="13">
        <f>IF('Données projet'!$A$62&gt;35,AI77+AH78-AQ77,IF(A78&lt;'Données projet'!$A$62,$AF$205^A78,IF(A78='Données projet'!$A$62,'Données projet'!$B$62,AI77+AH78-AQ77)))</f>
        <v>234.79985754985776</v>
      </c>
      <c r="AJ78" s="13">
        <f>AI78*VLOOKUP('Données projet'!$B$10,Paramètres!$A$1:$I$89,3,0)*VLOOKUP('Données projet'!$B$10,Paramètres!$A$1:$I$89,5,0)</f>
        <v>223.43554444444464</v>
      </c>
      <c r="AK78" s="13">
        <f t="shared" si="89"/>
        <v>54.860909599989448</v>
      </c>
      <c r="AL78" s="20">
        <f t="shared" si="58"/>
        <v>484.69965746072268</v>
      </c>
      <c r="AM78" s="59">
        <f t="shared" si="59"/>
        <v>778.03299079405599</v>
      </c>
      <c r="AN78" s="59">
        <f ca="1">AVERAGE(OFFSET($AM$3,0,0,'Données projet'!$E$10+1,1))-AVERAGE(OFFSET($H$3,0,0,'Données projet'!$E$10+1,1))</f>
        <v>401.81944956556271</v>
      </c>
      <c r="AO78" s="59">
        <f t="shared" si="90"/>
        <v>292.20785523952651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22.099406335667272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22.099406335667272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1.7053025658242404E-13</v>
      </c>
      <c r="BE78" s="13">
        <f>BD78*VLOOKUP('Données projet'!$B$11,Paramètres!$A$1:$I$89,3,0)*VLOOKUP('Données projet'!$B$11,Paramètres!$A$1:$I$89,5,0)</f>
        <v>1.3301360013429075E-13</v>
      </c>
      <c r="BF78" s="13">
        <f t="shared" si="91"/>
        <v>1.9329766731057041E-12</v>
      </c>
      <c r="BG78" s="20">
        <f t="shared" si="61"/>
        <v>3.5982663925596575E-12</v>
      </c>
      <c r="BH78" s="59">
        <f t="shared" si="62"/>
        <v>293.3333333333369</v>
      </c>
      <c r="BI78" s="59">
        <f ca="1">AVERAGE(OFFSET($BH$3,0,0,'Données projet'!$E$11+1,1))-AVERAGE(OFFSET($H$3,0,0,'Données projet'!$E$11+1,1))</f>
        <v>288.80569134263209</v>
      </c>
      <c r="BJ78" s="59">
        <f t="shared" si="92"/>
        <v>283.48738729114024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72.043672720463306</v>
      </c>
      <c r="BQ78" s="21">
        <f>EXP(-LN(2)/25)*BQ77+(1-EXP(-LN(2)/25))/(LN(2)/25)*Calculateur!BL78*Calculateur!BN78*VLOOKUP('Données projet'!$B$11,Paramètres!$A$1:$I$89,3,0)*0.475*44/12</f>
        <v>57.75610871779665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129.79978143825997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204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203.99999999999997</v>
      </c>
      <c r="BZ78" s="13">
        <f>BY78*VLOOKUP('Données projet'!$B$12,Paramètres!$A$1:$I$89,3,0)*VLOOKUP('Données projet'!$B$12,Paramètres!$A$1:$I$89,5,0)</f>
        <v>213.22079999999997</v>
      </c>
      <c r="CA78" s="13">
        <f t="shared" si="93"/>
        <v>52.638786839117564</v>
      </c>
      <c r="CB78" s="20">
        <f t="shared" si="64"/>
        <v>463.03878041146299</v>
      </c>
      <c r="CC78" s="59">
        <f t="shared" si="65"/>
        <v>756.37211374479625</v>
      </c>
      <c r="CD78" s="59">
        <f ca="1">AVERAGE(OFFSET($CC$3,0,0,'Données projet'!$E$12+1,1))-AVERAGE(OFFSET($H$3,0,0,'Données projet'!$E$12+1,1))</f>
        <v>352.22281362023102</v>
      </c>
      <c r="CE78" s="59">
        <f t="shared" si="94"/>
        <v>310.2353747925161</v>
      </c>
      <c r="CF78" s="15">
        <f>IF(ISNA(VLOOKUP(A78,'Données projet'!$A$113:$I$133,3,0)),0,VLOOKUP(A78,'Données projet'!$A$113:$I$133,3,0))</f>
        <v>12</v>
      </c>
      <c r="CG78" s="15" t="str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0.17200000000000001</v>
      </c>
      <c r="CI78" s="16">
        <f>IF(ISNA(VLOOKUP(A78,'Données projet'!$A$113:$I$133,6,0)),0%,VLOOKUP(A78,'Données projet'!$A$113:$I$133,6,0)*VLOOKUP('Données projet'!$B$12,Paramètres!$A$1:$I$89,7,0))</f>
        <v>0.17200000000000001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11.986373772350218</v>
      </c>
      <c r="CL78" s="21">
        <f>EXP(-LN(2)/25)*CL77+(1-EXP(-LN(2)/25))/(LN(2)/25)*Calculateur!CG78*Calculateur!CI78*VLOOKUP('Données projet'!$B$12,Paramètres!$A$1:$I$89,3,0)*0.475*44/12</f>
        <v>17.209341041722915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29.195714814073135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181.38461538461536</v>
      </c>
      <c r="CR78" s="12">
        <f>VLOOKUP(A78,'Données projet'!$A$139:$I$159,9,0)</f>
        <v>5.6899038461538431</v>
      </c>
      <c r="CS78" s="12">
        <f t="array" ref="CS78">INDEX(CR:CR,MIN(IF(ISNUMBER(CR78:CR274),ROW(CR78:CR274),"")))</f>
        <v>5.6899038461538431</v>
      </c>
      <c r="CT78" s="12">
        <f>IF('Données projet'!$A$140&gt;35,CT77+CS78-DB77,IF(A78&lt;'Données projet'!$A$140,$CQ$205^A78,IF(A78='Données projet'!$A$140,'Données projet'!$B$140,CT77+CS78-DB77)))</f>
        <v>181.38461538461533</v>
      </c>
      <c r="CU78" s="17">
        <f>CT78*VLOOKUP('Données projet'!$B$13,Paramètres!$A$1:$I$89,3,0)*VLOOKUP('Données projet'!$B$13,Paramètres!$A$1:$I$89,5,0)</f>
        <v>164.11679999999993</v>
      </c>
      <c r="CV78" s="13">
        <f t="shared" si="95"/>
        <v>41.769693774469289</v>
      </c>
      <c r="CW78" s="20">
        <f t="shared" si="67"/>
        <v>358.58564332386726</v>
      </c>
      <c r="CX78" s="59">
        <f t="shared" si="68"/>
        <v>651.91897665720057</v>
      </c>
      <c r="CY78" s="59">
        <f ca="1">AVERAGE(OFFSET($CX$3,0,0,'Données projet'!$E$13+1,1))-AVERAGE(OFFSET($H$3,0,0,'Données projet'!$E$13+1,1))</f>
        <v>345.49688858037996</v>
      </c>
      <c r="CZ78" s="59">
        <f t="shared" si="96"/>
        <v>213.15872113755023</v>
      </c>
      <c r="DA78" s="15">
        <f>IF(ISNA(VLOOKUP(A78,'Données projet'!$A$139:$I$159,3,0)),0,VLOOKUP(A78,'Données projet'!$A$139:$I$159,3,0))</f>
        <v>5</v>
      </c>
      <c r="DB78" s="15">
        <f>IF(ISNA(VLOOKUP(A78,'Données projet'!$A$139:$I$159,4,0)),0,VLOOKUP(A78,'Données projet'!$A$139:$I$159,4,0))</f>
        <v>30.916666666666664</v>
      </c>
      <c r="DC78" s="16">
        <f>IF(ISNA(VLOOKUP(A78,'Données projet'!$A$139:$I$159,5,0)),0%,VLOOKUP(A78,'Données projet'!$A$139:$I$159,5,0)*VLOOKUP('Données projet'!$B$13,Paramètres!$A$1:$I$89,7,0))</f>
        <v>0.30099999999999999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9.3080532995629337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9.3080532995629337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181.38461538461536</v>
      </c>
      <c r="DM78" s="12">
        <f>VLOOKUP(A78,'Données projet'!$A$165:$I$185,9,0)</f>
        <v>5.6899038461538431</v>
      </c>
      <c r="DN78" s="12">
        <f t="array" ref="DN78">INDEX(DM:DM,MIN(IF(ISNUMBER(DM78:DM274),ROW(DM78:DM274),"")))</f>
        <v>5.6899038461538431</v>
      </c>
      <c r="DO78" s="12">
        <f>IF('Données projet'!$A$166&gt;35,DO77+DN78-DW77,IF(A78&lt;'Données projet'!$A$166,$DL$205^A78,IF(A78='Données projet'!$A$166,'Données projet'!$B$166,DO77+DN78-DW77)))</f>
        <v>181.38461538461533</v>
      </c>
      <c r="DP78" s="17">
        <f>DO78*VLOOKUP('Données projet'!$B$14,Paramètres!$A$1:$I$89,3,0)*VLOOKUP('Données projet'!$B$14,Paramètres!$A$1:$I$89,5,0)</f>
        <v>183.92399999999995</v>
      </c>
      <c r="DQ78" s="13">
        <f t="shared" si="97"/>
        <v>46.194105104770117</v>
      </c>
      <c r="DR78" s="20">
        <f t="shared" si="70"/>
        <v>400.78903305747446</v>
      </c>
      <c r="DS78" s="59">
        <f t="shared" si="71"/>
        <v>694.12236639080777</v>
      </c>
      <c r="DT78" s="59">
        <f ca="1">AVERAGE(OFFSET($DS$3,0,0,'Données projet'!$E$14+1,1))-AVERAGE(OFFSET($H$3,0,0,'Données projet'!$E$14+1,1))</f>
        <v>382.26108489744581</v>
      </c>
      <c r="DU78" s="59">
        <f t="shared" si="98"/>
        <v>233.89423996158826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30.916666666666664</v>
      </c>
      <c r="DX78" s="16">
        <f>IF(ISNA(VLOOKUP(A78,'Données projet'!$A$165:$I$185,5,0)),0%,VLOOKUP(A78,'Données projet'!$A$165:$I$185,5,0)*VLOOKUP('Données projet'!$B$14,Paramètres!$A$1:$I$89,7,0))</f>
        <v>0.30099999999999999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10.431439042613633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10.431439042613633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8.5947293447293376</v>
      </c>
      <c r="EJ78" s="12">
        <f>IF('Données projet'!$A$192&gt;35,EJ77+EI78-ER77,IF(A78&lt;'Données projet'!$A$192,$EG$205^A78,IF(A78='Données projet'!$A$192,'Données projet'!$B$192,EJ77+EI78-ER77)))</f>
        <v>246.93803418803407</v>
      </c>
      <c r="EK78" s="17">
        <f>EJ78*VLOOKUP('Données projet'!$B$15,Paramètres!$A$1:$I$89,3,0)*VLOOKUP('Données projet'!$B$15,Paramètres!$A$1:$I$89,5,0)</f>
        <v>208.02059999999994</v>
      </c>
      <c r="EL78" s="13">
        <f t="shared" si="99"/>
        <v>51.502798874753772</v>
      </c>
      <c r="EM78" s="20">
        <f t="shared" si="73"/>
        <v>452.00325304019606</v>
      </c>
      <c r="EN78" s="59">
        <f t="shared" si="74"/>
        <v>745.33658637352937</v>
      </c>
      <c r="EO78" s="59">
        <f ca="1">AVERAGE(OFFSET($EN$3,0,0,'Données projet'!$E$15+1,1))-AVERAGE(OFFSET($H$3,0,0,'Données projet'!$E$15+1,1))</f>
        <v>312.48716825299158</v>
      </c>
      <c r="EP78" s="59">
        <f t="shared" si="100"/>
        <v>258.68277822755357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35.794052657184864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35.794052657184864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181.38461538461536</v>
      </c>
      <c r="FC78" s="12">
        <f>VLOOKUP(A78,'Données projet'!$A$217:$I$237,9,0)</f>
        <v>5.6899038461538431</v>
      </c>
      <c r="FD78" s="12">
        <f t="array" ref="FD78">INDEX(FC:FC,MIN(IF(ISNUMBER(FC78:FC274),ROW(FC78:FC274),"")))</f>
        <v>5.6899038461538431</v>
      </c>
      <c r="FE78" s="12">
        <f>IF('Données projet'!$A$218&gt;35,FE77+FD78-FM77,IF(A78&lt;'Données projet'!$A$218,$FB$205^A78,IF(A78='Données projet'!$A$218,'Données projet'!$B$218,FE77+FD78-FM77)))</f>
        <v>181.38461538461533</v>
      </c>
      <c r="FF78" s="17">
        <f>FE78*VLOOKUP('Données projet'!$B$16,Paramètres!$A$1:$I$89,3,0)*VLOOKUP('Données projet'!$B$16,Paramètres!$A$1:$I$89,5,0)</f>
        <v>195.24239999999992</v>
      </c>
      <c r="FG78" s="13">
        <f t="shared" si="101"/>
        <v>48.697130705157342</v>
      </c>
      <c r="FH78" s="20">
        <f t="shared" si="76"/>
        <v>424.86134931148223</v>
      </c>
      <c r="FI78" s="59">
        <f t="shared" si="77"/>
        <v>718.19468264481554</v>
      </c>
      <c r="FJ78" s="59">
        <f ca="1">AVERAGE(OFFSET($FI$3,0,0,'Données projet'!$E$16+1,1))-AVERAGE(OFFSET($H$3,0,0,'Données projet'!$E$16+1,1))</f>
        <v>403.23110963096246</v>
      </c>
      <c r="FK78" s="59">
        <f t="shared" si="102"/>
        <v>245.72000393124898</v>
      </c>
      <c r="FL78" s="15">
        <f>IF(ISNA(VLOOKUP(A78,'Données projet'!$A$217:$I$237,3,0)),0,VLOOKUP(A78,'Données projet'!$A$217:$I$237,3,0))</f>
        <v>5</v>
      </c>
      <c r="FM78" s="15">
        <f>IF(ISNA(VLOOKUP(A78,'Données projet'!$A$217:$I$237,4,0)),0,VLOOKUP(A78,'Données projet'!$A$217:$I$237,4,0))</f>
        <v>30.916666666666664</v>
      </c>
      <c r="FN78" s="16">
        <f>IF(ISNA(VLOOKUP(A78,'Données projet'!$A$217:$I$237,5,0)),0%,VLOOKUP(A78,'Données projet'!$A$217:$I$237,5,0)*VLOOKUP('Données projet'!$B$16,Paramètres!$A$1:$I$89,7,0))</f>
        <v>0.30099999999999999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11.073373752928319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11.073373752928319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181.38461538461536</v>
      </c>
      <c r="FX78" s="12">
        <f>VLOOKUP(A78,'Données projet'!$A$243:$I$263,9,0)</f>
        <v>5.6899038461538431</v>
      </c>
      <c r="FY78" s="12">
        <f t="array" ref="FY78">INDEX(FX:FX,MIN(IF(ISNUMBER(FX78:FX274),ROW(FX78:FX274),"")))</f>
        <v>5.6899038461538431</v>
      </c>
      <c r="FZ78" s="12">
        <f>IF('Données projet'!$A$244&gt;35,FZ77+FY78-GH77,IF(A78&lt;'Données projet'!$A$244,$FW$205^A78,IF(A78='Données projet'!$A$244,'Données projet'!$B$244,FZ77+FY78-GH77)))</f>
        <v>181.38461538461533</v>
      </c>
      <c r="GA78" s="17">
        <f>FZ78*VLOOKUP('Données projet'!$B$17,Paramètres!$A$1:$I$89,3,0)*VLOOKUP('Données projet'!$B$17,Paramètres!$A$1:$I$89,5,0)</f>
        <v>175.43519999999995</v>
      </c>
      <c r="GB78" s="13">
        <f t="shared" si="103"/>
        <v>44.305088975990508</v>
      </c>
      <c r="GC78" s="20">
        <f t="shared" si="79"/>
        <v>382.71433663318339</v>
      </c>
      <c r="GD78" s="59">
        <f t="shared" si="80"/>
        <v>676.04766996651665</v>
      </c>
      <c r="GE78" s="59">
        <f ca="1">AVERAGE(OFFSET($GD$3,0,0,'Données projet'!$E$17+1,1))-AVERAGE(OFFSET($H$3,0,0,'Données projet'!$E$17+1,1))</f>
        <v>336.2911850338175</v>
      </c>
      <c r="GF78" s="59">
        <f t="shared" si="104"/>
        <v>225.01415116995503</v>
      </c>
      <c r="GG78" s="15">
        <f>IF(ISNA(VLOOKUP(A78,'Données projet'!$A$243:$I$263,3,0)),0,VLOOKUP(A78,'Données projet'!$A$243:$I$263,3,0))</f>
        <v>5</v>
      </c>
      <c r="GH78" s="15">
        <f>IF(ISNA(VLOOKUP(A78,'Données projet'!$A$243:$I$263,4,0)),0,VLOOKUP(A78,'Données projet'!$A$243:$I$263,4,0))</f>
        <v>30.916666666666664</v>
      </c>
      <c r="GI78" s="16">
        <f>IF(ISNA(VLOOKUP(A78,'Données projet'!$A$243:$I$263,5,0)),0%,VLOOKUP(A78,'Données projet'!$A$243:$I$263,5,0)*VLOOKUP('Données projet'!$B$17,Paramètres!$A$1:$I$89,7,0))</f>
        <v>0.30099999999999999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9.9499880098776199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9.9499880098776199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181.38461538461536</v>
      </c>
      <c r="GS78" s="12">
        <f>VLOOKUP(A78,'Données projet'!$A$269:$I$289,9,0)</f>
        <v>5.6899038461538431</v>
      </c>
      <c r="GT78" s="12">
        <f t="array" ref="GT78">INDEX(GS:GS,MIN(IF(ISNUMBER(GS78:GS274),ROW(GS78:GS274),"")))</f>
        <v>5.6899038461538431</v>
      </c>
      <c r="GU78" s="12">
        <f>IF('Données projet'!$A$270&gt;35,GU77+GT78-HC77,IF(A78&lt;'Données projet'!$A$270,$GR$205^A78,IF(A78='Données projet'!$A$270,'Données projet'!$B$270,GU77+GT78-HC77)))</f>
        <v>181.38461538461533</v>
      </c>
      <c r="GV78" s="17">
        <f>GU78*VLOOKUP('Données projet'!$B$18,Paramètres!$A$1:$I$89,3,0)*VLOOKUP('Données projet'!$B$18,Paramètres!$A$1:$I$89,5,0)</f>
        <v>121.67279999999997</v>
      </c>
      <c r="GW78" s="13">
        <f t="shared" si="105"/>
        <v>32.064837519300639</v>
      </c>
      <c r="GX78" s="20">
        <f t="shared" si="82"/>
        <v>267.75971867944855</v>
      </c>
      <c r="GY78" s="59">
        <f t="shared" si="83"/>
        <v>561.09305201278187</v>
      </c>
      <c r="GZ78" s="59">
        <f ca="1">AVERAGE(OFFSET($GY$3,0,0,'Données projet'!$E$18+1,1))-AVERAGE(OFFSET($H$3,0,0,'Données projet'!$E$18+1,1))</f>
        <v>266.37807768393191</v>
      </c>
      <c r="HA78" s="59">
        <f t="shared" si="106"/>
        <v>168.52019826233425</v>
      </c>
      <c r="HB78" s="15">
        <f>IF(ISNA(VLOOKUP(A78,'Données projet'!$A$269:$I$289,3,0)),0,VLOOKUP(A78,'Données projet'!$A$269:$I$289,3,0))</f>
        <v>5</v>
      </c>
      <c r="HC78" s="15">
        <f>IF(ISNA(VLOOKUP(A78,'Données projet'!$A$269:$I$289,4,0)),0,VLOOKUP(A78,'Données projet'!$A$269:$I$289,4,0))</f>
        <v>30.916666666666664</v>
      </c>
      <c r="HD78" s="16">
        <f>IF(ISNA(VLOOKUP(A78,'Données projet'!$A$269:$I$289,5,0)),0%,VLOOKUP(A78,'Données projet'!$A$269:$I$289,5,0)*VLOOKUP('Données projet'!$B$18,Paramètres!$A$1:$I$89,7,0))</f>
        <v>0.371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8.5056349116695795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84"/>
        <v>8.5056349116695795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2.8</v>
      </c>
      <c r="N79" s="13">
        <f>IF('Données projet'!$A$36&gt;35,N78+M79-V78,IF(A79&lt;'Données projet'!$A$36,$K$205^A79,IF(A79='Données projet'!$A$36,'Données projet'!$B$36,N78+M79-V78)))</f>
        <v>263.79999999999978</v>
      </c>
      <c r="O79" s="13">
        <f>N79*VLOOKUP('Données projet'!$B$9,Paramètres!$A$1:$I$89,3,0)*VLOOKUP('Données projet'!$B$9,Paramètres!$A$1:$I$89,5,0)</f>
        <v>230.45567999999983</v>
      </c>
      <c r="P79" s="13">
        <f t="shared" si="87"/>
        <v>56.381198848277869</v>
      </c>
      <c r="Q79" s="20">
        <f t="shared" si="54"/>
        <v>499.57423066075035</v>
      </c>
      <c r="R79" s="59">
        <f t="shared" si="55"/>
        <v>792.9075639940836</v>
      </c>
      <c r="S79" s="59">
        <f ca="1">AVERAGE(OFFSET($R$3,0,0,'Données projet'!$E$9+1,1))-AVERAGE(OFFSET($H$3,0,0,'Données projet'!$E$9+1,1))</f>
        <v>324.86930206492627</v>
      </c>
      <c r="T79" s="59">
        <f t="shared" si="88"/>
        <v>317.03005098025352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30.319804214500511</v>
      </c>
      <c r="AA79" s="21">
        <f>EXP(-LN(2)/25)*AA78+(1-EXP(-LN(2)/25))/(LN(2)/25)*Calculateur!V79*Calculateur!X79*VLOOKUP('Données projet'!$B$9,Paramètres!$A$1:$I$89,3,0)*0.475*44/12</f>
        <v>9.625721036814646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39.945525251315161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7.8425925925925934</v>
      </c>
      <c r="AI79" s="13">
        <f>IF('Données projet'!$A$62&gt;35,AI78+AH79-AQ78,IF(A79&lt;'Données projet'!$A$62,$AF$205^A79,IF(A79='Données projet'!$A$62,'Données projet'!$B$62,AI78+AH79-AQ78)))</f>
        <v>242.64245014245034</v>
      </c>
      <c r="AJ79" s="13">
        <f>AI79*VLOOKUP('Données projet'!$B$10,Paramètres!$A$1:$I$89,3,0)*VLOOKUP('Données projet'!$B$10,Paramètres!$A$1:$I$89,5,0)</f>
        <v>230.89855555555573</v>
      </c>
      <c r="AK79" s="13">
        <f t="shared" si="89"/>
        <v>56.47692613844702</v>
      </c>
      <c r="AL79" s="20">
        <f t="shared" si="58"/>
        <v>500.51229728372147</v>
      </c>
      <c r="AM79" s="59">
        <f t="shared" si="59"/>
        <v>793.84563061705478</v>
      </c>
      <c r="AN79" s="59">
        <f ca="1">AVERAGE(OFFSET($AM$3,0,0,'Données projet'!$E$10+1,1))-AVERAGE(OFFSET($H$3,0,0,'Données projet'!$E$10+1,1))</f>
        <v>401.81944956556271</v>
      </c>
      <c r="AO79" s="59">
        <f t="shared" si="90"/>
        <v>292.20785523952651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21.666050456731732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21.666050456731732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1.7053025658242404E-13</v>
      </c>
      <c r="BE79" s="13">
        <f>BD79*VLOOKUP('Données projet'!$B$11,Paramètres!$A$1:$I$89,3,0)*VLOOKUP('Données projet'!$B$11,Paramètres!$A$1:$I$89,5,0)</f>
        <v>1.3301360013429075E-13</v>
      </c>
      <c r="BF79" s="13">
        <f t="shared" si="91"/>
        <v>1.9329766731057041E-12</v>
      </c>
      <c r="BG79" s="20">
        <f t="shared" si="61"/>
        <v>3.5982663925596575E-12</v>
      </c>
      <c r="BH79" s="59">
        <f t="shared" si="62"/>
        <v>293.3333333333369</v>
      </c>
      <c r="BI79" s="59">
        <f ca="1">AVERAGE(OFFSET($BH$3,0,0,'Données projet'!$E$11+1,1))-AVERAGE(OFFSET($H$3,0,0,'Données projet'!$E$11+1,1))</f>
        <v>288.80569134263209</v>
      </c>
      <c r="BJ79" s="59">
        <f t="shared" si="92"/>
        <v>283.48738729114024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70.630940240716441</v>
      </c>
      <c r="BQ79" s="21">
        <f>EXP(-LN(2)/25)*BQ78+(1-EXP(-LN(2)/25))/(LN(2)/25)*Calculateur!BL79*Calculateur!BN79*VLOOKUP('Données projet'!$B$11,Paramètres!$A$1:$I$89,3,0)*0.475*44/12</f>
        <v>56.176764887646748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126.80770512836318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3.2</v>
      </c>
      <c r="BY79" s="12">
        <f>IF('Données projet'!$A$114&gt;35,BY78+BX79-CG78,IF(A79&lt;'Données projet'!$A$114,$BV$205^A79,IF(A79='Données projet'!$A$114,'Données projet'!$B$114,BY78+BX79-CG78)))</f>
        <v>195.19999999999996</v>
      </c>
      <c r="BZ79" s="13">
        <f>BY79*VLOOKUP('Données projet'!$B$12,Paramètres!$A$1:$I$89,3,0)*VLOOKUP('Données projet'!$B$12,Paramètres!$A$1:$I$89,5,0)</f>
        <v>204.02303999999998</v>
      </c>
      <c r="CA79" s="13">
        <f t="shared" si="93"/>
        <v>50.627282749042514</v>
      </c>
      <c r="CB79" s="20">
        <f t="shared" si="64"/>
        <v>443.51597878791563</v>
      </c>
      <c r="CC79" s="59">
        <f t="shared" si="65"/>
        <v>736.84931212124889</v>
      </c>
      <c r="CD79" s="59">
        <f ca="1">AVERAGE(OFFSET($CC$3,0,0,'Données projet'!$E$12+1,1))-AVERAGE(OFFSET($H$3,0,0,'Données projet'!$E$12+1,1))</f>
        <v>352.22281362023102</v>
      </c>
      <c r="CE79" s="59">
        <f t="shared" si="94"/>
        <v>310.2353747925161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11.751328293640533</v>
      </c>
      <c r="CL79" s="21">
        <f>EXP(-LN(2)/25)*CL78+(1-EXP(-LN(2)/25))/(LN(2)/25)*Calculateur!CG79*Calculateur!CI79*VLOOKUP('Données projet'!$B$12,Paramètres!$A$1:$I$89,3,0)*0.475*44/12</f>
        <v>16.73875070593709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28.490078999577623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5.5042735042735051</v>
      </c>
      <c r="CT79" s="12">
        <f>IF('Données projet'!$A$140&gt;35,CT78+CS79-DB78,IF(A79&lt;'Données projet'!$A$140,$CQ$205^A79,IF(A79='Données projet'!$A$140,'Données projet'!$B$140,CT78+CS79-DB78)))</f>
        <v>155.97222222222217</v>
      </c>
      <c r="CU79" s="17">
        <f>CT79*VLOOKUP('Données projet'!$B$13,Paramètres!$A$1:$I$89,3,0)*VLOOKUP('Données projet'!$B$13,Paramètres!$A$1:$I$89,5,0)</f>
        <v>141.12366666666662</v>
      </c>
      <c r="CV79" s="13">
        <f t="shared" si="95"/>
        <v>36.554301861544381</v>
      </c>
      <c r="CW79" s="20">
        <f t="shared" si="67"/>
        <v>309.45579518663413</v>
      </c>
      <c r="CX79" s="59">
        <f t="shared" si="68"/>
        <v>602.78912851996745</v>
      </c>
      <c r="CY79" s="59">
        <f ca="1">AVERAGE(OFFSET($CX$3,0,0,'Données projet'!$E$13+1,1))-AVERAGE(OFFSET($H$3,0,0,'Données projet'!$E$13+1,1))</f>
        <v>345.49688858037996</v>
      </c>
      <c r="CZ79" s="59">
        <f t="shared" si="96"/>
        <v>213.15872113755023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9.1255280517104254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9.1255280517104254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5.5042735042735051</v>
      </c>
      <c r="DO79" s="12">
        <f>IF('Données projet'!$A$166&gt;35,DO78+DN79-DW78,IF(A79&lt;'Données projet'!$A$166,$DL$205^A79,IF(A79='Données projet'!$A$166,'Données projet'!$B$166,DO78+DN79-DW78)))</f>
        <v>155.97222222222217</v>
      </c>
      <c r="DP79" s="17">
        <f>DO79*VLOOKUP('Données projet'!$B$14,Paramètres!$A$1:$I$89,3,0)*VLOOKUP('Données projet'!$B$14,Paramètres!$A$1:$I$89,5,0)</f>
        <v>158.15583333333331</v>
      </c>
      <c r="DQ79" s="13">
        <f t="shared" si="97"/>
        <v>40.426278232755124</v>
      </c>
      <c r="DR79" s="20">
        <f t="shared" si="70"/>
        <v>345.86384431093734</v>
      </c>
      <c r="DS79" s="59">
        <f t="shared" si="71"/>
        <v>639.1971776442706</v>
      </c>
      <c r="DT79" s="59">
        <f ca="1">AVERAGE(OFFSET($DS$3,0,0,'Données projet'!$E$14+1,1))-AVERAGE(OFFSET($H$3,0,0,'Données projet'!$E$14+1,1))</f>
        <v>382.26108489744581</v>
      </c>
      <c r="DU79" s="59">
        <f t="shared" si="98"/>
        <v>233.89423996158826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10.226884885537546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10.226884885537546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8.5947293447293376</v>
      </c>
      <c r="EJ79" s="12">
        <f>IF('Données projet'!$A$192&gt;35,EJ78+EI79-ER78,IF(A79&lt;'Données projet'!$A$192,$EG$205^A79,IF(A79='Données projet'!$A$192,'Données projet'!$B$192,EJ78+EI79-ER78)))</f>
        <v>255.5327635327634</v>
      </c>
      <c r="EK79" s="17">
        <f>EJ79*VLOOKUP('Données projet'!$B$15,Paramètres!$A$1:$I$89,3,0)*VLOOKUP('Données projet'!$B$15,Paramètres!$A$1:$I$89,5,0)</f>
        <v>215.2607999999999</v>
      </c>
      <c r="EL79" s="13">
        <f t="shared" si="99"/>
        <v>53.083542145940619</v>
      </c>
      <c r="EM79" s="20">
        <f t="shared" si="73"/>
        <v>467.36639590417968</v>
      </c>
      <c r="EN79" s="59">
        <f t="shared" si="74"/>
        <v>760.699729237513</v>
      </c>
      <c r="EO79" s="59">
        <f ca="1">AVERAGE(OFFSET($EN$3,0,0,'Données projet'!$E$15+1,1))-AVERAGE(OFFSET($H$3,0,0,'Données projet'!$E$15+1,1))</f>
        <v>312.48716825299158</v>
      </c>
      <c r="EP79" s="59">
        <f t="shared" si="100"/>
        <v>258.68277822755357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35.092153116793838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35.092153116793838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5.5042735042735051</v>
      </c>
      <c r="FE79" s="12">
        <f>IF('Données projet'!$A$218&gt;35,FE78+FD79-FM78,IF(A79&lt;'Données projet'!$A$218,$FB$205^A79,IF(A79='Données projet'!$A$218,'Données projet'!$B$218,FE78+FD79-FM78)))</f>
        <v>155.97222222222217</v>
      </c>
      <c r="FF79" s="17">
        <f>FE79*VLOOKUP('Données projet'!$B$16,Paramètres!$A$1:$I$89,3,0)*VLOOKUP('Données projet'!$B$16,Paramètres!$A$1:$I$89,5,0)</f>
        <v>167.88849999999994</v>
      </c>
      <c r="FG79" s="13">
        <f t="shared" si="101"/>
        <v>42.616774381895034</v>
      </c>
      <c r="FH79" s="20">
        <f t="shared" si="76"/>
        <v>366.63001954846703</v>
      </c>
      <c r="FI79" s="59">
        <f t="shared" si="77"/>
        <v>659.96335288180035</v>
      </c>
      <c r="FJ79" s="59">
        <f ca="1">AVERAGE(OFFSET($FI$3,0,0,'Données projet'!$E$16+1,1))-AVERAGE(OFFSET($H$3,0,0,'Données projet'!$E$16+1,1))</f>
        <v>403.23110963096246</v>
      </c>
      <c r="FK79" s="59">
        <f t="shared" si="102"/>
        <v>245.72000393124898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10.856231647724472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10.856231647724472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5.5042735042735051</v>
      </c>
      <c r="FZ79" s="12">
        <f>IF('Données projet'!$A$244&gt;35,FZ78+FY79-GH78,IF(A79&lt;'Données projet'!$A$244,$FW$205^A79,IF(A79='Données projet'!$A$244,'Données projet'!$B$244,FZ78+FY79-GH78)))</f>
        <v>155.97222222222217</v>
      </c>
      <c r="GA79" s="17">
        <f>FZ79*VLOOKUP('Données projet'!$B$17,Paramètres!$A$1:$I$89,3,0)*VLOOKUP('Données projet'!$B$17,Paramètres!$A$1:$I$89,5,0)</f>
        <v>150.85633333333328</v>
      </c>
      <c r="GB79" s="13">
        <f t="shared" si="103"/>
        <v>38.773125921762045</v>
      </c>
      <c r="GC79" s="20">
        <f t="shared" si="79"/>
        <v>330.27130820262437</v>
      </c>
      <c r="GD79" s="59">
        <f t="shared" si="80"/>
        <v>623.60464153595763</v>
      </c>
      <c r="GE79" s="59">
        <f ca="1">AVERAGE(OFFSET($GD$3,0,0,'Données projet'!$E$17+1,1))-AVERAGE(OFFSET($H$3,0,0,'Données projet'!$E$17+1,1))</f>
        <v>336.2911850338175</v>
      </c>
      <c r="GF79" s="59">
        <f t="shared" si="104"/>
        <v>225.01415116995503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9.7548748138973522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9.7548748138973522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5.5042735042735051</v>
      </c>
      <c r="GU79" s="12">
        <f>IF('Données projet'!$A$270&gt;35,GU78+GT79-HC78,IF(A79&lt;'Données projet'!$A$270,$GR$205^A79,IF(A79='Données projet'!$A$270,'Données projet'!$B$270,GU78+GT79-HC78)))</f>
        <v>155.97222222222217</v>
      </c>
      <c r="GV79" s="17">
        <f>GU79*VLOOKUP('Données projet'!$B$18,Paramètres!$A$1:$I$89,3,0)*VLOOKUP('Données projet'!$B$18,Paramètres!$A$1:$I$89,5,0)</f>
        <v>104.62616666666663</v>
      </c>
      <c r="GW79" s="13">
        <f t="shared" si="105"/>
        <v>28.061200451948537</v>
      </c>
      <c r="GX79" s="20">
        <f t="shared" si="82"/>
        <v>231.09716439825471</v>
      </c>
      <c r="GY79" s="59">
        <f t="shared" si="83"/>
        <v>524.43049773158805</v>
      </c>
      <c r="GZ79" s="59">
        <f ca="1">AVERAGE(OFFSET($GY$3,0,0,'Données projet'!$E$18+1,1))-AVERAGE(OFFSET($H$3,0,0,'Données projet'!$E$18+1,1))</f>
        <v>266.37807768393191</v>
      </c>
      <c r="HA79" s="59">
        <f t="shared" si="106"/>
        <v>168.52019826233425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8.3388445989767703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84"/>
        <v>8.3388445989767703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2.8</v>
      </c>
      <c r="N80" s="13">
        <f>IF('Données projet'!$A$36&gt;35,N79+M80-V79,IF(A80&lt;'Données projet'!$A$36,$K$205^A80,IF(A80='Données projet'!$A$36,'Données projet'!$B$36,N79+M80-V79)))</f>
        <v>266.5999999999998</v>
      </c>
      <c r="O80" s="13">
        <f>N80*VLOOKUP('Données projet'!$B$9,Paramètres!$A$1:$I$89,3,0)*VLOOKUP('Données projet'!$B$9,Paramètres!$A$1:$I$89,5,0)</f>
        <v>232.90175999999985</v>
      </c>
      <c r="P80" s="13">
        <f t="shared" si="87"/>
        <v>56.909651332233778</v>
      </c>
      <c r="Q80" s="20">
        <f t="shared" si="54"/>
        <v>504.75487473697353</v>
      </c>
      <c r="R80" s="59">
        <f t="shared" si="55"/>
        <v>798.08820807030679</v>
      </c>
      <c r="S80" s="59">
        <f ca="1">AVERAGE(OFFSET($R$3,0,0,'Données projet'!$E$9+1,1))-AVERAGE(OFFSET($H$3,0,0,'Données projet'!$E$9+1,1))</f>
        <v>324.86930206492627</v>
      </c>
      <c r="T80" s="59">
        <f t="shared" si="88"/>
        <v>317.03005098025352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29.725251347108671</v>
      </c>
      <c r="AA80" s="21">
        <f>EXP(-LN(2)/25)*AA79+(1-EXP(-LN(2)/25))/(LN(2)/25)*Calculateur!V80*Calculateur!X80*VLOOKUP('Données projet'!$B$9,Paramètres!$A$1:$I$89,3,0)*0.475*44/12</f>
        <v>9.3625051888682798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39.087756535976951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7.8425925925925934</v>
      </c>
      <c r="AI80" s="13">
        <f>IF('Données projet'!$A$62&gt;35,AI79+AH80-AQ79,IF(A80&lt;'Données projet'!$A$62,$AF$205^A80,IF(A80='Données projet'!$A$62,'Données projet'!$B$62,AI79+AH80-AQ79)))</f>
        <v>250.48504273504292</v>
      </c>
      <c r="AJ80" s="13">
        <f>AI80*VLOOKUP('Données projet'!$B$10,Paramètres!$A$1:$I$89,3,0)*VLOOKUP('Données projet'!$B$10,Paramètres!$A$1:$I$89,5,0)</f>
        <v>238.36156666666685</v>
      </c>
      <c r="AK80" s="13">
        <f t="shared" si="89"/>
        <v>58.086873149931648</v>
      </c>
      <c r="AL80" s="20">
        <f t="shared" si="58"/>
        <v>516.31436601390897</v>
      </c>
      <c r="AM80" s="59">
        <f t="shared" si="59"/>
        <v>809.64769934724222</v>
      </c>
      <c r="AN80" s="59">
        <f ca="1">AVERAGE(OFFSET($AM$3,0,0,'Données projet'!$E$10+1,1))-AVERAGE(OFFSET($H$3,0,0,'Données projet'!$E$10+1,1))</f>
        <v>401.81944956556271</v>
      </c>
      <c r="AO80" s="59">
        <f t="shared" si="90"/>
        <v>292.20785523952651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21.241192422261129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21.241192422261129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1.7053025658242404E-13</v>
      </c>
      <c r="BE80" s="13">
        <f>BD80*VLOOKUP('Données projet'!$B$11,Paramètres!$A$1:$I$89,3,0)*VLOOKUP('Données projet'!$B$11,Paramètres!$A$1:$I$89,5,0)</f>
        <v>1.3301360013429075E-13</v>
      </c>
      <c r="BF80" s="13">
        <f t="shared" si="91"/>
        <v>1.9329766731057041E-12</v>
      </c>
      <c r="BG80" s="20">
        <f t="shared" si="61"/>
        <v>3.5982663925596575E-12</v>
      </c>
      <c r="BH80" s="59">
        <f t="shared" si="62"/>
        <v>293.3333333333369</v>
      </c>
      <c r="BI80" s="59">
        <f ca="1">AVERAGE(OFFSET($BH$3,0,0,'Données projet'!$E$11+1,1))-AVERAGE(OFFSET($H$3,0,0,'Données projet'!$E$11+1,1))</f>
        <v>288.80569134263209</v>
      </c>
      <c r="BJ80" s="59">
        <f t="shared" si="92"/>
        <v>283.48738729114024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69.245910583215675</v>
      </c>
      <c r="BQ80" s="21">
        <f>EXP(-LN(2)/25)*BQ79+(1-EXP(-LN(2)/25))/(LN(2)/25)*Calculateur!BL80*Calculateur!BN80*VLOOKUP('Données projet'!$B$11,Paramètres!$A$1:$I$89,3,0)*0.475*44/12</f>
        <v>54.640608297586375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123.88651888080204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3.2</v>
      </c>
      <c r="BY80" s="12">
        <f>IF('Données projet'!$A$114&gt;35,BY79+BX80-CG79,IF(A80&lt;'Données projet'!$A$114,$BV$205^A80,IF(A80='Données projet'!$A$114,'Données projet'!$B$114,BY79+BX80-CG79)))</f>
        <v>198.39999999999995</v>
      </c>
      <c r="BZ80" s="13">
        <f>BY80*VLOOKUP('Données projet'!$B$12,Paramètres!$A$1:$I$89,3,0)*VLOOKUP('Données projet'!$B$12,Paramètres!$A$1:$I$89,5,0)</f>
        <v>207.36767999999995</v>
      </c>
      <c r="CA80" s="13">
        <f t="shared" si="93"/>
        <v>51.359935934080831</v>
      </c>
      <c r="CB80" s="20">
        <f t="shared" si="64"/>
        <v>450.61726441852403</v>
      </c>
      <c r="CC80" s="59">
        <f t="shared" si="65"/>
        <v>743.95059775185734</v>
      </c>
      <c r="CD80" s="59">
        <f ca="1">AVERAGE(OFFSET($CC$3,0,0,'Données projet'!$E$12+1,1))-AVERAGE(OFFSET($H$3,0,0,'Données projet'!$E$12+1,1))</f>
        <v>352.22281362023102</v>
      </c>
      <c r="CE80" s="59">
        <f t="shared" si="94"/>
        <v>310.2353747925161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11.520891913404759</v>
      </c>
      <c r="CL80" s="21">
        <f>EXP(-LN(2)/25)*CL79+(1-EXP(-LN(2)/25))/(LN(2)/25)*Calculateur!CG80*Calculateur!CI80*VLOOKUP('Données projet'!$B$12,Paramètres!$A$1:$I$89,3,0)*0.475*44/12</f>
        <v>16.281028687630599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27.801920601035356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5.5042735042735051</v>
      </c>
      <c r="CT80" s="12">
        <f>IF('Données projet'!$A$140&gt;35,CT79+CS80-DB79,IF(A80&lt;'Données projet'!$A$140,$CQ$205^A80,IF(A80='Données projet'!$A$140,'Données projet'!$B$140,CT79+CS80-DB79)))</f>
        <v>161.47649572649567</v>
      </c>
      <c r="CU80" s="17">
        <f>CT80*VLOOKUP('Données projet'!$B$13,Paramètres!$A$1:$I$89,3,0)*VLOOKUP('Données projet'!$B$13,Paramètres!$A$1:$I$89,5,0)</f>
        <v>146.10393333333329</v>
      </c>
      <c r="CV80" s="13">
        <f t="shared" si="95"/>
        <v>37.691838944088502</v>
      </c>
      <c r="CW80" s="20">
        <f t="shared" si="67"/>
        <v>320.11097004984299</v>
      </c>
      <c r="CX80" s="59">
        <f t="shared" si="68"/>
        <v>613.44430338317625</v>
      </c>
      <c r="CY80" s="59">
        <f ca="1">AVERAGE(OFFSET($CX$3,0,0,'Données projet'!$E$13+1,1))-AVERAGE(OFFSET($H$3,0,0,'Données projet'!$E$13+1,1))</f>
        <v>345.49688858037996</v>
      </c>
      <c r="CZ80" s="59">
        <f t="shared" si="96"/>
        <v>213.15872113755023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8.9465820126388955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8.9465820126388955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5.5042735042735051</v>
      </c>
      <c r="DO80" s="12">
        <f>IF('Données projet'!$A$166&gt;35,DO79+DN80-DW79,IF(A80&lt;'Données projet'!$A$166,$DL$205^A80,IF(A80='Données projet'!$A$166,'Données projet'!$B$166,DO79+DN80-DW79)))</f>
        <v>161.47649572649567</v>
      </c>
      <c r="DP80" s="17">
        <f>DO80*VLOOKUP('Données projet'!$B$14,Paramètres!$A$1:$I$89,3,0)*VLOOKUP('Données projet'!$B$14,Paramètres!$A$1:$I$89,5,0)</f>
        <v>163.73716666666661</v>
      </c>
      <c r="DQ80" s="13">
        <f t="shared" si="97"/>
        <v>41.68430774657778</v>
      </c>
      <c r="DR80" s="20">
        <f t="shared" si="70"/>
        <v>357.77573460306729</v>
      </c>
      <c r="DS80" s="59">
        <f t="shared" si="71"/>
        <v>651.10906793640061</v>
      </c>
      <c r="DT80" s="59">
        <f ca="1">AVERAGE(OFFSET($DS$3,0,0,'Données projet'!$E$14+1,1))-AVERAGE(OFFSET($H$3,0,0,'Données projet'!$E$14+1,1))</f>
        <v>382.26108489744581</v>
      </c>
      <c r="DU80" s="59">
        <f t="shared" si="98"/>
        <v>233.89423996158826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10.026341910716004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10.026341910716004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8.5947293447293376</v>
      </c>
      <c r="EJ80" s="12">
        <f>IF('Données projet'!$A$192&gt;35,EJ79+EI80-ER79,IF(A80&lt;'Données projet'!$A$192,$EG$205^A80,IF(A80='Données projet'!$A$192,'Données projet'!$B$192,EJ79+EI80-ER79)))</f>
        <v>264.12749287749273</v>
      </c>
      <c r="EK80" s="17">
        <f>EJ80*VLOOKUP('Données projet'!$B$15,Paramètres!$A$1:$I$89,3,0)*VLOOKUP('Données projet'!$B$15,Paramètres!$A$1:$I$89,5,0)</f>
        <v>222.50099999999986</v>
      </c>
      <c r="EL80" s="13">
        <f t="shared" si="99"/>
        <v>54.658107578193693</v>
      </c>
      <c r="EM80" s="20">
        <f t="shared" si="73"/>
        <v>482.71877903202045</v>
      </c>
      <c r="EN80" s="59">
        <f t="shared" si="74"/>
        <v>776.05211236535376</v>
      </c>
      <c r="EO80" s="59">
        <f ca="1">AVERAGE(OFFSET($EN$3,0,0,'Données projet'!$E$15+1,1))-AVERAGE(OFFSET($H$3,0,0,'Données projet'!$E$15+1,1))</f>
        <v>312.48716825299158</v>
      </c>
      <c r="EP80" s="59">
        <f t="shared" si="100"/>
        <v>258.68277822755357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34.404017398273432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34.404017398273432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5.5042735042735051</v>
      </c>
      <c r="FE80" s="12">
        <f>IF('Données projet'!$A$218&gt;35,FE79+FD80-FM79,IF(A80&lt;'Données projet'!$A$218,$FB$205^A80,IF(A80='Données projet'!$A$218,'Données projet'!$B$218,FE79+FD80-FM79)))</f>
        <v>161.47649572649567</v>
      </c>
      <c r="FF80" s="17">
        <f>FE80*VLOOKUP('Données projet'!$B$16,Paramètres!$A$1:$I$89,3,0)*VLOOKUP('Données projet'!$B$16,Paramètres!$A$1:$I$89,5,0)</f>
        <v>173.81329999999994</v>
      </c>
      <c r="FG80" s="13">
        <f t="shared" si="101"/>
        <v>43.94297017087338</v>
      </c>
      <c r="FH80" s="20">
        <f t="shared" si="76"/>
        <v>379.25883721427107</v>
      </c>
      <c r="FI80" s="59">
        <f t="shared" si="77"/>
        <v>672.59217054760438</v>
      </c>
      <c r="FJ80" s="59">
        <f ca="1">AVERAGE(OFFSET($FI$3,0,0,'Données projet'!$E$16+1,1))-AVERAGE(OFFSET($H$3,0,0,'Données projet'!$E$16+1,1))</f>
        <v>403.23110963096246</v>
      </c>
      <c r="FK80" s="59">
        <f t="shared" si="102"/>
        <v>245.72000393124898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10.643347566760067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10.643347566760067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5.5042735042735051</v>
      </c>
      <c r="FZ80" s="12">
        <f>IF('Données projet'!$A$244&gt;35,FZ79+FY80-GH79,IF(A80&lt;'Données projet'!$A$244,$FW$205^A80,IF(A80='Données projet'!$A$244,'Données projet'!$B$244,FZ79+FY80-GH79)))</f>
        <v>161.47649572649567</v>
      </c>
      <c r="GA80" s="17">
        <f>FZ80*VLOOKUP('Données projet'!$B$17,Paramètres!$A$1:$I$89,3,0)*VLOOKUP('Données projet'!$B$17,Paramètres!$A$1:$I$89,5,0)</f>
        <v>156.18006666666662</v>
      </c>
      <c r="GB80" s="13">
        <f t="shared" si="103"/>
        <v>39.979710818642765</v>
      </c>
      <c r="GC80" s="20">
        <f t="shared" si="79"/>
        <v>341.64494578691387</v>
      </c>
      <c r="GD80" s="59">
        <f t="shared" si="80"/>
        <v>634.97827912024718</v>
      </c>
      <c r="GE80" s="59">
        <f ca="1">AVERAGE(OFFSET($GD$3,0,0,'Données projet'!$E$17+1,1))-AVERAGE(OFFSET($H$3,0,0,'Données projet'!$E$17+1,1))</f>
        <v>336.2911850338175</v>
      </c>
      <c r="GF80" s="59">
        <f t="shared" si="104"/>
        <v>225.01415116995503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9.5635876686829597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9.5635876686829597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5.5042735042735051</v>
      </c>
      <c r="GU80" s="12">
        <f>IF('Données projet'!$A$270&gt;35,GU79+GT80-HC79,IF(A80&lt;'Données projet'!$A$270,$GR$205^A80,IF(A80='Données projet'!$A$270,'Données projet'!$B$270,GU79+GT80-HC79)))</f>
        <v>161.47649572649567</v>
      </c>
      <c r="GV80" s="17">
        <f>GU80*VLOOKUP('Données projet'!$B$18,Paramètres!$A$1:$I$89,3,0)*VLOOKUP('Données projet'!$B$18,Paramètres!$A$1:$I$89,5,0)</f>
        <v>108.3184333333333</v>
      </c>
      <c r="GW80" s="13">
        <f t="shared" si="105"/>
        <v>28.934439837444152</v>
      </c>
      <c r="GX80" s="20">
        <f t="shared" si="82"/>
        <v>239.04875410577074</v>
      </c>
      <c r="GY80" s="59">
        <f t="shared" si="83"/>
        <v>532.382087439104</v>
      </c>
      <c r="GZ80" s="59">
        <f ca="1">AVERAGE(OFFSET($GY$3,0,0,'Données projet'!$E$18+1,1))-AVERAGE(OFFSET($H$3,0,0,'Données projet'!$E$18+1,1))</f>
        <v>266.37807768393191</v>
      </c>
      <c r="HA80" s="59">
        <f t="shared" si="106"/>
        <v>168.52019826233425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8.1753249425838206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84"/>
        <v>8.1753249425838206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2.8</v>
      </c>
      <c r="N81" s="13">
        <f>IF('Données projet'!$A$36&gt;35,N80+M81-V80,IF(A81&lt;'Données projet'!$A$36,$K$205^A81,IF(A81='Données projet'!$A$36,'Données projet'!$B$36,N80+M81-V80)))</f>
        <v>269.39999999999981</v>
      </c>
      <c r="O81" s="13">
        <f>N81*VLOOKUP('Données projet'!$B$9,Paramètres!$A$1:$I$89,3,0)*VLOOKUP('Données projet'!$B$9,Paramètres!$A$1:$I$89,5,0)</f>
        <v>235.34783999999988</v>
      </c>
      <c r="P81" s="13">
        <f t="shared" si="87"/>
        <v>57.437458162232033</v>
      </c>
      <c r="Q81" s="20">
        <f t="shared" si="54"/>
        <v>509.93439429922063</v>
      </c>
      <c r="R81" s="59">
        <f t="shared" si="55"/>
        <v>803.26772763255394</v>
      </c>
      <c r="S81" s="59">
        <f ca="1">AVERAGE(OFFSET($R$3,0,0,'Données projet'!$E$9+1,1))-AVERAGE(OFFSET($H$3,0,0,'Données projet'!$E$9+1,1))</f>
        <v>324.86930206492627</v>
      </c>
      <c r="T81" s="59">
        <f t="shared" si="88"/>
        <v>317.03005098025352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29.142357298804942</v>
      </c>
      <c r="AA81" s="21">
        <f>EXP(-LN(2)/25)*AA80+(1-EXP(-LN(2)/25))/(LN(2)/25)*Calculateur!V81*Calculateur!X81*VLOOKUP('Données projet'!$B$9,Paramètres!$A$1:$I$89,3,0)*0.475*44/12</f>
        <v>9.1064869921259266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38.248844290930869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7.8425925925925934</v>
      </c>
      <c r="AI81" s="13">
        <f>IF('Données projet'!$A$62&gt;35,AI80+AH81-AQ80,IF(A81&lt;'Données projet'!$A$62,$AF$205^A81,IF(A81='Données projet'!$A$62,'Données projet'!$B$62,AI80+AH81-AQ80)))</f>
        <v>258.32763532763551</v>
      </c>
      <c r="AJ81" s="13">
        <f>AI81*VLOOKUP('Données projet'!$B$10,Paramètres!$A$1:$I$89,3,0)*VLOOKUP('Données projet'!$B$10,Paramètres!$A$1:$I$89,5,0)</f>
        <v>245.82457777777793</v>
      </c>
      <c r="AK81" s="13">
        <f t="shared" si="89"/>
        <v>59.690962473188755</v>
      </c>
      <c r="AL81" s="20">
        <f t="shared" si="58"/>
        <v>532.1062326037669</v>
      </c>
      <c r="AM81" s="59">
        <f t="shared" si="59"/>
        <v>825.43956593710027</v>
      </c>
      <c r="AN81" s="59">
        <f ca="1">AVERAGE(OFFSET($AM$3,0,0,'Données projet'!$E$10+1,1))-AVERAGE(OFFSET($H$3,0,0,'Données projet'!$E$10+1,1))</f>
        <v>401.81944956556271</v>
      </c>
      <c r="AO81" s="59">
        <f t="shared" si="90"/>
        <v>292.20785523952651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20.824665594708684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20.824665594708684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1.7053025658242404E-13</v>
      </c>
      <c r="BE81" s="13">
        <f>BD81*VLOOKUP('Données projet'!$B$11,Paramètres!$A$1:$I$89,3,0)*VLOOKUP('Données projet'!$B$11,Paramètres!$A$1:$I$89,5,0)</f>
        <v>1.3301360013429075E-13</v>
      </c>
      <c r="BF81" s="13">
        <f t="shared" si="91"/>
        <v>1.9329766731057041E-12</v>
      </c>
      <c r="BG81" s="20">
        <f t="shared" si="61"/>
        <v>3.5982663925596575E-12</v>
      </c>
      <c r="BH81" s="59">
        <f t="shared" si="62"/>
        <v>293.3333333333369</v>
      </c>
      <c r="BI81" s="59">
        <f ca="1">AVERAGE(OFFSET($BH$3,0,0,'Données projet'!$E$11+1,1))-AVERAGE(OFFSET($H$3,0,0,'Données projet'!$E$11+1,1))</f>
        <v>288.80569134263209</v>
      </c>
      <c r="BJ81" s="59">
        <f t="shared" si="92"/>
        <v>283.48738729114024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67.888040512513825</v>
      </c>
      <c r="BQ81" s="21">
        <f>EXP(-LN(2)/25)*BQ80+(1-EXP(-LN(2)/25))/(LN(2)/25)*Calculateur!BL81*Calculateur!BN81*VLOOKUP('Données projet'!$B$11,Paramètres!$A$1:$I$89,3,0)*0.475*44/12</f>
        <v>53.146457990264167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121.03449850277799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3.2</v>
      </c>
      <c r="BY81" s="12">
        <f>IF('Données projet'!$A$114&gt;35,BY80+BX81-CG80,IF(A81&lt;'Données projet'!$A$114,$BV$205^A81,IF(A81='Données projet'!$A$114,'Données projet'!$B$114,BY80+BX81-CG80)))</f>
        <v>201.59999999999994</v>
      </c>
      <c r="BZ81" s="13">
        <f>BY81*VLOOKUP('Données projet'!$B$12,Paramètres!$A$1:$I$89,3,0)*VLOOKUP('Données projet'!$B$12,Paramètres!$A$1:$I$89,5,0)</f>
        <v>210.71231999999998</v>
      </c>
      <c r="CA81" s="13">
        <f t="shared" si="93"/>
        <v>52.091214849236422</v>
      </c>
      <c r="CB81" s="20">
        <f t="shared" si="64"/>
        <v>457.71615652908667</v>
      </c>
      <c r="CC81" s="59">
        <f t="shared" si="65"/>
        <v>751.04948986241993</v>
      </c>
      <c r="CD81" s="59">
        <f ca="1">AVERAGE(OFFSET($CC$3,0,0,'Données projet'!$E$12+1,1))-AVERAGE(OFFSET($H$3,0,0,'Données projet'!$E$12+1,1))</f>
        <v>352.22281362023102</v>
      </c>
      <c r="CE81" s="59">
        <f t="shared" si="94"/>
        <v>310.2353747925161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11.294974250033095</v>
      </c>
      <c r="CL81" s="21">
        <f>EXP(-LN(2)/25)*CL80+(1-EXP(-LN(2)/25))/(LN(2)/25)*Calculateur!CG81*Calculateur!CI81*VLOOKUP('Données projet'!$B$12,Paramètres!$A$1:$I$89,3,0)*0.475*44/12</f>
        <v>15.835823101985252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27.130797352018348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5.5042735042735051</v>
      </c>
      <c r="CT81" s="12">
        <f>IF('Données projet'!$A$140&gt;35,CT80+CS81-DB80,IF(A81&lt;'Données projet'!$A$140,$CQ$205^A81,IF(A81='Données projet'!$A$140,'Données projet'!$B$140,CT80+CS81-DB80)))</f>
        <v>166.98076923076917</v>
      </c>
      <c r="CU81" s="17">
        <f>CT81*VLOOKUP('Données projet'!$B$13,Paramètres!$A$1:$I$89,3,0)*VLOOKUP('Données projet'!$B$13,Paramètres!$A$1:$I$89,5,0)</f>
        <v>151.08419999999992</v>
      </c>
      <c r="CV81" s="13">
        <f t="shared" si="95"/>
        <v>38.824870591002266</v>
      </c>
      <c r="CW81" s="20">
        <f t="shared" si="67"/>
        <v>330.75829794599554</v>
      </c>
      <c r="CX81" s="59">
        <f t="shared" si="68"/>
        <v>624.09163127932879</v>
      </c>
      <c r="CY81" s="59">
        <f ca="1">AVERAGE(OFFSET($CX$3,0,0,'Données projet'!$E$13+1,1))-AVERAGE(OFFSET($H$3,0,0,'Données projet'!$E$13+1,1))</f>
        <v>345.49688858037996</v>
      </c>
      <c r="CZ81" s="59">
        <f t="shared" si="96"/>
        <v>213.15872113755023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8.7711449962472532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8.7711449962472532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5.5042735042735051</v>
      </c>
      <c r="DO81" s="12">
        <f>IF('Données projet'!$A$166&gt;35,DO80+DN81-DW80,IF(A81&lt;'Données projet'!$A$166,$DL$205^A81,IF(A81='Données projet'!$A$166,'Données projet'!$B$166,DO80+DN81-DW80)))</f>
        <v>166.98076923076917</v>
      </c>
      <c r="DP81" s="17">
        <f>DO81*VLOOKUP('Données projet'!$B$14,Paramètres!$A$1:$I$89,3,0)*VLOOKUP('Données projet'!$B$14,Paramètres!$A$1:$I$89,5,0)</f>
        <v>169.31849999999994</v>
      </c>
      <c r="DQ81" s="13">
        <f t="shared" si="97"/>
        <v>42.93735459119118</v>
      </c>
      <c r="DR81" s="20">
        <f t="shared" si="70"/>
        <v>369.67894674632447</v>
      </c>
      <c r="DS81" s="59">
        <f t="shared" si="71"/>
        <v>663.01228007965778</v>
      </c>
      <c r="DT81" s="59">
        <f ca="1">AVERAGE(OFFSET($DS$3,0,0,'Données projet'!$E$14+1,1))-AVERAGE(OFFSET($H$3,0,0,'Données projet'!$E$14+1,1))</f>
        <v>382.26108489744581</v>
      </c>
      <c r="DU81" s="59">
        <f t="shared" si="98"/>
        <v>233.89423996158826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9.8297314613115763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9.8297314613115763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8.5947293447293376</v>
      </c>
      <c r="EJ81" s="12">
        <f>IF('Données projet'!$A$192&gt;35,EJ80+EI81-ER80,IF(A81&lt;'Données projet'!$A$192,$EG$205^A81,IF(A81='Données projet'!$A$192,'Données projet'!$B$192,EJ80+EI81-ER80)))</f>
        <v>272.72222222222206</v>
      </c>
      <c r="EK81" s="17">
        <f>EJ81*VLOOKUP('Données projet'!$B$15,Paramètres!$A$1:$I$89,3,0)*VLOOKUP('Données projet'!$B$15,Paramètres!$A$1:$I$89,5,0)</f>
        <v>229.74119999999988</v>
      </c>
      <c r="EL81" s="13">
        <f t="shared" si="99"/>
        <v>56.226719254262477</v>
      </c>
      <c r="EM81" s="20">
        <f t="shared" si="73"/>
        <v>498.06079270117363</v>
      </c>
      <c r="EN81" s="59">
        <f t="shared" si="74"/>
        <v>791.39412603450694</v>
      </c>
      <c r="EO81" s="59">
        <f ca="1">AVERAGE(OFFSET($EN$3,0,0,'Données projet'!$E$15+1,1))-AVERAGE(OFFSET($H$3,0,0,'Données projet'!$E$15+1,1))</f>
        <v>312.48716825299158</v>
      </c>
      <c r="EP81" s="59">
        <f t="shared" si="100"/>
        <v>258.68277822755357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33.729375601471865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33.729375601471865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5.5042735042735051</v>
      </c>
      <c r="FE81" s="12">
        <f>IF('Données projet'!$A$218&gt;35,FE80+FD81-FM80,IF(A81&lt;'Données projet'!$A$218,$FB$205^A81,IF(A81='Données projet'!$A$218,'Données projet'!$B$218,FE80+FD81-FM80)))</f>
        <v>166.98076923076917</v>
      </c>
      <c r="FF81" s="17">
        <f>FE81*VLOOKUP('Données projet'!$B$16,Paramètres!$A$1:$I$89,3,0)*VLOOKUP('Données projet'!$B$16,Paramètres!$A$1:$I$89,5,0)</f>
        <v>179.73809999999995</v>
      </c>
      <c r="FG81" s="13">
        <f t="shared" si="101"/>
        <v>45.263913304925367</v>
      </c>
      <c r="FH81" s="20">
        <f t="shared" si="76"/>
        <v>391.87850650607828</v>
      </c>
      <c r="FI81" s="59">
        <f t="shared" si="77"/>
        <v>685.2118398394116</v>
      </c>
      <c r="FJ81" s="59">
        <f ca="1">AVERAGE(OFFSET($FI$3,0,0,'Données projet'!$E$16+1,1))-AVERAGE(OFFSET($H$3,0,0,'Données projet'!$E$16+1,1))</f>
        <v>403.23110963096246</v>
      </c>
      <c r="FK81" s="59">
        <f t="shared" si="102"/>
        <v>245.72000393124898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10.434638012776906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10.434638012776906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5.5042735042735051</v>
      </c>
      <c r="FZ81" s="12">
        <f>IF('Données projet'!$A$244&gt;35,FZ80+FY81-GH80,IF(A81&lt;'Données projet'!$A$244,$FW$205^A81,IF(A81='Données projet'!$A$244,'Données projet'!$B$244,FZ80+FY81-GH80)))</f>
        <v>166.98076923076917</v>
      </c>
      <c r="GA81" s="17">
        <f>FZ81*VLOOKUP('Données projet'!$B$17,Paramètres!$A$1:$I$89,3,0)*VLOOKUP('Données projet'!$B$17,Paramètres!$A$1:$I$89,5,0)</f>
        <v>161.50379999999993</v>
      </c>
      <c r="GB81" s="13">
        <f t="shared" si="103"/>
        <v>41.181516802669677</v>
      </c>
      <c r="GC81" s="20">
        <f t="shared" si="79"/>
        <v>353.01026009798289</v>
      </c>
      <c r="GD81" s="59">
        <f t="shared" si="80"/>
        <v>646.34359343131621</v>
      </c>
      <c r="GE81" s="59">
        <f ca="1">AVERAGE(OFFSET($GD$3,0,0,'Données projet'!$E$17+1,1))-AVERAGE(OFFSET($H$3,0,0,'Données projet'!$E$17+1,1))</f>
        <v>336.2911850338175</v>
      </c>
      <c r="GF81" s="59">
        <f t="shared" si="104"/>
        <v>225.01415116995503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9.3760515477125832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9.3760515477125832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5.5042735042735051</v>
      </c>
      <c r="GU81" s="12">
        <f>IF('Données projet'!$A$270&gt;35,GU80+GT81-HC80,IF(A81&lt;'Données projet'!$A$270,$GR$205^A81,IF(A81='Données projet'!$A$270,'Données projet'!$B$270,GU80+GT81-HC80)))</f>
        <v>166.98076923076917</v>
      </c>
      <c r="GV81" s="17">
        <f>GU81*VLOOKUP('Données projet'!$B$18,Paramètres!$A$1:$I$89,3,0)*VLOOKUP('Données projet'!$B$18,Paramètres!$A$1:$I$89,5,0)</f>
        <v>112.01069999999997</v>
      </c>
      <c r="GW81" s="13">
        <f t="shared" si="105"/>
        <v>29.804220589457294</v>
      </c>
      <c r="GX81" s="20">
        <f t="shared" si="82"/>
        <v>246.99432002663806</v>
      </c>
      <c r="GY81" s="59">
        <f t="shared" si="83"/>
        <v>540.32765335997135</v>
      </c>
      <c r="GZ81" s="59">
        <f ca="1">AVERAGE(OFFSET($GY$3,0,0,'Données projet'!$E$18+1,1))-AVERAGE(OFFSET($H$3,0,0,'Données projet'!$E$18+1,1))</f>
        <v>266.37807768393191</v>
      </c>
      <c r="HA81" s="59">
        <f t="shared" si="106"/>
        <v>168.52019826233425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8.0150118069155951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84"/>
        <v>8.0150118069155951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2.8</v>
      </c>
      <c r="N82" s="13">
        <f>IF('Données projet'!$A$36&gt;35,N81+M82-V81,IF(A82&lt;'Données projet'!$A$36,$K$205^A82,IF(A82='Données projet'!$A$36,'Données projet'!$B$36,N81+M82-V81)))</f>
        <v>272.19999999999982</v>
      </c>
      <c r="O82" s="13">
        <f>N82*VLOOKUP('Données projet'!$B$9,Paramètres!$A$1:$I$89,3,0)*VLOOKUP('Données projet'!$B$9,Paramètres!$A$1:$I$89,5,0)</f>
        <v>237.79391999999984</v>
      </c>
      <c r="P82" s="13">
        <f t="shared" si="87"/>
        <v>57.96462682570845</v>
      </c>
      <c r="Q82" s="20">
        <f t="shared" si="54"/>
        <v>515.11280238810866</v>
      </c>
      <c r="R82" s="59">
        <f t="shared" si="55"/>
        <v>808.44613572144203</v>
      </c>
      <c r="S82" s="59">
        <f ca="1">AVERAGE(OFFSET($R$3,0,0,'Données projet'!$E$9+1,1))-AVERAGE(OFFSET($H$3,0,0,'Données projet'!$E$9+1,1))</f>
        <v>324.86930206492627</v>
      </c>
      <c r="T82" s="59">
        <f t="shared" si="88"/>
        <v>317.03005098025352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28.570893447258186</v>
      </c>
      <c r="AA82" s="21">
        <f>EXP(-LN(2)/25)*AA81+(1-EXP(-LN(2)/25))/(LN(2)/25)*Calculateur!V82*Calculateur!X82*VLOOKUP('Données projet'!$B$9,Paramètres!$A$1:$I$89,3,0)*0.475*44/12</f>
        <v>8.8574696264369059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37.428363073695095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7.8425925925925934</v>
      </c>
      <c r="AI82" s="13">
        <f>IF('Données projet'!$A$62&gt;35,AI81+AH82-AQ81,IF(A82&lt;'Données projet'!$A$62,$AF$205^A82,IF(A82='Données projet'!$A$62,'Données projet'!$B$62,AI81+AH82-AQ81)))</f>
        <v>266.17022792022811</v>
      </c>
      <c r="AJ82" s="13">
        <f>AI82*VLOOKUP('Données projet'!$B$10,Paramètres!$A$1:$I$89,3,0)*VLOOKUP('Données projet'!$B$10,Paramètres!$A$1:$I$89,5,0)</f>
        <v>253.28758888888908</v>
      </c>
      <c r="AK82" s="13">
        <f t="shared" si="89"/>
        <v>61.289392353595275</v>
      </c>
      <c r="AL82" s="20">
        <f t="shared" si="58"/>
        <v>547.8882423306602</v>
      </c>
      <c r="AM82" s="59">
        <f t="shared" si="59"/>
        <v>841.22157566399346</v>
      </c>
      <c r="AN82" s="59">
        <f ca="1">AVERAGE(OFFSET($AM$3,0,0,'Données projet'!$E$10+1,1))-AVERAGE(OFFSET($H$3,0,0,'Données projet'!$E$10+1,1))</f>
        <v>401.81944956556271</v>
      </c>
      <c r="AO82" s="59">
        <f t="shared" si="90"/>
        <v>292.20785523952651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20.416306604188261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20.416306604188261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1.7053025658242404E-13</v>
      </c>
      <c r="BE82" s="13">
        <f>BD82*VLOOKUP('Données projet'!$B$11,Paramètres!$A$1:$I$89,3,0)*VLOOKUP('Données projet'!$B$11,Paramètres!$A$1:$I$89,5,0)</f>
        <v>1.3301360013429075E-13</v>
      </c>
      <c r="BF82" s="13">
        <f t="shared" si="91"/>
        <v>1.9329766731057041E-12</v>
      </c>
      <c r="BG82" s="20">
        <f t="shared" si="61"/>
        <v>3.5982663925596575E-12</v>
      </c>
      <c r="BH82" s="59">
        <f t="shared" si="62"/>
        <v>293.3333333333369</v>
      </c>
      <c r="BI82" s="59">
        <f ca="1">AVERAGE(OFFSET($BH$3,0,0,'Données projet'!$E$11+1,1))-AVERAGE(OFFSET($H$3,0,0,'Données projet'!$E$11+1,1))</f>
        <v>288.80569134263209</v>
      </c>
      <c r="BJ82" s="59">
        <f t="shared" si="92"/>
        <v>283.48738729114024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66.556797445679479</v>
      </c>
      <c r="BQ82" s="21">
        <f>EXP(-LN(2)/25)*BQ81+(1-EXP(-LN(2)/25))/(LN(2)/25)*Calculateur!BL82*Calculateur!BN82*VLOOKUP('Données projet'!$B$11,Paramètres!$A$1:$I$89,3,0)*0.475*44/12</f>
        <v>51.693165301669637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118.24996274734912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3.2</v>
      </c>
      <c r="BY82" s="12">
        <f>IF('Données projet'!$A$114&gt;35,BY81+BX82-CG81,IF(A82&lt;'Données projet'!$A$114,$BV$205^A82,IF(A82='Données projet'!$A$114,'Données projet'!$B$114,BY81+BX82-CG81)))</f>
        <v>204.79999999999993</v>
      </c>
      <c r="BZ82" s="13">
        <f>BY82*VLOOKUP('Données projet'!$B$12,Paramètres!$A$1:$I$89,3,0)*VLOOKUP('Données projet'!$B$12,Paramètres!$A$1:$I$89,5,0)</f>
        <v>214.05695999999992</v>
      </c>
      <c r="CA82" s="13">
        <f t="shared" si="93"/>
        <v>52.821143827018673</v>
      </c>
      <c r="CB82" s="20">
        <f t="shared" si="64"/>
        <v>464.81269749872399</v>
      </c>
      <c r="CC82" s="59">
        <f t="shared" si="65"/>
        <v>758.14603083205725</v>
      </c>
      <c r="CD82" s="59">
        <f ca="1">AVERAGE(OFFSET($CC$3,0,0,'Données projet'!$E$12+1,1))-AVERAGE(OFFSET($H$3,0,0,'Données projet'!$E$12+1,1))</f>
        <v>352.22281362023102</v>
      </c>
      <c r="CE82" s="59">
        <f t="shared" si="94"/>
        <v>310.2353747925161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11.07348669424398</v>
      </c>
      <c r="CL82" s="21">
        <f>EXP(-LN(2)/25)*CL81+(1-EXP(-LN(2)/25))/(LN(2)/25)*Calculateur!CG82*Calculateur!CI82*VLOOKUP('Données projet'!$B$12,Paramètres!$A$1:$I$89,3,0)*0.475*44/12</f>
        <v>15.402791686491721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26.4762783807357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5.5042735042735051</v>
      </c>
      <c r="CT82" s="12">
        <f>IF('Données projet'!$A$140&gt;35,CT81+CS82-DB81,IF(A82&lt;'Données projet'!$A$140,$CQ$205^A82,IF(A82='Données projet'!$A$140,'Données projet'!$B$140,CT81+CS82-DB81)))</f>
        <v>172.48504273504267</v>
      </c>
      <c r="CU82" s="17">
        <f>CT82*VLOOKUP('Données projet'!$B$13,Paramètres!$A$1:$I$89,3,0)*VLOOKUP('Données projet'!$B$13,Paramètres!$A$1:$I$89,5,0)</f>
        <v>156.06446666666659</v>
      </c>
      <c r="CV82" s="13">
        <f t="shared" si="95"/>
        <v>39.953562347640762</v>
      </c>
      <c r="CW82" s="20">
        <f t="shared" si="67"/>
        <v>341.39806719991861</v>
      </c>
      <c r="CX82" s="59">
        <f t="shared" si="68"/>
        <v>634.73140053325187</v>
      </c>
      <c r="CY82" s="59">
        <f ca="1">AVERAGE(OFFSET($CX$3,0,0,'Données projet'!$E$13+1,1))-AVERAGE(OFFSET($H$3,0,0,'Données projet'!$E$13+1,1))</f>
        <v>345.49688858037996</v>
      </c>
      <c r="CZ82" s="59">
        <f t="shared" si="96"/>
        <v>213.15872113755023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8.5991481927410369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8.5991481927410369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5.5042735042735051</v>
      </c>
      <c r="DO82" s="12">
        <f>IF('Données projet'!$A$166&gt;35,DO81+DN82-DW81,IF(A82&lt;'Données projet'!$A$166,$DL$205^A82,IF(A82='Données projet'!$A$166,'Données projet'!$B$166,DO81+DN82-DW81)))</f>
        <v>172.48504273504267</v>
      </c>
      <c r="DP82" s="17">
        <f>DO82*VLOOKUP('Données projet'!$B$14,Paramètres!$A$1:$I$89,3,0)*VLOOKUP('Données projet'!$B$14,Paramètres!$A$1:$I$89,5,0)</f>
        <v>174.89983333333328</v>
      </c>
      <c r="DQ82" s="13">
        <f t="shared" si="97"/>
        <v>44.185601847169707</v>
      </c>
      <c r="DR82" s="20">
        <f t="shared" si="70"/>
        <v>381.57379960604271</v>
      </c>
      <c r="DS82" s="59">
        <f t="shared" si="71"/>
        <v>674.90713293937597</v>
      </c>
      <c r="DT82" s="59">
        <f ca="1">AVERAGE(OFFSET($DS$3,0,0,'Données projet'!$E$14+1,1))-AVERAGE(OFFSET($H$3,0,0,'Données projet'!$E$14+1,1))</f>
        <v>382.26108489744581</v>
      </c>
      <c r="DU82" s="59">
        <f t="shared" si="98"/>
        <v>233.89423996158826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9.636976422899437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9.636976422899437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8.5947293447293376</v>
      </c>
      <c r="EJ82" s="12">
        <f>IF('Données projet'!$A$192&gt;35,EJ81+EI82-ER81,IF(A82&lt;'Données projet'!$A$192,$EG$205^A82,IF(A82='Données projet'!$A$192,'Données projet'!$B$192,EJ81+EI82-ER81)))</f>
        <v>281.31695156695139</v>
      </c>
      <c r="EK82" s="17">
        <f>EJ82*VLOOKUP('Données projet'!$B$15,Paramètres!$A$1:$I$89,3,0)*VLOOKUP('Données projet'!$B$15,Paramètres!$A$1:$I$89,5,0)</f>
        <v>236.98139999999987</v>
      </c>
      <c r="EL82" s="13">
        <f t="shared" si="99"/>
        <v>57.789586331022484</v>
      </c>
      <c r="EM82" s="20">
        <f t="shared" si="73"/>
        <v>513.39280119319722</v>
      </c>
      <c r="EN82" s="59">
        <f t="shared" si="74"/>
        <v>806.72613452653059</v>
      </c>
      <c r="EO82" s="59">
        <f ca="1">AVERAGE(OFFSET($EN$3,0,0,'Données projet'!$E$15+1,1))-AVERAGE(OFFSET($H$3,0,0,'Données projet'!$E$15+1,1))</f>
        <v>312.48716825299158</v>
      </c>
      <c r="EP82" s="59">
        <f t="shared" si="100"/>
        <v>258.68277822755357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33.067963118814717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33.067963118814717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5.5042735042735051</v>
      </c>
      <c r="FE82" s="12">
        <f>IF('Données projet'!$A$218&gt;35,FE81+FD82-FM81,IF(A82&lt;'Données projet'!$A$218,$FB$205^A82,IF(A82='Données projet'!$A$218,'Données projet'!$B$218,FE81+FD82-FM81)))</f>
        <v>172.48504273504267</v>
      </c>
      <c r="FF82" s="17">
        <f>FE82*VLOOKUP('Données projet'!$B$16,Paramètres!$A$1:$I$89,3,0)*VLOOKUP('Données projet'!$B$16,Paramètres!$A$1:$I$89,5,0)</f>
        <v>185.66289999999992</v>
      </c>
      <c r="FG82" s="13">
        <f t="shared" si="101"/>
        <v>46.579796784838557</v>
      </c>
      <c r="FH82" s="20">
        <f t="shared" si="76"/>
        <v>404.48936356692701</v>
      </c>
      <c r="FI82" s="59">
        <f t="shared" si="77"/>
        <v>697.82269690026033</v>
      </c>
      <c r="FJ82" s="59">
        <f ca="1">AVERAGE(OFFSET($FI$3,0,0,'Données projet'!$E$16+1,1))-AVERAGE(OFFSET($H$3,0,0,'Données projet'!$E$16+1,1))</f>
        <v>403.23110963096246</v>
      </c>
      <c r="FK82" s="59">
        <f t="shared" si="102"/>
        <v>245.72000393124898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10.230021125847097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10.230021125847097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5.5042735042735051</v>
      </c>
      <c r="FZ82" s="12">
        <f>IF('Données projet'!$A$244&gt;35,FZ81+FY82-GH81,IF(A82&lt;'Données projet'!$A$244,$FW$205^A82,IF(A82='Données projet'!$A$244,'Données projet'!$B$244,FZ81+FY82-GH81)))</f>
        <v>172.48504273504267</v>
      </c>
      <c r="GA82" s="17">
        <f>FZ82*VLOOKUP('Données projet'!$B$17,Paramètres!$A$1:$I$89,3,0)*VLOOKUP('Données projet'!$B$17,Paramètres!$A$1:$I$89,5,0)</f>
        <v>166.82753333333326</v>
      </c>
      <c r="GB82" s="13">
        <f t="shared" si="103"/>
        <v>42.378719467700897</v>
      </c>
      <c r="GC82" s="20">
        <f t="shared" si="79"/>
        <v>364.3675569618012</v>
      </c>
      <c r="GD82" s="59">
        <f t="shared" si="80"/>
        <v>657.70089029513451</v>
      </c>
      <c r="GE82" s="59">
        <f ca="1">AVERAGE(OFFSET($GD$3,0,0,'Données projet'!$E$17+1,1))-AVERAGE(OFFSET($H$3,0,0,'Données projet'!$E$17+1,1))</f>
        <v>336.2911850338175</v>
      </c>
      <c r="GF82" s="59">
        <f t="shared" si="104"/>
        <v>225.01415116995503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9.1921928956886969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9.1921928956886969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5.5042735042735051</v>
      </c>
      <c r="GU82" s="12">
        <f>IF('Données projet'!$A$270&gt;35,GU81+GT82-HC81,IF(A82&lt;'Données projet'!$A$270,$GR$205^A82,IF(A82='Données projet'!$A$270,'Données projet'!$B$270,GU81+GT82-HC81)))</f>
        <v>172.48504273504267</v>
      </c>
      <c r="GV82" s="17">
        <f>GU82*VLOOKUP('Données projet'!$B$18,Paramètres!$A$1:$I$89,3,0)*VLOOKUP('Données projet'!$B$18,Paramètres!$A$1:$I$89,5,0)</f>
        <v>115.70296666666663</v>
      </c>
      <c r="GW82" s="13">
        <f t="shared" si="105"/>
        <v>30.670669790195898</v>
      </c>
      <c r="GX82" s="20">
        <f t="shared" si="82"/>
        <v>254.93408349570223</v>
      </c>
      <c r="GY82" s="59">
        <f t="shared" si="83"/>
        <v>548.26741682903548</v>
      </c>
      <c r="GZ82" s="59">
        <f ca="1">AVERAGE(OFFSET($GY$3,0,0,'Données projet'!$E$18+1,1))-AVERAGE(OFFSET($H$3,0,0,'Données projet'!$E$18+1,1))</f>
        <v>266.37807768393191</v>
      </c>
      <c r="HA82" s="59">
        <f t="shared" si="106"/>
        <v>168.52019826233425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7.8578423140564659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84"/>
        <v>7.8578423140564659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275</v>
      </c>
      <c r="L83" s="12">
        <f>VLOOKUP(A83,'Données projet'!$A$35:$I$55,9,0)</f>
        <v>2.8</v>
      </c>
      <c r="M83" s="12">
        <f t="array" ref="M83">INDEX(L:L,MIN(IF(ISNUMBER(L83:L279),ROW(L83:L279),"")))</f>
        <v>2.8</v>
      </c>
      <c r="N83" s="13">
        <f>IF('Données projet'!$A$36&gt;35,N82+M83-V82,IF(A83&lt;'Données projet'!$A$36,$K$205^A83,IF(A83='Données projet'!$A$36,'Données projet'!$B$36,N82+M83-V82)))</f>
        <v>274.99999999999983</v>
      </c>
      <c r="O83" s="13">
        <f>N83*VLOOKUP('Données projet'!$B$9,Paramètres!$A$1:$I$89,3,0)*VLOOKUP('Données projet'!$B$9,Paramètres!$A$1:$I$89,5,0)</f>
        <v>240.23999999999987</v>
      </c>
      <c r="P83" s="13">
        <f t="shared" si="87"/>
        <v>58.491164647183084</v>
      </c>
      <c r="Q83" s="20">
        <f t="shared" si="54"/>
        <v>520.29011176051029</v>
      </c>
      <c r="R83" s="59">
        <f t="shared" si="55"/>
        <v>813.62344509384366</v>
      </c>
      <c r="S83" s="59">
        <f ca="1">AVERAGE(OFFSET($R$3,0,0,'Données projet'!$E$9+1,1))-AVERAGE(OFFSET($H$3,0,0,'Données projet'!$E$9+1,1))</f>
        <v>324.86930206492627</v>
      </c>
      <c r="T83" s="59">
        <f t="shared" si="88"/>
        <v>317.03005098025352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8</v>
      </c>
      <c r="W83" s="16">
        <f>IF(ISNA(VLOOKUP(A83,'Données projet'!$A$35:$I$55,5,0)),0%,VLOOKUP(A83,'Données projet'!$A$35:$I$55,5,0)*VLOOKUP('Données projet'!$B$9,Paramètres!$A$1:$I$89,7,0))</f>
        <v>0.46640000000000004</v>
      </c>
      <c r="X83" s="16">
        <f>IF(ISNA(VLOOKUP(A83,'Données projet'!$A$35:$I$55,6,0)),0%,VLOOKUP(A83,'Données projet'!$A$35:$I$55,6,0)*VLOOKUP('Données projet'!$B$9,Paramètres!$A$1:$I$89,7,0))</f>
        <v>6.8900000000000003E-2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31.614000724868745</v>
      </c>
      <c r="AA83" s="21">
        <f>EXP(-LN(2)/25)*AA82+(1-EXP(-LN(2)/25))/(LN(2)/25)*Calculateur!V83*Calculateur!X83*VLOOKUP('Données projet'!$B$9,Paramètres!$A$1:$I$89,3,0)*0.475*44/12</f>
        <v>9.1454810202310401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40.759481745099784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274.01282051282055</v>
      </c>
      <c r="AG83" s="12">
        <f>VLOOKUP(A83,'Données projet'!$A$61:$I$81,9,0)</f>
        <v>7.8425925925925934</v>
      </c>
      <c r="AH83" s="12">
        <f t="array" ref="AH83">INDEX(AG:AG,MIN(IF(ISNUMBER(AG83:AG279),ROW(AG83:AG279),"")))</f>
        <v>7.8425925925925934</v>
      </c>
      <c r="AI83" s="13">
        <f>IF('Données projet'!$A$62&gt;35,AI82+AH83-AQ82,IF(A83&lt;'Données projet'!$A$62,$AF$205^A83,IF(A83='Données projet'!$A$62,'Données projet'!$B$62,AI82+AH83-AQ82)))</f>
        <v>274.01282051282072</v>
      </c>
      <c r="AJ83" s="13">
        <f>AI83*VLOOKUP('Données projet'!$B$10,Paramètres!$A$1:$I$89,3,0)*VLOOKUP('Données projet'!$B$10,Paramètres!$A$1:$I$89,5,0)</f>
        <v>260.75060000000019</v>
      </c>
      <c r="AK83" s="13">
        <f t="shared" si="89"/>
        <v>62.882348689943989</v>
      </c>
      <c r="AL83" s="20">
        <f t="shared" si="58"/>
        <v>563.66071896831943</v>
      </c>
      <c r="AM83" s="59">
        <f t="shared" si="59"/>
        <v>856.9940523016528</v>
      </c>
      <c r="AN83" s="59">
        <f ca="1">AVERAGE(OFFSET($AM$3,0,0,'Données projet'!$E$10+1,1))-AVERAGE(OFFSET($H$3,0,0,'Données projet'!$E$10+1,1))</f>
        <v>401.81944956556271</v>
      </c>
      <c r="AO83" s="59">
        <f t="shared" si="90"/>
        <v>292.20785523952651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45.608974358974358</v>
      </c>
      <c r="AR83" s="16">
        <f>IF(ISNA(VLOOKUP(A83,'Données projet'!$A$61:$I$81,5,0)),0%,VLOOKUP(A83,'Données projet'!$A$61:$I$81,5,0)*VLOOKUP('Données projet'!$B$10,Paramètres!$A$1:$I$89,7,0))</f>
        <v>0.30099999999999999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34.457656160264648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34.457656160264648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1.7053025658242404E-13</v>
      </c>
      <c r="BE83" s="13">
        <f>BD83*VLOOKUP('Données projet'!$B$11,Paramètres!$A$1:$I$89,3,0)*VLOOKUP('Données projet'!$B$11,Paramètres!$A$1:$I$89,5,0)</f>
        <v>1.3301360013429075E-13</v>
      </c>
      <c r="BF83" s="13">
        <f t="shared" si="91"/>
        <v>1.9329766731057041E-12</v>
      </c>
      <c r="BG83" s="20">
        <f t="shared" si="61"/>
        <v>3.5982663925596575E-12</v>
      </c>
      <c r="BH83" s="59">
        <f t="shared" si="62"/>
        <v>293.3333333333369</v>
      </c>
      <c r="BI83" s="59">
        <f ca="1">AVERAGE(OFFSET($BH$3,0,0,'Données projet'!$E$11+1,1))-AVERAGE(OFFSET($H$3,0,0,'Données projet'!$E$11+1,1))</f>
        <v>288.80569134263209</v>
      </c>
      <c r="BJ83" s="59">
        <f t="shared" si="92"/>
        <v>283.48738729114024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65.251659243407659</v>
      </c>
      <c r="BQ83" s="21">
        <f>EXP(-LN(2)/25)*BQ82+(1-EXP(-LN(2)/25))/(LN(2)/25)*Calculateur!BL83*Calculateur!BN83*VLOOKUP('Données projet'!$B$11,Paramètres!$A$1:$I$89,3,0)*0.475*44/12</f>
        <v>50.279612978070062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115.53127222147772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208</v>
      </c>
      <c r="BW83" s="12">
        <f>VLOOKUP(A83,'Données projet'!$A$113:$I$133,9,0)</f>
        <v>3.2</v>
      </c>
      <c r="BX83" s="12">
        <f t="array" ref="BX83">INDEX(BW:BW,MIN(IF(ISNUMBER(BW83:BW279),ROW(BW83:BW279),"")))</f>
        <v>3.2</v>
      </c>
      <c r="BY83" s="12">
        <f>IF('Données projet'!$A$114&gt;35,BY82+BX83-CG82,IF(A83&lt;'Données projet'!$A$114,$BV$205^A83,IF(A83='Données projet'!$A$114,'Données projet'!$B$114,BY82+BX83-CG82)))</f>
        <v>207.99999999999991</v>
      </c>
      <c r="BZ83" s="13">
        <f>BY83*VLOOKUP('Données projet'!$B$12,Paramètres!$A$1:$I$89,3,0)*VLOOKUP('Données projet'!$B$12,Paramètres!$A$1:$I$89,5,0)</f>
        <v>217.40159999999995</v>
      </c>
      <c r="CA83" s="13">
        <f t="shared" si="93"/>
        <v>53.549746395925119</v>
      </c>
      <c r="CB83" s="20">
        <f t="shared" si="64"/>
        <v>471.90692830623613</v>
      </c>
      <c r="CC83" s="59">
        <f t="shared" si="65"/>
        <v>765.24026163956944</v>
      </c>
      <c r="CD83" s="59">
        <f ca="1">AVERAGE(OFFSET($CC$3,0,0,'Données projet'!$E$12+1,1))-AVERAGE(OFFSET($H$3,0,0,'Données projet'!$E$12+1,1))</f>
        <v>352.22281362023102</v>
      </c>
      <c r="CE83" s="59">
        <f t="shared" si="94"/>
        <v>310.2353747925161</v>
      </c>
      <c r="CF83" s="15">
        <f>IF(ISNA(VLOOKUP(A83,'Données projet'!$A$113:$I$133,3,0)),0,VLOOKUP(A83,'Données projet'!$A$113:$I$133,3,0))</f>
        <v>13</v>
      </c>
      <c r="CG83" s="15" t="str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0.17200000000000001</v>
      </c>
      <c r="CI83" s="16">
        <f>IF(ISNA(VLOOKUP(A83,'Données projet'!$A$113:$I$133,6,0)),0%,VLOOKUP(A83,'Données projet'!$A$113:$I$133,6,0)*VLOOKUP('Données projet'!$B$12,Paramètres!$A$1:$I$89,7,0))</f>
        <v>0.17200000000000001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13.042430390511214</v>
      </c>
      <c r="CL83" s="21">
        <f>EXP(-LN(2)/25)*CL82+(1-EXP(-LN(2)/25))/(LN(2)/25)*Calculateur!CG83*Calculateur!CI83*VLOOKUP('Données projet'!$B$12,Paramètres!$A$1:$I$89,3,0)*0.475*44/12</f>
        <v>17.159082092523843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30.201512483035057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5.5042735042735051</v>
      </c>
      <c r="CT83" s="12">
        <f>IF('Données projet'!$A$140&gt;35,CT82+CS83-DB82,IF(A83&lt;'Données projet'!$A$140,$CQ$205^A83,IF(A83='Données projet'!$A$140,'Données projet'!$B$140,CT82+CS83-DB82)))</f>
        <v>177.98931623931617</v>
      </c>
      <c r="CU83" s="17">
        <f>CT83*VLOOKUP('Données projet'!$B$13,Paramètres!$A$1:$I$89,3,0)*VLOOKUP('Données projet'!$B$13,Paramètres!$A$1:$I$89,5,0)</f>
        <v>161.04473333333328</v>
      </c>
      <c r="CV83" s="13">
        <f t="shared" si="95"/>
        <v>41.078068593790562</v>
      </c>
      <c r="CW83" s="20">
        <f t="shared" si="67"/>
        <v>352.03054668974067</v>
      </c>
      <c r="CX83" s="59">
        <f t="shared" si="68"/>
        <v>645.36388002307399</v>
      </c>
      <c r="CY83" s="59">
        <f ca="1">AVERAGE(OFFSET($CX$3,0,0,'Données projet'!$E$13+1,1))-AVERAGE(OFFSET($H$3,0,0,'Données projet'!$E$13+1,1))</f>
        <v>345.49688858037996</v>
      </c>
      <c r="CZ83" s="59">
        <f t="shared" si="96"/>
        <v>213.15872113755023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8.4305241416438861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8.4305241416438861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5.5042735042735051</v>
      </c>
      <c r="DO83" s="12">
        <f>IF('Données projet'!$A$166&gt;35,DO82+DN83-DW82,IF(A83&lt;'Données projet'!$A$166,$DL$205^A83,IF(A83='Données projet'!$A$166,'Données projet'!$B$166,DO82+DN83-DW82)))</f>
        <v>177.98931623931617</v>
      </c>
      <c r="DP83" s="17">
        <f>DO83*VLOOKUP('Données projet'!$B$14,Paramètres!$A$1:$I$89,3,0)*VLOOKUP('Données projet'!$B$14,Paramètres!$A$1:$I$89,5,0)</f>
        <v>180.48116666666661</v>
      </c>
      <c r="DQ83" s="13">
        <f t="shared" si="97"/>
        <v>45.429220246818225</v>
      </c>
      <c r="DR83" s="20">
        <f t="shared" si="70"/>
        <v>393.46059054098606</v>
      </c>
      <c r="DS83" s="59">
        <f t="shared" si="71"/>
        <v>686.79392387431938</v>
      </c>
      <c r="DT83" s="59">
        <f ca="1">AVERAGE(OFFSET($DS$3,0,0,'Données projet'!$E$14+1,1))-AVERAGE(OFFSET($H$3,0,0,'Données projet'!$E$14+1,1))</f>
        <v>382.26108489744581</v>
      </c>
      <c r="DU83" s="59">
        <f t="shared" si="98"/>
        <v>233.89423996158826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9.4480011932215948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9.4480011932215948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8.5947293447293376</v>
      </c>
      <c r="EJ83" s="12">
        <f>IF('Données projet'!$A$192&gt;35,EJ82+EI83-ER82,IF(A83&lt;'Données projet'!$A$192,$EG$205^A83,IF(A83='Données projet'!$A$192,'Données projet'!$B$192,EJ82+EI83-ER82)))</f>
        <v>289.91168091168072</v>
      </c>
      <c r="EK83" s="17">
        <f>EJ83*VLOOKUP('Données projet'!$B$15,Paramètres!$A$1:$I$89,3,0)*VLOOKUP('Données projet'!$B$15,Paramètres!$A$1:$I$89,5,0)</f>
        <v>244.22159999999988</v>
      </c>
      <c r="EL83" s="13">
        <f t="shared" si="99"/>
        <v>59.346904458964779</v>
      </c>
      <c r="EM83" s="20">
        <f t="shared" si="73"/>
        <v>528.71514526603005</v>
      </c>
      <c r="EN83" s="59">
        <f t="shared" si="74"/>
        <v>822.04847859936331</v>
      </c>
      <c r="EO83" s="59">
        <f ca="1">AVERAGE(OFFSET($EN$3,0,0,'Données projet'!$E$15+1,1))-AVERAGE(OFFSET($H$3,0,0,'Données projet'!$E$15+1,1))</f>
        <v>312.48716825299158</v>
      </c>
      <c r="EP83" s="59">
        <f t="shared" si="100"/>
        <v>258.68277822755357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32.419520531520696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32.419520531520696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5.5042735042735051</v>
      </c>
      <c r="FE83" s="12">
        <f>IF('Données projet'!$A$218&gt;35,FE82+FD83-FM82,IF(A83&lt;'Données projet'!$A$218,$FB$205^A83,IF(A83='Données projet'!$A$218,'Données projet'!$B$218,FE82+FD83-FM82)))</f>
        <v>177.98931623931617</v>
      </c>
      <c r="FF83" s="17">
        <f>FE83*VLOOKUP('Données projet'!$B$16,Paramètres!$A$1:$I$89,3,0)*VLOOKUP('Données projet'!$B$16,Paramètres!$A$1:$I$89,5,0)</f>
        <v>191.58769999999993</v>
      </c>
      <c r="FG83" s="13">
        <f t="shared" si="101"/>
        <v>47.890800594040364</v>
      </c>
      <c r="FH83" s="20">
        <f t="shared" si="76"/>
        <v>417.09172186795348</v>
      </c>
      <c r="FI83" s="59">
        <f t="shared" si="77"/>
        <v>710.4250552012868</v>
      </c>
      <c r="FJ83" s="59">
        <f ca="1">AVERAGE(OFFSET($FI$3,0,0,'Données projet'!$E$16+1,1))-AVERAGE(OFFSET($H$3,0,0,'Données projet'!$E$16+1,1))</f>
        <v>403.23110963096246</v>
      </c>
      <c r="FK83" s="59">
        <f t="shared" si="102"/>
        <v>245.72000393124898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10.029416651266004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10.029416651266004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5.5042735042735051</v>
      </c>
      <c r="FZ83" s="12">
        <f>IF('Données projet'!$A$244&gt;35,FZ82+FY83-GH82,IF(A83&lt;'Données projet'!$A$244,$FW$205^A83,IF(A83='Données projet'!$A$244,'Données projet'!$B$244,FZ82+FY83-GH82)))</f>
        <v>177.98931623931617</v>
      </c>
      <c r="GA83" s="17">
        <f>FZ83*VLOOKUP('Données projet'!$B$17,Paramètres!$A$1:$I$89,3,0)*VLOOKUP('Données projet'!$B$17,Paramètres!$A$1:$I$89,5,0)</f>
        <v>172.1512666666666</v>
      </c>
      <c r="GB83" s="13">
        <f t="shared" si="103"/>
        <v>43.571482564283073</v>
      </c>
      <c r="GC83" s="20">
        <f t="shared" si="79"/>
        <v>375.71712157723732</v>
      </c>
      <c r="GD83" s="59">
        <f t="shared" si="80"/>
        <v>669.05045491057058</v>
      </c>
      <c r="GE83" s="59">
        <f ca="1">AVERAGE(OFFSET($GD$3,0,0,'Données projet'!$E$17+1,1))-AVERAGE(OFFSET($H$3,0,0,'Données projet'!$E$17+1,1))</f>
        <v>336.2911850338175</v>
      </c>
      <c r="GF83" s="59">
        <f t="shared" si="104"/>
        <v>225.01415116995503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9.0119395996882936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9.0119395996882936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5.5042735042735051</v>
      </c>
      <c r="GU83" s="12">
        <f>IF('Données projet'!$A$270&gt;35,GU82+GT83-HC82,IF(A83&lt;'Données projet'!$A$270,$GR$205^A83,IF(A83='Données projet'!$A$270,'Données projet'!$B$270,GU82+GT83-HC82)))</f>
        <v>177.98931623931617</v>
      </c>
      <c r="GV83" s="17">
        <f>GU83*VLOOKUP('Données projet'!$B$18,Paramètres!$A$1:$I$89,3,0)*VLOOKUP('Données projet'!$B$18,Paramètres!$A$1:$I$89,5,0)</f>
        <v>119.39523333333329</v>
      </c>
      <c r="GW83" s="13">
        <f t="shared" si="105"/>
        <v>31.533905950530695</v>
      </c>
      <c r="GX83" s="20">
        <f t="shared" si="82"/>
        <v>262.86825091939647</v>
      </c>
      <c r="GY83" s="59">
        <f t="shared" si="83"/>
        <v>556.20158425272984</v>
      </c>
      <c r="GZ83" s="59">
        <f ca="1">AVERAGE(OFFSET($GY$3,0,0,'Données projet'!$E$18+1,1))-AVERAGE(OFFSET($H$3,0,0,'Données projet'!$E$18+1,1))</f>
        <v>266.37807768393191</v>
      </c>
      <c r="HA83" s="59">
        <f t="shared" si="106"/>
        <v>168.52019826233425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7.7037548190883793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84"/>
        <v>7.7037548190883793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266.99999999999983</v>
      </c>
      <c r="O84" s="13">
        <f>N84*VLOOKUP('Données projet'!$B$9,Paramètres!$A$1:$I$89,3,0)*VLOOKUP('Données projet'!$B$9,Paramètres!$A$1:$I$89,5,0)</f>
        <v>233.2511999999999</v>
      </c>
      <c r="P84" s="13">
        <f t="shared" si="87"/>
        <v>56.985091661350864</v>
      </c>
      <c r="Q84" s="20">
        <f t="shared" si="54"/>
        <v>505.49487464351915</v>
      </c>
      <c r="R84" s="59">
        <f t="shared" si="55"/>
        <v>798.82820797685247</v>
      </c>
      <c r="S84" s="59">
        <f ca="1">AVERAGE(OFFSET($R$3,0,0,'Données projet'!$E$9+1,1))-AVERAGE(OFFSET($H$3,0,0,'Données projet'!$E$9+1,1))</f>
        <v>324.86930206492627</v>
      </c>
      <c r="T84" s="59">
        <f t="shared" si="88"/>
        <v>317.03005098025352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30.994069453290511</v>
      </c>
      <c r="AA84" s="21">
        <f>EXP(-LN(2)/25)*AA83+(1-EXP(-LN(2)/25))/(LN(2)/25)*Calculateur!V84*Calculateur!X84*VLOOKUP('Données projet'!$B$9,Paramètres!$A$1:$I$89,3,0)*0.475*44/12</f>
        <v>8.8953973607928774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39.889466814083391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7.4950142450142421</v>
      </c>
      <c r="AI84" s="13">
        <f>IF('Données projet'!$A$62&gt;35,AI83+AH84-AQ83,IF(A84&lt;'Données projet'!$A$62,$AF$205^A84,IF(A84='Données projet'!$A$62,'Données projet'!$B$62,AI83+AH84-AQ83)))</f>
        <v>235.89886039886062</v>
      </c>
      <c r="AJ84" s="13">
        <f>AI84*VLOOKUP('Données projet'!$B$10,Paramètres!$A$1:$I$89,3,0)*VLOOKUP('Données projet'!$B$10,Paramètres!$A$1:$I$89,5,0)</f>
        <v>224.48135555555575</v>
      </c>
      <c r="AK84" s="13">
        <f t="shared" si="89"/>
        <v>55.087740169634642</v>
      </c>
      <c r="AL84" s="20">
        <f t="shared" si="58"/>
        <v>486.91617505470657</v>
      </c>
      <c r="AM84" s="59">
        <f t="shared" si="59"/>
        <v>780.24950838803989</v>
      </c>
      <c r="AN84" s="59">
        <f ca="1">AVERAGE(OFFSET($AM$3,0,0,'Données projet'!$E$10+1,1))-AVERAGE(OFFSET($H$3,0,0,'Données projet'!$E$10+1,1))</f>
        <v>401.81944956556271</v>
      </c>
      <c r="AO84" s="59">
        <f t="shared" si="90"/>
        <v>292.20785523952651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33.781962540056853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33.781962540056853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1.7053025658242404E-13</v>
      </c>
      <c r="BE84" s="13">
        <f>BD84*VLOOKUP('Données projet'!$B$11,Paramètres!$A$1:$I$89,3,0)*VLOOKUP('Données projet'!$B$11,Paramètres!$A$1:$I$89,5,0)</f>
        <v>1.3301360013429075E-13</v>
      </c>
      <c r="BF84" s="13">
        <f t="shared" si="91"/>
        <v>1.9329766731057041E-12</v>
      </c>
      <c r="BG84" s="20">
        <f t="shared" si="61"/>
        <v>3.5982663925596575E-12</v>
      </c>
      <c r="BH84" s="59">
        <f t="shared" si="62"/>
        <v>293.3333333333369</v>
      </c>
      <c r="BI84" s="59">
        <f ca="1">AVERAGE(OFFSET($BH$3,0,0,'Données projet'!$E$11+1,1))-AVERAGE(OFFSET($H$3,0,0,'Données projet'!$E$11+1,1))</f>
        <v>288.80569134263209</v>
      </c>
      <c r="BJ84" s="59">
        <f t="shared" si="92"/>
        <v>283.48738729114024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63.972114005226693</v>
      </c>
      <c r="BQ84" s="21">
        <f>EXP(-LN(2)/25)*BQ83+(1-EXP(-LN(2)/25))/(LN(2)/25)*Calculateur!BL84*Calculateur!BN84*VLOOKUP('Données projet'!$B$11,Paramètres!$A$1:$I$89,3,0)*0.475*44/12</f>
        <v>48.904714317094808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112.8768283223215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2.8</v>
      </c>
      <c r="BY84" s="12">
        <f>IF('Données projet'!$A$114&gt;35,BY83+BX84-CG83,IF(A84&lt;'Données projet'!$A$114,$BV$205^A84,IF(A84='Données projet'!$A$114,'Données projet'!$B$114,BY83+BX84-CG83)))</f>
        <v>199.79999999999993</v>
      </c>
      <c r="BZ84" s="13">
        <f>BY84*VLOOKUP('Données projet'!$B$12,Paramètres!$A$1:$I$89,3,0)*VLOOKUP('Données projet'!$B$12,Paramètres!$A$1:$I$89,5,0)</f>
        <v>208.83095999999995</v>
      </c>
      <c r="CA84" s="13">
        <f t="shared" si="93"/>
        <v>51.680038105442279</v>
      </c>
      <c r="CB84" s="20">
        <f t="shared" si="64"/>
        <v>453.72332170031183</v>
      </c>
      <c r="CC84" s="59">
        <f t="shared" si="65"/>
        <v>747.05665503364514</v>
      </c>
      <c r="CD84" s="59">
        <f ca="1">AVERAGE(OFFSET($CC$3,0,0,'Données projet'!$E$12+1,1))-AVERAGE(OFFSET($H$3,0,0,'Données projet'!$E$12+1,1))</f>
        <v>352.22281362023102</v>
      </c>
      <c r="CE84" s="59">
        <f t="shared" si="94"/>
        <v>310.2353747925161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12.786676285650326</v>
      </c>
      <c r="CL84" s="21">
        <f>EXP(-LN(2)/25)*CL83+(1-EXP(-LN(2)/25))/(LN(2)/25)*Calculateur!CG84*Calculateur!CI84*VLOOKUP('Données projet'!$B$12,Paramètres!$A$1:$I$89,3,0)*0.475*44/12</f>
        <v>16.689866090346868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29.476542375997195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5.5042735042735051</v>
      </c>
      <c r="CT84" s="12">
        <f>IF('Données projet'!$A$140&gt;35,CT83+CS84-DB83,IF(A84&lt;'Données projet'!$A$140,$CQ$205^A84,IF(A84='Données projet'!$A$140,'Données projet'!$B$140,CT83+CS84-DB83)))</f>
        <v>183.49358974358967</v>
      </c>
      <c r="CU84" s="17">
        <f>CT84*VLOOKUP('Données projet'!$B$13,Paramètres!$A$1:$I$89,3,0)*VLOOKUP('Données projet'!$B$13,Paramètres!$A$1:$I$89,5,0)</f>
        <v>166.02499999999992</v>
      </c>
      <c r="CV84" s="13">
        <f t="shared" si="95"/>
        <v>42.198533618502132</v>
      </c>
      <c r="CW84" s="20">
        <f t="shared" si="67"/>
        <v>362.65598771889108</v>
      </c>
      <c r="CX84" s="59">
        <f t="shared" si="68"/>
        <v>655.98932105222434</v>
      </c>
      <c r="CY84" s="59">
        <f ca="1">AVERAGE(OFFSET($CX$3,0,0,'Données projet'!$E$13+1,1))-AVERAGE(OFFSET($H$3,0,0,'Données projet'!$E$13+1,1))</f>
        <v>345.49688858037996</v>
      </c>
      <c r="CZ84" s="59">
        <f t="shared" si="96"/>
        <v>213.15872113755023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8.265206705338235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8.265206705338235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5.5042735042735051</v>
      </c>
      <c r="DO84" s="12">
        <f>IF('Données projet'!$A$166&gt;35,DO83+DN84-DW83,IF(A84&lt;'Données projet'!$A$166,$DL$205^A84,IF(A84='Données projet'!$A$166,'Données projet'!$B$166,DO83+DN84-DW83)))</f>
        <v>183.49358974358967</v>
      </c>
      <c r="DP84" s="17">
        <f>DO84*VLOOKUP('Données projet'!$B$14,Paramètres!$A$1:$I$89,3,0)*VLOOKUP('Données projet'!$B$14,Paramètres!$A$1:$I$89,5,0)</f>
        <v>186.06249999999994</v>
      </c>
      <c r="DQ84" s="13">
        <f t="shared" si="97"/>
        <v>46.668369362854641</v>
      </c>
      <c r="DR84" s="20">
        <f t="shared" si="70"/>
        <v>405.33959747363838</v>
      </c>
      <c r="DS84" s="59">
        <f t="shared" si="71"/>
        <v>698.67293080697164</v>
      </c>
      <c r="DT84" s="59">
        <f ca="1">AVERAGE(OFFSET($DS$3,0,0,'Données projet'!$E$14+1,1))-AVERAGE(OFFSET($H$3,0,0,'Données projet'!$E$14+1,1))</f>
        <v>382.26108489744581</v>
      </c>
      <c r="DU84" s="59">
        <f t="shared" si="98"/>
        <v>233.89423996158826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9.2627316525342263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9.2627316525342263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>
        <f>VLOOKUP(A84,'Données projet'!$A$191:$I$211,2,0)</f>
        <v>298.50641025641022</v>
      </c>
      <c r="EH84" s="12">
        <f>VLOOKUP(A84,'Données projet'!$A$191:$I$211,9,0)</f>
        <v>8.5947293447293376</v>
      </c>
      <c r="EI84" s="12">
        <f t="array" ref="EI84">INDEX(EH:EH,MIN(IF(ISNUMBER(EH84:EH280),ROW(EH84:EH280),"")))</f>
        <v>8.5947293447293376</v>
      </c>
      <c r="EJ84" s="12">
        <f>IF('Données projet'!$A$192&gt;35,EJ83+EI84-ER83,IF(A84&lt;'Données projet'!$A$192,$EG$205^A84,IF(A84='Données projet'!$A$192,'Données projet'!$B$192,EJ83+EI84-ER83)))</f>
        <v>298.50641025641005</v>
      </c>
      <c r="EK84" s="17">
        <f>EJ84*VLOOKUP('Données projet'!$B$15,Paramètres!$A$1:$I$89,3,0)*VLOOKUP('Données projet'!$B$15,Paramètres!$A$1:$I$89,5,0)</f>
        <v>251.46179999999984</v>
      </c>
      <c r="EL84" s="13">
        <f t="shared" si="99"/>
        <v>60.898857028627148</v>
      </c>
      <c r="EM84" s="20">
        <f t="shared" si="73"/>
        <v>544.02814432485866</v>
      </c>
      <c r="EN84" s="59">
        <f t="shared" si="74"/>
        <v>837.36147765819192</v>
      </c>
      <c r="EO84" s="59">
        <f ca="1">AVERAGE(OFFSET($EN$3,0,0,'Données projet'!$E$15+1,1))-AVERAGE(OFFSET($H$3,0,0,'Données projet'!$E$15+1,1))</f>
        <v>312.48716825299158</v>
      </c>
      <c r="EP84" s="59">
        <f t="shared" si="100"/>
        <v>258.68277822755357</v>
      </c>
      <c r="EQ84" s="15">
        <f>IF(ISNA(VLOOKUP(A84,'Données projet'!$A$191:$I$211,3,0)),0,VLOOKUP(A84,'Données projet'!$A$191:$I$211,3,0))</f>
        <v>8</v>
      </c>
      <c r="ER84" s="15">
        <f>IF(ISNA(VLOOKUP(A84,'Données projet'!$A$191:$I$211,4,0)),0,VLOOKUP(A84,'Données projet'!$A$191:$I$211,4,0))</f>
        <v>60.237179487179482</v>
      </c>
      <c r="ES84" s="16">
        <f>IF(ISNA(VLOOKUP(A84,'Données projet'!$A$191:$I$211,5,0)),0%,VLOOKUP(A84,'Données projet'!$A$191:$I$211,5,0)*VLOOKUP('Données projet'!$B$15,Paramètres!$A$1:$I$89,7,0))</f>
        <v>0.38700000000000001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53.492855663845958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53.492855663845958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5.5042735042735051</v>
      </c>
      <c r="FE84" s="12">
        <f>IF('Données projet'!$A$218&gt;35,FE83+FD84-FM83,IF(A84&lt;'Données projet'!$A$218,$FB$205^A84,IF(A84='Données projet'!$A$218,'Données projet'!$B$218,FE83+FD84-FM83)))</f>
        <v>183.49358974358967</v>
      </c>
      <c r="FF84" s="17">
        <f>FE84*VLOOKUP('Données projet'!$B$16,Paramètres!$A$1:$I$89,3,0)*VLOOKUP('Données projet'!$B$16,Paramètres!$A$1:$I$89,5,0)</f>
        <v>197.5124999999999</v>
      </c>
      <c r="FG84" s="13">
        <f t="shared" si="101"/>
        <v>49.197092951689569</v>
      </c>
      <c r="FH84" s="20">
        <f t="shared" si="76"/>
        <v>429.68587439085917</v>
      </c>
      <c r="FI84" s="59">
        <f t="shared" si="77"/>
        <v>723.01920772419248</v>
      </c>
      <c r="FJ84" s="59">
        <f ca="1">AVERAGE(OFFSET($FI$3,0,0,'Données projet'!$E$16+1,1))-AVERAGE(OFFSET($H$3,0,0,'Données projet'!$E$16+1,1))</f>
        <v>403.23110963096246</v>
      </c>
      <c r="FK84" s="59">
        <f t="shared" si="102"/>
        <v>245.72000393124898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9.8327459080747985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9.8327459080747985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5.5042735042735051</v>
      </c>
      <c r="FZ84" s="12">
        <f>IF('Données projet'!$A$244&gt;35,FZ83+FY84-GH83,IF(A84&lt;'Données projet'!$A$244,$FW$205^A84,IF(A84='Données projet'!$A$244,'Données projet'!$B$244,FZ83+FY84-GH83)))</f>
        <v>183.49358974358967</v>
      </c>
      <c r="GA84" s="17">
        <f>FZ84*VLOOKUP('Données projet'!$B$17,Paramètres!$A$1:$I$89,3,0)*VLOOKUP('Données projet'!$B$17,Paramètres!$A$1:$I$89,5,0)</f>
        <v>177.47499999999994</v>
      </c>
      <c r="GB84" s="13">
        <f t="shared" si="103"/>
        <v>44.75995913972482</v>
      </c>
      <c r="GC84" s="20">
        <f t="shared" si="79"/>
        <v>387.05922050168732</v>
      </c>
      <c r="GD84" s="59">
        <f t="shared" si="80"/>
        <v>680.39255383502064</v>
      </c>
      <c r="GE84" s="59">
        <f ca="1">AVERAGE(OFFSET($GD$3,0,0,'Données projet'!$E$17+1,1))-AVERAGE(OFFSET($H$3,0,0,'Données projet'!$E$17+1,1))</f>
        <v>336.2911850338175</v>
      </c>
      <c r="GF84" s="59">
        <f t="shared" si="104"/>
        <v>225.01415116995503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8.8352209608788037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8.8352209608788037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5.5042735042735051</v>
      </c>
      <c r="GU84" s="12">
        <f>IF('Données projet'!$A$270&gt;35,GU83+GT84-HC83,IF(A84&lt;'Données projet'!$A$270,$GR$205^A84,IF(A84='Données projet'!$A$270,'Données projet'!$B$270,GU83+GT84-HC83)))</f>
        <v>183.49358974358967</v>
      </c>
      <c r="GV84" s="17">
        <f>GU84*VLOOKUP('Données projet'!$B$18,Paramètres!$A$1:$I$89,3,0)*VLOOKUP('Données projet'!$B$18,Paramètres!$A$1:$I$89,5,0)</f>
        <v>123.08749999999993</v>
      </c>
      <c r="GW84" s="13">
        <f t="shared" si="105"/>
        <v>32.394039835098326</v>
      </c>
      <c r="GX84" s="20">
        <f t="shared" si="82"/>
        <v>270.79701521279611</v>
      </c>
      <c r="GY84" s="59">
        <f t="shared" si="83"/>
        <v>564.13034854612943</v>
      </c>
      <c r="GZ84" s="59">
        <f ca="1">AVERAGE(OFFSET($GY$3,0,0,'Données projet'!$E$18+1,1))-AVERAGE(OFFSET($H$3,0,0,'Données projet'!$E$18+1,1))</f>
        <v>266.37807768393191</v>
      </c>
      <c r="HA84" s="59">
        <f t="shared" si="106"/>
        <v>168.52019826233425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7.5526888859125254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84"/>
        <v>7.5526888859125254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266.99999999999983</v>
      </c>
      <c r="O85" s="13">
        <f>N85*VLOOKUP('Données projet'!$B$9,Paramètres!$A$1:$I$89,3,0)*VLOOKUP('Données projet'!$B$9,Paramètres!$A$1:$I$89,5,0)</f>
        <v>233.2511999999999</v>
      </c>
      <c r="P85" s="13">
        <f t="shared" si="87"/>
        <v>56.985091661350864</v>
      </c>
      <c r="Q85" s="20">
        <f t="shared" si="54"/>
        <v>505.49487464351915</v>
      </c>
      <c r="R85" s="59">
        <f t="shared" si="55"/>
        <v>798.82820797685247</v>
      </c>
      <c r="S85" s="59">
        <f ca="1">AVERAGE(OFFSET($R$3,0,0,'Données projet'!$E$9+1,1))-AVERAGE(OFFSET($H$3,0,0,'Données projet'!$E$9+1,1))</f>
        <v>324.86930206492627</v>
      </c>
      <c r="T85" s="59">
        <f t="shared" si="88"/>
        <v>317.03005098025352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30.386294655827186</v>
      </c>
      <c r="AA85" s="21">
        <f>EXP(-LN(2)/25)*AA84+(1-EXP(-LN(2)/25))/(LN(2)/25)*Calculateur!V85*Calculateur!X85*VLOOKUP('Données projet'!$B$9,Paramètres!$A$1:$I$89,3,0)*0.475*44/12</f>
        <v>8.65215225217338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39.038446908000566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7.4950142450142421</v>
      </c>
      <c r="AI85" s="13">
        <f>IF('Données projet'!$A$62&gt;35,AI84+AH85-AQ84,IF(A85&lt;'Données projet'!$A$62,$AF$205^A85,IF(A85='Données projet'!$A$62,'Données projet'!$B$62,AI84+AH85-AQ84)))</f>
        <v>243.39387464387485</v>
      </c>
      <c r="AJ85" s="13">
        <f>AI85*VLOOKUP('Données projet'!$B$10,Paramètres!$A$1:$I$89,3,0)*VLOOKUP('Données projet'!$B$10,Paramètres!$A$1:$I$89,5,0)</f>
        <v>231.61361111111131</v>
      </c>
      <c r="AK85" s="13">
        <f t="shared" si="89"/>
        <v>56.631439889299457</v>
      </c>
      <c r="AL85" s="20">
        <f t="shared" si="58"/>
        <v>502.02679715904873</v>
      </c>
      <c r="AM85" s="59">
        <f t="shared" si="59"/>
        <v>795.36013049238204</v>
      </c>
      <c r="AN85" s="59">
        <f ca="1">AVERAGE(OFFSET($AM$3,0,0,'Données projet'!$E$10+1,1))-AVERAGE(OFFSET($H$3,0,0,'Données projet'!$E$10+1,1))</f>
        <v>401.81944956556271</v>
      </c>
      <c r="AO85" s="59">
        <f t="shared" si="90"/>
        <v>292.20785523952651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33.119518859608917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33.119518859608917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1.7053025658242404E-13</v>
      </c>
      <c r="BE85" s="13">
        <f>BD85*VLOOKUP('Données projet'!$B$11,Paramètres!$A$1:$I$89,3,0)*VLOOKUP('Données projet'!$B$11,Paramètres!$A$1:$I$89,5,0)</f>
        <v>1.3301360013429075E-13</v>
      </c>
      <c r="BF85" s="13">
        <f t="shared" si="91"/>
        <v>1.9329766731057041E-12</v>
      </c>
      <c r="BG85" s="20">
        <f t="shared" si="61"/>
        <v>3.5982663925596575E-12</v>
      </c>
      <c r="BH85" s="59">
        <f t="shared" si="62"/>
        <v>293.3333333333369</v>
      </c>
      <c r="BI85" s="59">
        <f ca="1">AVERAGE(OFFSET($BH$3,0,0,'Données projet'!$E$11+1,1))-AVERAGE(OFFSET($H$3,0,0,'Données projet'!$E$11+1,1))</f>
        <v>288.80569134263209</v>
      </c>
      <c r="BJ85" s="59">
        <f t="shared" si="92"/>
        <v>283.48738729114024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62.717659868720922</v>
      </c>
      <c r="BQ85" s="21">
        <f>EXP(-LN(2)/25)*BQ84+(1-EXP(-LN(2)/25))/(LN(2)/25)*Calculateur!BL85*Calculateur!BN85*VLOOKUP('Données projet'!$B$11,Paramètres!$A$1:$I$89,3,0)*0.475*44/12</f>
        <v>47.567412332306695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110.28507220102762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2.8</v>
      </c>
      <c r="BY85" s="12">
        <f>IF('Données projet'!$A$114&gt;35,BY84+BX85-CG84,IF(A85&lt;'Données projet'!$A$114,$BV$205^A85,IF(A85='Données projet'!$A$114,'Données projet'!$B$114,BY84+BX85-CG84)))</f>
        <v>202.59999999999994</v>
      </c>
      <c r="BZ85" s="13">
        <f>BY85*VLOOKUP('Données projet'!$B$12,Paramètres!$A$1:$I$89,3,0)*VLOOKUP('Données projet'!$B$12,Paramètres!$A$1:$I$89,5,0)</f>
        <v>211.75751999999994</v>
      </c>
      <c r="CA85" s="13">
        <f t="shared" si="93"/>
        <v>52.319461546249123</v>
      </c>
      <c r="CB85" s="20">
        <f t="shared" si="64"/>
        <v>459.93407619305043</v>
      </c>
      <c r="CC85" s="59">
        <f t="shared" si="65"/>
        <v>753.26740952638374</v>
      </c>
      <c r="CD85" s="59">
        <f ca="1">AVERAGE(OFFSET($CC$3,0,0,'Données projet'!$E$12+1,1))-AVERAGE(OFFSET($H$3,0,0,'Données projet'!$E$12+1,1))</f>
        <v>352.22281362023102</v>
      </c>
      <c r="CE85" s="59">
        <f t="shared" si="94"/>
        <v>310.2353747925161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12.535937362791161</v>
      </c>
      <c r="CL85" s="21">
        <f>EXP(-LN(2)/25)*CL84+(1-EXP(-LN(2)/25))/(LN(2)/25)*Calculateur!CG85*Calculateur!CI85*VLOOKUP('Données projet'!$B$12,Paramètres!$A$1:$I$89,3,0)*0.475*44/12</f>
        <v>16.233480824424422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28.769418187215585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5.5042735042735051</v>
      </c>
      <c r="CT85" s="12">
        <f>IF('Données projet'!$A$140&gt;35,CT84+CS85-DB84,IF(A85&lt;'Données projet'!$A$140,$CQ$205^A85,IF(A85='Données projet'!$A$140,'Données projet'!$B$140,CT84+CS85-DB84)))</f>
        <v>188.99786324786317</v>
      </c>
      <c r="CU85" s="17">
        <f>CT85*VLOOKUP('Données projet'!$B$13,Paramètres!$A$1:$I$89,3,0)*VLOOKUP('Données projet'!$B$13,Paramètres!$A$1:$I$89,5,0)</f>
        <v>171.00526666666659</v>
      </c>
      <c r="CV85" s="13">
        <f t="shared" si="95"/>
        <v>43.31509256233069</v>
      </c>
      <c r="CW85" s="20">
        <f t="shared" si="67"/>
        <v>373.27462565717025</v>
      </c>
      <c r="CX85" s="59">
        <f t="shared" si="68"/>
        <v>666.60795899050356</v>
      </c>
      <c r="CY85" s="59">
        <f ca="1">AVERAGE(OFFSET($CX$3,0,0,'Données projet'!$E$13+1,1))-AVERAGE(OFFSET($H$3,0,0,'Données projet'!$E$13+1,1))</f>
        <v>345.49688858037996</v>
      </c>
      <c r="CZ85" s="59">
        <f t="shared" si="96"/>
        <v>213.15872113755023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8.1031310431248578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8.1031310431248578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5.5042735042735051</v>
      </c>
      <c r="DO85" s="12">
        <f>IF('Données projet'!$A$166&gt;35,DO84+DN85-DW84,IF(A85&lt;'Données projet'!$A$166,$DL$205^A85,IF(A85='Données projet'!$A$166,'Données projet'!$B$166,DO84+DN85-DW84)))</f>
        <v>188.99786324786317</v>
      </c>
      <c r="DP85" s="17">
        <f>DO85*VLOOKUP('Données projet'!$B$14,Paramètres!$A$1:$I$89,3,0)*VLOOKUP('Données projet'!$B$14,Paramètres!$A$1:$I$89,5,0)</f>
        <v>191.64383333333325</v>
      </c>
      <c r="DQ85" s="13">
        <f t="shared" si="97"/>
        <v>47.903198650456822</v>
      </c>
      <c r="DR85" s="20">
        <f t="shared" si="70"/>
        <v>417.21108070510104</v>
      </c>
      <c r="DS85" s="59">
        <f t="shared" si="71"/>
        <v>710.5444140384343</v>
      </c>
      <c r="DT85" s="59">
        <f ca="1">AVERAGE(OFFSET($DS$3,0,0,'Données projet'!$E$14+1,1))-AVERAGE(OFFSET($H$3,0,0,'Données projet'!$E$14+1,1))</f>
        <v>382.26108489744581</v>
      </c>
      <c r="DU85" s="59">
        <f t="shared" si="98"/>
        <v>233.89423996158826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9.0810951345364757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9.0810951345364757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8.0242165242165289</v>
      </c>
      <c r="EJ85" s="12">
        <f>IF('Données projet'!$A$192&gt;35,EJ84+EI85-ER84,IF(A85&lt;'Données projet'!$A$192,$EG$205^A85,IF(A85='Données projet'!$A$192,'Données projet'!$B$192,EJ84+EI85-ER84)))</f>
        <v>246.29344729344709</v>
      </c>
      <c r="EK85" s="17">
        <f>EJ85*VLOOKUP('Données projet'!$B$15,Paramètres!$A$1:$I$89,3,0)*VLOOKUP('Données projet'!$B$15,Paramètres!$A$1:$I$89,5,0)</f>
        <v>207.47759999999985</v>
      </c>
      <c r="EL85" s="13">
        <f t="shared" si="99"/>
        <v>51.383990772040285</v>
      </c>
      <c r="EM85" s="20">
        <f t="shared" si="73"/>
        <v>450.85060392796987</v>
      </c>
      <c r="EN85" s="59">
        <f t="shared" si="74"/>
        <v>744.18393726130319</v>
      </c>
      <c r="EO85" s="59">
        <f ca="1">AVERAGE(OFFSET($EN$3,0,0,'Données projet'!$E$15+1,1))-AVERAGE(OFFSET($H$3,0,0,'Données projet'!$E$15+1,1))</f>
        <v>312.48716825299158</v>
      </c>
      <c r="EP85" s="59">
        <f t="shared" si="100"/>
        <v>258.68277822755357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52.443893391698204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52.443893391698204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5.5042735042735051</v>
      </c>
      <c r="FE85" s="12">
        <f>IF('Données projet'!$A$218&gt;35,FE84+FD85-FM84,IF(A85&lt;'Données projet'!$A$218,$FB$205^A85,IF(A85='Données projet'!$A$218,'Données projet'!$B$218,FE84+FD85-FM84)))</f>
        <v>188.99786324786317</v>
      </c>
      <c r="FF85" s="17">
        <f>FE85*VLOOKUP('Données projet'!$B$16,Paramètres!$A$1:$I$89,3,0)*VLOOKUP('Données projet'!$B$16,Paramètres!$A$1:$I$89,5,0)</f>
        <v>203.43729999999988</v>
      </c>
      <c r="FG85" s="13">
        <f t="shared" si="101"/>
        <v>50.498831411186444</v>
      </c>
      <c r="FH85" s="20">
        <f t="shared" si="76"/>
        <v>442.27209554114955</v>
      </c>
      <c r="FI85" s="59">
        <f t="shared" si="77"/>
        <v>735.60542887448287</v>
      </c>
      <c r="FJ85" s="59">
        <f ca="1">AVERAGE(OFFSET($FI$3,0,0,'Données projet'!$E$16+1,1))-AVERAGE(OFFSET($H$3,0,0,'Données projet'!$E$16+1,1))</f>
        <v>403.23110963096246</v>
      </c>
      <c r="FK85" s="59">
        <f t="shared" si="102"/>
        <v>245.72000393124898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9.6399317582002642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9.6399317582002642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5.5042735042735051</v>
      </c>
      <c r="FZ85" s="12">
        <f>IF('Données projet'!$A$244&gt;35,FZ84+FY85-GH84,IF(A85&lt;'Données projet'!$A$244,$FW$205^A85,IF(A85='Données projet'!$A$244,'Données projet'!$B$244,FZ84+FY85-GH84)))</f>
        <v>188.99786324786317</v>
      </c>
      <c r="GA85" s="17">
        <f>FZ85*VLOOKUP('Données projet'!$B$17,Paramètres!$A$1:$I$89,3,0)*VLOOKUP('Données projet'!$B$17,Paramètres!$A$1:$I$89,5,0)</f>
        <v>182.79873333333327</v>
      </c>
      <c r="GB85" s="13">
        <f t="shared" si="103"/>
        <v>45.944292537531553</v>
      </c>
      <c r="GC85" s="20">
        <f t="shared" si="79"/>
        <v>398.39410339175623</v>
      </c>
      <c r="GD85" s="59">
        <f t="shared" si="80"/>
        <v>691.72743672508955</v>
      </c>
      <c r="GE85" s="59">
        <f ca="1">AVERAGE(OFFSET($GD$3,0,0,'Données projet'!$E$17+1,1))-AVERAGE(OFFSET($H$3,0,0,'Données projet'!$E$17+1,1))</f>
        <v>336.2911850338175</v>
      </c>
      <c r="GF85" s="59">
        <f t="shared" si="104"/>
        <v>225.01415116995503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8.6619676667886409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8.6619676667886409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5.5042735042735051</v>
      </c>
      <c r="GU85" s="12">
        <f>IF('Données projet'!$A$270&gt;35,GU84+GT85-HC84,IF(A85&lt;'Données projet'!$A$270,$GR$205^A85,IF(A85='Données projet'!$A$270,'Données projet'!$B$270,GU84+GT85-HC84)))</f>
        <v>188.99786324786317</v>
      </c>
      <c r="GV85" s="17">
        <f>GU85*VLOOKUP('Données projet'!$B$18,Paramètres!$A$1:$I$89,3,0)*VLOOKUP('Données projet'!$B$18,Paramètres!$A$1:$I$89,5,0)</f>
        <v>126.7797666666666</v>
      </c>
      <c r="GW85" s="13">
        <f t="shared" si="105"/>
        <v>33.251175185620554</v>
      </c>
      <c r="GX85" s="20">
        <f t="shared" si="82"/>
        <v>278.72055705940011</v>
      </c>
      <c r="GY85" s="59">
        <f t="shared" si="83"/>
        <v>572.05389039273336</v>
      </c>
      <c r="GZ85" s="59">
        <f ca="1">AVERAGE(OFFSET($GY$3,0,0,'Données projet'!$E$18+1,1))-AVERAGE(OFFSET($H$3,0,0,'Données projet'!$E$18+1,1))</f>
        <v>266.37807768393191</v>
      </c>
      <c r="HA85" s="59">
        <f t="shared" si="106"/>
        <v>168.52019826233425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7.4045852635451288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84"/>
        <v>7.4045852635451288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266.99999999999983</v>
      </c>
      <c r="O86" s="13">
        <f>N86*VLOOKUP('Données projet'!$B$9,Paramètres!$A$1:$I$89,3,0)*VLOOKUP('Données projet'!$B$9,Paramètres!$A$1:$I$89,5,0)</f>
        <v>233.2511999999999</v>
      </c>
      <c r="P86" s="13">
        <f t="shared" si="87"/>
        <v>56.985091661350864</v>
      </c>
      <c r="Q86" s="20">
        <f t="shared" si="54"/>
        <v>505.49487464351915</v>
      </c>
      <c r="R86" s="59">
        <f t="shared" si="55"/>
        <v>798.82820797685247</v>
      </c>
      <c r="S86" s="59">
        <f ca="1">AVERAGE(OFFSET($R$3,0,0,'Données projet'!$E$9+1,1))-AVERAGE(OFFSET($H$3,0,0,'Données projet'!$E$9+1,1))</f>
        <v>324.86930206492627</v>
      </c>
      <c r="T86" s="59">
        <f t="shared" si="88"/>
        <v>317.03005098025352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29.790437951436093</v>
      </c>
      <c r="AA86" s="21">
        <f>EXP(-LN(2)/25)*AA85+(1-EXP(-LN(2)/25))/(LN(2)/25)*Calculateur!V86*Calculateur!X86*VLOOKUP('Données projet'!$B$9,Paramètres!$A$1:$I$89,3,0)*0.475*44/12</f>
        <v>8.4155586938407865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38.205996645276883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7.4950142450142421</v>
      </c>
      <c r="AI86" s="13">
        <f>IF('Données projet'!$A$62&gt;35,AI85+AH86-AQ85,IF(A86&lt;'Données projet'!$A$62,$AF$205^A86,IF(A86='Données projet'!$A$62,'Données projet'!$B$62,AI85+AH86-AQ85)))</f>
        <v>250.88888888888908</v>
      </c>
      <c r="AJ86" s="13">
        <f>AI86*VLOOKUP('Données projet'!$B$10,Paramètres!$A$1:$I$89,3,0)*VLOOKUP('Données projet'!$B$10,Paramètres!$A$1:$I$89,5,0)</f>
        <v>238.74586666666684</v>
      </c>
      <c r="AK86" s="13">
        <f t="shared" si="89"/>
        <v>58.169615362589944</v>
      </c>
      <c r="AL86" s="20">
        <f t="shared" si="58"/>
        <v>517.12779786762223</v>
      </c>
      <c r="AM86" s="59">
        <f t="shared" si="59"/>
        <v>810.46113120095561</v>
      </c>
      <c r="AN86" s="59">
        <f ca="1">AVERAGE(OFFSET($AM$3,0,0,'Données projet'!$E$10+1,1))-AVERAGE(OFFSET($H$3,0,0,'Données projet'!$E$10+1,1))</f>
        <v>401.81944956556271</v>
      </c>
      <c r="AO86" s="59">
        <f t="shared" si="90"/>
        <v>292.20785523952651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32.470065295683817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32.470065295683817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1.7053025658242404E-13</v>
      </c>
      <c r="BE86" s="13">
        <f>BD86*VLOOKUP('Données projet'!$B$11,Paramètres!$A$1:$I$89,3,0)*VLOOKUP('Données projet'!$B$11,Paramètres!$A$1:$I$89,5,0)</f>
        <v>1.3301360013429075E-13</v>
      </c>
      <c r="BF86" s="13">
        <f t="shared" si="91"/>
        <v>1.9329766731057041E-12</v>
      </c>
      <c r="BG86" s="20">
        <f t="shared" si="61"/>
        <v>3.5982663925596575E-12</v>
      </c>
      <c r="BH86" s="59">
        <f t="shared" si="62"/>
        <v>293.3333333333369</v>
      </c>
      <c r="BI86" s="59">
        <f ca="1">AVERAGE(OFFSET($BH$3,0,0,'Données projet'!$E$11+1,1))-AVERAGE(OFFSET($H$3,0,0,'Données projet'!$E$11+1,1))</f>
        <v>288.80569134263209</v>
      </c>
      <c r="BJ86" s="59">
        <f t="shared" si="92"/>
        <v>283.48738729114024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61.487804812690555</v>
      </c>
      <c r="BQ86" s="21">
        <f>EXP(-LN(2)/25)*BQ85+(1-EXP(-LN(2)/25))/(LN(2)/25)*Calculateur!BL86*Calculateur!BN86*VLOOKUP('Données projet'!$B$11,Paramètres!$A$1:$I$89,3,0)*0.475*44/12</f>
        <v>46.26667894061827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107.75448375330882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2.8</v>
      </c>
      <c r="BY86" s="12">
        <f>IF('Données projet'!$A$114&gt;35,BY85+BX86-CG85,IF(A86&lt;'Données projet'!$A$114,$BV$205^A86,IF(A86='Données projet'!$A$114,'Données projet'!$B$114,BY85+BX86-CG85)))</f>
        <v>205.39999999999995</v>
      </c>
      <c r="BZ86" s="13">
        <f>BY86*VLOOKUP('Données projet'!$B$12,Paramètres!$A$1:$I$89,3,0)*VLOOKUP('Données projet'!$B$12,Paramètres!$A$1:$I$89,5,0)</f>
        <v>214.68407999999997</v>
      </c>
      <c r="CA86" s="13">
        <f t="shared" si="93"/>
        <v>52.957857147167992</v>
      </c>
      <c r="CB86" s="20">
        <f t="shared" si="64"/>
        <v>466.14304053131747</v>
      </c>
      <c r="CC86" s="59">
        <f t="shared" si="65"/>
        <v>759.47637386465078</v>
      </c>
      <c r="CD86" s="59">
        <f ca="1">AVERAGE(OFFSET($CC$3,0,0,'Données projet'!$E$12+1,1))-AVERAGE(OFFSET($H$3,0,0,'Données projet'!$E$12+1,1))</f>
        <v>352.22281362023102</v>
      </c>
      <c r="CE86" s="59">
        <f t="shared" si="94"/>
        <v>310.2353747925161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12.290115277273621</v>
      </c>
      <c r="CL86" s="21">
        <f>EXP(-LN(2)/25)*CL85+(1-EXP(-LN(2)/25))/(LN(2)/25)*Calculateur!CG86*Calculateur!CI86*VLOOKUP('Données projet'!$B$12,Paramètres!$A$1:$I$89,3,0)*0.475*44/12</f>
        <v>15.789575437598883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28.079690714872505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5.5042735042735051</v>
      </c>
      <c r="CT86" s="12">
        <f>IF('Données projet'!$A$140&gt;35,CT85+CS86-DB85,IF(A86&lt;'Données projet'!$A$140,$CQ$205^A86,IF(A86='Données projet'!$A$140,'Données projet'!$B$140,CT85+CS86-DB85)))</f>
        <v>194.50213675213666</v>
      </c>
      <c r="CU86" s="17">
        <f>CT86*VLOOKUP('Données projet'!$B$13,Paramètres!$A$1:$I$89,3,0)*VLOOKUP('Données projet'!$B$13,Paramètres!$A$1:$I$89,5,0)</f>
        <v>175.98553333333325</v>
      </c>
      <c r="CV86" s="13">
        <f t="shared" si="95"/>
        <v>44.427872246727624</v>
      </c>
      <c r="CW86" s="20">
        <f t="shared" si="67"/>
        <v>383.88668138527265</v>
      </c>
      <c r="CX86" s="59">
        <f t="shared" si="68"/>
        <v>677.22001471860597</v>
      </c>
      <c r="CY86" s="59">
        <f ca="1">AVERAGE(OFFSET($CX$3,0,0,'Données projet'!$E$13+1,1))-AVERAGE(OFFSET($H$3,0,0,'Données projet'!$E$13+1,1))</f>
        <v>345.49688858037996</v>
      </c>
      <c r="CZ86" s="59">
        <f t="shared" si="96"/>
        <v>213.15872113755023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7.9442335857910917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7.9442335857910917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5.5042735042735051</v>
      </c>
      <c r="DO86" s="12">
        <f>IF('Données projet'!$A$166&gt;35,DO85+DN86-DW85,IF(A86&lt;'Données projet'!$A$166,$DL$205^A86,IF(A86='Données projet'!$A$166,'Données projet'!$B$166,DO85+DN86-DW85)))</f>
        <v>194.50213675213666</v>
      </c>
      <c r="DP86" s="17">
        <f>DO86*VLOOKUP('Données projet'!$B$14,Paramètres!$A$1:$I$89,3,0)*VLOOKUP('Données projet'!$B$14,Paramètres!$A$1:$I$89,5,0)</f>
        <v>197.22516666666658</v>
      </c>
      <c r="DQ86" s="13">
        <f t="shared" si="97"/>
        <v>49.133848364506264</v>
      </c>
      <c r="DR86" s="20">
        <f t="shared" si="70"/>
        <v>429.07528451262601</v>
      </c>
      <c r="DS86" s="59">
        <f t="shared" si="71"/>
        <v>722.40861784595927</v>
      </c>
      <c r="DT86" s="59">
        <f ca="1">AVERAGE(OFFSET($DS$3,0,0,'Données projet'!$E$14+1,1))-AVERAGE(OFFSET($H$3,0,0,'Données projet'!$E$14+1,1))</f>
        <v>382.26108489744581</v>
      </c>
      <c r="DU86" s="59">
        <f t="shared" si="98"/>
        <v>233.89423996158826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8.9030203978693248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8.9030203978693248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8.0242165242165289</v>
      </c>
      <c r="EJ86" s="12">
        <f>IF('Données projet'!$A$192&gt;35,EJ85+EI86-ER85,IF(A86&lt;'Données projet'!$A$192,$EG$205^A86,IF(A86='Données projet'!$A$192,'Données projet'!$B$192,EJ85+EI86-ER85)))</f>
        <v>254.31766381766363</v>
      </c>
      <c r="EK86" s="17">
        <f>EJ86*VLOOKUP('Données projet'!$B$15,Paramètres!$A$1:$I$89,3,0)*VLOOKUP('Données projet'!$B$15,Paramètres!$A$1:$I$89,5,0)</f>
        <v>214.23719999999986</v>
      </c>
      <c r="EL86" s="13">
        <f t="shared" si="99"/>
        <v>52.860441248726737</v>
      </c>
      <c r="EM86" s="20">
        <f t="shared" si="73"/>
        <v>465.19505850819877</v>
      </c>
      <c r="EN86" s="59">
        <f t="shared" si="74"/>
        <v>758.52839184153208</v>
      </c>
      <c r="EO86" s="59">
        <f ca="1">AVERAGE(OFFSET($EN$3,0,0,'Données projet'!$E$15+1,1))-AVERAGE(OFFSET($H$3,0,0,'Données projet'!$E$15+1,1))</f>
        <v>312.48716825299158</v>
      </c>
      <c r="EP86" s="59">
        <f t="shared" si="100"/>
        <v>258.68277822755357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51.415500629903455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51.415500629903455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5.5042735042735051</v>
      </c>
      <c r="FE86" s="12">
        <f>IF('Données projet'!$A$218&gt;35,FE85+FD86-FM85,IF(A86&lt;'Données projet'!$A$218,$FB$205^A86,IF(A86='Données projet'!$A$218,'Données projet'!$B$218,FE85+FD86-FM85)))</f>
        <v>194.50213675213666</v>
      </c>
      <c r="FF86" s="17">
        <f>FE86*VLOOKUP('Données projet'!$B$16,Paramètres!$A$1:$I$89,3,0)*VLOOKUP('Données projet'!$B$16,Paramètres!$A$1:$I$89,5,0)</f>
        <v>209.36209999999988</v>
      </c>
      <c r="FG86" s="13">
        <f t="shared" si="101"/>
        <v>51.796163827117176</v>
      </c>
      <c r="FH86" s="20">
        <f t="shared" si="76"/>
        <v>454.85064283222886</v>
      </c>
      <c r="FI86" s="59">
        <f t="shared" si="77"/>
        <v>748.18397616556217</v>
      </c>
      <c r="FJ86" s="59">
        <f ca="1">AVERAGE(OFFSET($FI$3,0,0,'Données projet'!$E$16+1,1))-AVERAGE(OFFSET($H$3,0,0,'Données projet'!$E$16+1,1))</f>
        <v>403.23110963096246</v>
      </c>
      <c r="FK86" s="59">
        <f t="shared" si="102"/>
        <v>245.72000393124898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9.4508985761997497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9.4508985761997497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5.5042735042735051</v>
      </c>
      <c r="FZ86" s="12">
        <f>IF('Données projet'!$A$244&gt;35,FZ85+FY86-GH85,IF(A86&lt;'Données projet'!$A$244,$FW$205^A86,IF(A86='Données projet'!$A$244,'Données projet'!$B$244,FZ85+FY86-GH85)))</f>
        <v>194.50213675213666</v>
      </c>
      <c r="GA86" s="17">
        <f>FZ86*VLOOKUP('Données projet'!$B$17,Paramètres!$A$1:$I$89,3,0)*VLOOKUP('Données projet'!$B$17,Paramètres!$A$1:$I$89,5,0)</f>
        <v>188.12246666666658</v>
      </c>
      <c r="GB86" s="13">
        <f t="shared" si="103"/>
        <v>47.124617277140104</v>
      </c>
      <c r="GC86" s="20">
        <f t="shared" si="79"/>
        <v>409.72200453546321</v>
      </c>
      <c r="GD86" s="59">
        <f t="shared" si="80"/>
        <v>703.05533786879653</v>
      </c>
      <c r="GE86" s="59">
        <f ca="1">AVERAGE(OFFSET($GD$3,0,0,'Données projet'!$E$17+1,1))-AVERAGE(OFFSET($H$3,0,0,'Données projet'!$E$17+1,1))</f>
        <v>336.2911850338175</v>
      </c>
      <c r="GF86" s="59">
        <f t="shared" si="104"/>
        <v>225.01415116995503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8.4921117641215123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8.4921117641215123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5.5042735042735051</v>
      </c>
      <c r="GU86" s="12">
        <f>IF('Données projet'!$A$270&gt;35,GU85+GT86-HC85,IF(A86&lt;'Données projet'!$A$270,$GR$205^A86,IF(A86='Données projet'!$A$270,'Données projet'!$B$270,GU85+GT86-HC85)))</f>
        <v>194.50213675213666</v>
      </c>
      <c r="GV86" s="17">
        <f>GU86*VLOOKUP('Données projet'!$B$18,Paramètres!$A$1:$I$89,3,0)*VLOOKUP('Données projet'!$B$18,Paramètres!$A$1:$I$89,5,0)</f>
        <v>130.47203333333326</v>
      </c>
      <c r="GW86" s="13">
        <f t="shared" si="105"/>
        <v>34.105409357592762</v>
      </c>
      <c r="GX86" s="20">
        <f t="shared" si="82"/>
        <v>286.63904602002947</v>
      </c>
      <c r="GY86" s="59">
        <f t="shared" si="83"/>
        <v>579.97237935336284</v>
      </c>
      <c r="GZ86" s="59">
        <f ca="1">AVERAGE(OFFSET($GY$3,0,0,'Données projet'!$E$18+1,1))-AVERAGE(OFFSET($H$3,0,0,'Données projet'!$E$18+1,1))</f>
        <v>266.37807768393191</v>
      </c>
      <c r="HA86" s="59">
        <f t="shared" si="106"/>
        <v>168.52019826233425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7.2593858628780668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84"/>
        <v>7.2593858628780668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266.99999999999983</v>
      </c>
      <c r="O87" s="13">
        <f>N87*VLOOKUP('Données projet'!$B$9,Paramètres!$A$1:$I$89,3,0)*VLOOKUP('Données projet'!$B$9,Paramètres!$A$1:$I$89,5,0)</f>
        <v>233.2511999999999</v>
      </c>
      <c r="P87" s="13">
        <f t="shared" si="87"/>
        <v>56.985091661350864</v>
      </c>
      <c r="Q87" s="20">
        <f t="shared" si="54"/>
        <v>505.49487464351915</v>
      </c>
      <c r="R87" s="59">
        <f t="shared" si="55"/>
        <v>798.82820797685247</v>
      </c>
      <c r="S87" s="59">
        <f ca="1">AVERAGE(OFFSET($R$3,0,0,'Données projet'!$E$9+1,1))-AVERAGE(OFFSET($H$3,0,0,'Données projet'!$E$9+1,1))</f>
        <v>324.86930206492627</v>
      </c>
      <c r="T87" s="59">
        <f t="shared" si="88"/>
        <v>317.03005098025352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29.206265633581406</v>
      </c>
      <c r="AA87" s="21">
        <f>EXP(-LN(2)/25)*AA86+(1-EXP(-LN(2)/25))/(LN(2)/25)*Calculateur!V87*Calculateur!X87*VLOOKUP('Données projet'!$B$9,Paramètres!$A$1:$I$89,3,0)*0.475*44/12</f>
        <v>8.1854347988027119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37.39170043238412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7.4950142450142421</v>
      </c>
      <c r="AI87" s="13">
        <f>IF('Données projet'!$A$62&gt;35,AI86+AH87-AQ86,IF(A87&lt;'Données projet'!$A$62,$AF$205^A87,IF(A87='Données projet'!$A$62,'Données projet'!$B$62,AI86+AH87-AQ86)))</f>
        <v>258.38390313390335</v>
      </c>
      <c r="AJ87" s="13">
        <f>AI87*VLOOKUP('Données projet'!$B$10,Paramètres!$A$1:$I$89,3,0)*VLOOKUP('Données projet'!$B$10,Paramètres!$A$1:$I$89,5,0)</f>
        <v>245.87812222222243</v>
      </c>
      <c r="AK87" s="13">
        <f t="shared" si="89"/>
        <v>59.702450565025714</v>
      </c>
      <c r="AL87" s="20">
        <f t="shared" si="58"/>
        <v>532.21949760445716</v>
      </c>
      <c r="AM87" s="59">
        <f t="shared" si="59"/>
        <v>825.55283093779053</v>
      </c>
      <c r="AN87" s="59">
        <f ca="1">AVERAGE(OFFSET($AM$3,0,0,'Données projet'!$E$10+1,1))-AVERAGE(OFFSET($H$3,0,0,'Données projet'!$E$10+1,1))</f>
        <v>401.81944956556271</v>
      </c>
      <c r="AO87" s="59">
        <f t="shared" si="90"/>
        <v>292.20785523952651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31.833347120019727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31.833347120019727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1.7053025658242404E-13</v>
      </c>
      <c r="BE87" s="13">
        <f>BD87*VLOOKUP('Données projet'!$B$11,Paramètres!$A$1:$I$89,3,0)*VLOOKUP('Données projet'!$B$11,Paramètres!$A$1:$I$89,5,0)</f>
        <v>1.3301360013429075E-13</v>
      </c>
      <c r="BF87" s="13">
        <f t="shared" si="91"/>
        <v>1.9329766731057041E-12</v>
      </c>
      <c r="BG87" s="20">
        <f t="shared" si="61"/>
        <v>3.5982663925596575E-12</v>
      </c>
      <c r="BH87" s="59">
        <f t="shared" si="62"/>
        <v>293.3333333333369</v>
      </c>
      <c r="BI87" s="59">
        <f ca="1">AVERAGE(OFFSET($BH$3,0,0,'Données projet'!$E$11+1,1))-AVERAGE(OFFSET($H$3,0,0,'Données projet'!$E$11+1,1))</f>
        <v>288.80569134263209</v>
      </c>
      <c r="BJ87" s="59">
        <f t="shared" si="92"/>
        <v>283.48738729114024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60.282066464171429</v>
      </c>
      <c r="BQ87" s="21">
        <f>EXP(-LN(2)/25)*BQ86+(1-EXP(-LN(2)/25))/(LN(2)/25)*Calculateur!BL87*Calculateur!BN87*VLOOKUP('Données projet'!$B$11,Paramètres!$A$1:$I$89,3,0)*0.475*44/12</f>
        <v>45.001514171928164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105.2835806360996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2.8</v>
      </c>
      <c r="BY87" s="12">
        <f>IF('Données projet'!$A$114&gt;35,BY86+BX87-CG86,IF(A87&lt;'Données projet'!$A$114,$BV$205^A87,IF(A87='Données projet'!$A$114,'Données projet'!$B$114,BY86+BX87-CG86)))</f>
        <v>208.19999999999996</v>
      </c>
      <c r="BZ87" s="13">
        <f>BY87*VLOOKUP('Données projet'!$B$12,Paramètres!$A$1:$I$89,3,0)*VLOOKUP('Données projet'!$B$12,Paramètres!$A$1:$I$89,5,0)</f>
        <v>217.61063999999996</v>
      </c>
      <c r="CA87" s="13">
        <f t="shared" si="93"/>
        <v>53.595240539151249</v>
      </c>
      <c r="CB87" s="20">
        <f t="shared" si="64"/>
        <v>472.35024193902171</v>
      </c>
      <c r="CC87" s="59">
        <f t="shared" si="65"/>
        <v>765.68357527235503</v>
      </c>
      <c r="CD87" s="59">
        <f ca="1">AVERAGE(OFFSET($CC$3,0,0,'Données projet'!$E$12+1,1))-AVERAGE(OFFSET($H$3,0,0,'Données projet'!$E$12+1,1))</f>
        <v>352.22281362023102</v>
      </c>
      <c r="CE87" s="59">
        <f t="shared" si="94"/>
        <v>310.2353747925161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12.049113612916413</v>
      </c>
      <c r="CL87" s="21">
        <f>EXP(-LN(2)/25)*CL86+(1-EXP(-LN(2)/25))/(LN(2)/25)*Calculateur!CG87*Calculateur!CI87*VLOOKUP('Données projet'!$B$12,Paramètres!$A$1:$I$89,3,0)*0.475*44/12</f>
        <v>15.357808666920057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27.406922279836472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200.00641025641025</v>
      </c>
      <c r="CR87" s="12">
        <f>VLOOKUP(A87,'Données projet'!$A$139:$I$159,9,0)</f>
        <v>5.5042735042735051</v>
      </c>
      <c r="CS87" s="12">
        <f t="array" ref="CS87">INDEX(CR:CR,MIN(IF(ISNUMBER(CR87:CR283),ROW(CR87:CR283),"")))</f>
        <v>5.5042735042735051</v>
      </c>
      <c r="CT87" s="12">
        <f>IF('Données projet'!$A$140&gt;35,CT86+CS87-DB86,IF(A87&lt;'Données projet'!$A$140,$CQ$205^A87,IF(A87='Données projet'!$A$140,'Données projet'!$B$140,CT86+CS87-DB86)))</f>
        <v>200.00641025641016</v>
      </c>
      <c r="CU87" s="17">
        <f>CT87*VLOOKUP('Données projet'!$B$13,Paramètres!$A$1:$I$89,3,0)*VLOOKUP('Données projet'!$B$13,Paramètres!$A$1:$I$89,5,0)</f>
        <v>180.96579999999992</v>
      </c>
      <c r="CV87" s="13">
        <f t="shared" si="95"/>
        <v>45.536991906907375</v>
      </c>
      <c r="CW87" s="20">
        <f t="shared" si="67"/>
        <v>394.49236257119691</v>
      </c>
      <c r="CX87" s="59">
        <f t="shared" si="68"/>
        <v>687.82569590453022</v>
      </c>
      <c r="CY87" s="59">
        <f ca="1">AVERAGE(OFFSET($CX$3,0,0,'Données projet'!$E$13+1,1))-AVERAGE(OFFSET($H$3,0,0,'Données projet'!$E$13+1,1))</f>
        <v>345.49688858037996</v>
      </c>
      <c r="CZ87" s="59">
        <f t="shared" si="96"/>
        <v>213.15872113755023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35.083333333333329</v>
      </c>
      <c r="DC87" s="16">
        <f>IF(ISNA(VLOOKUP(A87,'Données projet'!$A$139:$I$159,5,0)),0%,VLOOKUP(A87,'Données projet'!$A$139:$I$159,5,0)*VLOOKUP('Données projet'!$B$13,Paramètres!$A$1:$I$89,7,0))</f>
        <v>0.30099999999999999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18.350959932823301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18.350959932823301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200.00641025641025</v>
      </c>
      <c r="DM87" s="12">
        <f>VLOOKUP(A87,'Données projet'!$A$165:$I$185,9,0)</f>
        <v>5.5042735042735051</v>
      </c>
      <c r="DN87" s="12">
        <f t="array" ref="DN87">INDEX(DM:DM,MIN(IF(ISNUMBER(DM87:DM283),ROW(DM87:DM283),"")))</f>
        <v>5.5042735042735051</v>
      </c>
      <c r="DO87" s="12">
        <f>IF('Données projet'!$A$166&gt;35,DO86+DN87-DW86,IF(A87&lt;'Données projet'!$A$166,$DL$205^A87,IF(A87='Données projet'!$A$166,'Données projet'!$B$166,DO86+DN87-DW86)))</f>
        <v>200.00641025641016</v>
      </c>
      <c r="DP87" s="17">
        <f>DO87*VLOOKUP('Données projet'!$B$14,Paramètres!$A$1:$I$89,3,0)*VLOOKUP('Données projet'!$B$14,Paramètres!$A$1:$I$89,5,0)</f>
        <v>202.80649999999991</v>
      </c>
      <c r="DQ87" s="13">
        <f t="shared" si="97"/>
        <v>50.360450370083477</v>
      </c>
      <c r="DR87" s="20">
        <f t="shared" si="70"/>
        <v>440.93243856122854</v>
      </c>
      <c r="DS87" s="59">
        <f t="shared" si="71"/>
        <v>734.26577189456179</v>
      </c>
      <c r="DT87" s="59">
        <f ca="1">AVERAGE(OFFSET($DS$3,0,0,'Données projet'!$E$14+1,1))-AVERAGE(OFFSET($H$3,0,0,'Données projet'!$E$14+1,1))</f>
        <v>382.26108489744581</v>
      </c>
      <c r="DU87" s="59">
        <f t="shared" si="98"/>
        <v>233.89423996158826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35.083333333333329</v>
      </c>
      <c r="DX87" s="16">
        <f>IF(ISNA(VLOOKUP(A87,'Données projet'!$A$165:$I$185,5,0)),0%,VLOOKUP(A87,'Données projet'!$A$165:$I$185,5,0)*VLOOKUP('Données projet'!$B$14,Paramètres!$A$1:$I$89,7,0))</f>
        <v>0.30099999999999999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20.565730959198525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20.565730959198525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8.0242165242165289</v>
      </c>
      <c r="EJ87" s="12">
        <f>IF('Données projet'!$A$192&gt;35,EJ86+EI87-ER86,IF(A87&lt;'Données projet'!$A$192,$EG$205^A87,IF(A87='Données projet'!$A$192,'Données projet'!$B$192,EJ86+EI87-ER86)))</f>
        <v>262.34188034188014</v>
      </c>
      <c r="EK87" s="17">
        <f>EJ87*VLOOKUP('Données projet'!$B$15,Paramètres!$A$1:$I$89,3,0)*VLOOKUP('Données projet'!$B$15,Paramètres!$A$1:$I$89,5,0)</f>
        <v>220.99679999999984</v>
      </c>
      <c r="EL87" s="13">
        <f t="shared" si="99"/>
        <v>54.33147824144659</v>
      </c>
      <c r="EM87" s="20">
        <f t="shared" si="73"/>
        <v>479.53008460385246</v>
      </c>
      <c r="EN87" s="59">
        <f t="shared" si="74"/>
        <v>772.86341793718577</v>
      </c>
      <c r="EO87" s="59">
        <f ca="1">AVERAGE(OFFSET($EN$3,0,0,'Données projet'!$E$15+1,1))-AVERAGE(OFFSET($H$3,0,0,'Données projet'!$E$15+1,1))</f>
        <v>312.48716825299158</v>
      </c>
      <c r="EP87" s="59">
        <f t="shared" si="100"/>
        <v>258.68277822755357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50.407274022909853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50.407274022909853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>
        <f>VLOOKUP(A87,'Données projet'!$A$217:$I$237,2,0)</f>
        <v>200.00641025641025</v>
      </c>
      <c r="FC87" s="12">
        <f>VLOOKUP(A87,'Données projet'!$A$217:$I$237,9,0)</f>
        <v>5.5042735042735051</v>
      </c>
      <c r="FD87" s="12">
        <f t="array" ref="FD87">INDEX(FC:FC,MIN(IF(ISNUMBER(FC87:FC283),ROW(FC87:FC283),"")))</f>
        <v>5.5042735042735051</v>
      </c>
      <c r="FE87" s="12">
        <f>IF('Données projet'!$A$218&gt;35,FE86+FD87-FM86,IF(A87&lt;'Données projet'!$A$218,$FB$205^A87,IF(A87='Données projet'!$A$218,'Données projet'!$B$218,FE86+FD87-FM86)))</f>
        <v>200.00641025641016</v>
      </c>
      <c r="FF87" s="17">
        <f>FE87*VLOOKUP('Données projet'!$B$16,Paramètres!$A$1:$I$89,3,0)*VLOOKUP('Données projet'!$B$16,Paramètres!$A$1:$I$89,5,0)</f>
        <v>215.28689999999986</v>
      </c>
      <c r="FG87" s="13">
        <f t="shared" si="101"/>
        <v>53.089229209666037</v>
      </c>
      <c r="FH87" s="20">
        <f t="shared" si="76"/>
        <v>467.42175837350146</v>
      </c>
      <c r="FI87" s="59">
        <f t="shared" si="77"/>
        <v>760.75509170683472</v>
      </c>
      <c r="FJ87" s="59">
        <f ca="1">AVERAGE(OFFSET($FI$3,0,0,'Données projet'!$E$16+1,1))-AVERAGE(OFFSET($H$3,0,0,'Données projet'!$E$16+1,1))</f>
        <v>403.23110963096246</v>
      </c>
      <c r="FK87" s="59">
        <f t="shared" si="102"/>
        <v>245.72000393124898</v>
      </c>
      <c r="FL87" s="15">
        <f>IF(ISNA(VLOOKUP(A87,'Données projet'!$A$217:$I$237,3,0)),0,VLOOKUP(A87,'Données projet'!$A$217:$I$237,3,0))</f>
        <v>6</v>
      </c>
      <c r="FM87" s="15">
        <f>IF(ISNA(VLOOKUP(A87,'Données projet'!$A$217:$I$237,4,0)),0,VLOOKUP(A87,'Données projet'!$A$217:$I$237,4,0))</f>
        <v>35.083333333333329</v>
      </c>
      <c r="FN87" s="16">
        <f>IF(ISNA(VLOOKUP(A87,'Données projet'!$A$217:$I$237,5,0)),0%,VLOOKUP(A87,'Données projet'!$A$217:$I$237,5,0)*VLOOKUP('Données projet'!$B$16,Paramètres!$A$1:$I$89,7,0))</f>
        <v>0.30099999999999999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21.831314402841514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21.831314402841514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>
        <f>VLOOKUP(A87,'Données projet'!$A$243:$I$263,2,0)</f>
        <v>200.00641025641025</v>
      </c>
      <c r="FX87" s="12">
        <f>VLOOKUP(A87,'Données projet'!$A$243:$I$263,9,0)</f>
        <v>5.5042735042735051</v>
      </c>
      <c r="FY87" s="12">
        <f t="array" ref="FY87">INDEX(FX:FX,MIN(IF(ISNUMBER(FX87:FX283),ROW(FX87:FX283),"")))</f>
        <v>5.5042735042735051</v>
      </c>
      <c r="FZ87" s="12">
        <f>IF('Données projet'!$A$244&gt;35,FZ86+FY87-GH86,IF(A87&lt;'Données projet'!$A$244,$FW$205^A87,IF(A87='Données projet'!$A$244,'Données projet'!$B$244,FZ86+FY87-GH86)))</f>
        <v>200.00641025641016</v>
      </c>
      <c r="GA87" s="17">
        <f>FZ87*VLOOKUP('Données projet'!$B$17,Paramètres!$A$1:$I$89,3,0)*VLOOKUP('Données projet'!$B$17,Paramètres!$A$1:$I$89,5,0)</f>
        <v>193.44619999999992</v>
      </c>
      <c r="GB87" s="13">
        <f t="shared" si="103"/>
        <v>48.301059831270564</v>
      </c>
      <c r="GC87" s="20">
        <f t="shared" si="79"/>
        <v>421.0431442061294</v>
      </c>
      <c r="GD87" s="59">
        <f t="shared" si="80"/>
        <v>714.37647753946271</v>
      </c>
      <c r="GE87" s="59">
        <f ca="1">AVERAGE(OFFSET($GD$3,0,0,'Données projet'!$E$17+1,1))-AVERAGE(OFFSET($H$3,0,0,'Données projet'!$E$17+1,1))</f>
        <v>336.2911850338175</v>
      </c>
      <c r="GF87" s="59">
        <f t="shared" si="104"/>
        <v>225.01415116995503</v>
      </c>
      <c r="GG87" s="15">
        <f>IF(ISNA(VLOOKUP(A87,'Données projet'!$A$243:$I$263,3,0)),0,VLOOKUP(A87,'Données projet'!$A$243:$I$263,3,0))</f>
        <v>6</v>
      </c>
      <c r="GH87" s="15">
        <f>IF(ISNA(VLOOKUP(A87,'Données projet'!$A$243:$I$263,4,0)),0,VLOOKUP(A87,'Données projet'!$A$243:$I$263,4,0))</f>
        <v>35.083333333333329</v>
      </c>
      <c r="GI87" s="16">
        <f>IF(ISNA(VLOOKUP(A87,'Données projet'!$A$243:$I$263,5,0)),0%,VLOOKUP(A87,'Données projet'!$A$243:$I$263,5,0)*VLOOKUP('Données projet'!$B$17,Paramètres!$A$1:$I$89,7,0))</f>
        <v>0.30099999999999999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19.616543376466289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19.616543376466289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>
        <f>VLOOKUP(A87,'Données projet'!$A$269:$I$289,2,0)</f>
        <v>200.00641025641025</v>
      </c>
      <c r="GS87" s="12">
        <f>VLOOKUP(A87,'Données projet'!$A$269:$I$289,9,0)</f>
        <v>5.5042735042735051</v>
      </c>
      <c r="GT87" s="12">
        <f t="array" ref="GT87">INDEX(GS:GS,MIN(IF(ISNUMBER(GS87:GS283),ROW(GS87:GS283),"")))</f>
        <v>5.5042735042735051</v>
      </c>
      <c r="GU87" s="12">
        <f>IF('Données projet'!$A$270&gt;35,GU86+GT87-HC86,IF(A87&lt;'Données projet'!$A$270,$GR$205^A87,IF(A87='Données projet'!$A$270,'Données projet'!$B$270,GU86+GT87-HC86)))</f>
        <v>200.00641025641016</v>
      </c>
      <c r="GV87" s="17">
        <f>GU87*VLOOKUP('Données projet'!$B$18,Paramètres!$A$1:$I$89,3,0)*VLOOKUP('Données projet'!$B$18,Paramètres!$A$1:$I$89,5,0)</f>
        <v>134.16429999999994</v>
      </c>
      <c r="GW87" s="13">
        <f t="shared" si="105"/>
        <v>34.956833882875323</v>
      </c>
      <c r="GX87" s="20">
        <f t="shared" si="82"/>
        <v>294.55264151267437</v>
      </c>
      <c r="GY87" s="59">
        <f t="shared" si="83"/>
        <v>587.88597484600768</v>
      </c>
      <c r="GZ87" s="59">
        <f ca="1">AVERAGE(OFFSET($GY$3,0,0,'Données projet'!$E$18+1,1))-AVERAGE(OFFSET($H$3,0,0,'Données projet'!$E$18+1,1))</f>
        <v>266.37807768393191</v>
      </c>
      <c r="HA87" s="59">
        <f t="shared" si="106"/>
        <v>168.52019826233425</v>
      </c>
      <c r="HB87" s="15">
        <f>IF(ISNA(VLOOKUP(A87,'Données projet'!$A$269:$I$289,3,0)),0,VLOOKUP(A87,'Données projet'!$A$269:$I$289,3,0))</f>
        <v>6</v>
      </c>
      <c r="HC87" s="15">
        <f>IF(ISNA(VLOOKUP(A87,'Données projet'!$A$269:$I$289,4,0)),0,VLOOKUP(A87,'Données projet'!$A$269:$I$289,4,0))</f>
        <v>35.083333333333329</v>
      </c>
      <c r="HD87" s="16">
        <f>IF(ISNA(VLOOKUP(A87,'Données projet'!$A$269:$I$289,5,0)),0%,VLOOKUP(A87,'Données projet'!$A$269:$I$289,5,0)*VLOOKUP('Données projet'!$B$18,Paramètres!$A$1:$I$89,7,0))</f>
        <v>0.371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16.768980628269571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84"/>
        <v>16.768980628269571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266.99999999999983</v>
      </c>
      <c r="O88" s="13">
        <f>N88*VLOOKUP('Données projet'!$B$9,Paramètres!$A$1:$I$89,3,0)*VLOOKUP('Données projet'!$B$9,Paramètres!$A$1:$I$89,5,0)</f>
        <v>233.2511999999999</v>
      </c>
      <c r="P88" s="13">
        <f t="shared" si="87"/>
        <v>56.985091661350864</v>
      </c>
      <c r="Q88" s="20">
        <f t="shared" si="54"/>
        <v>505.49487464351915</v>
      </c>
      <c r="R88" s="59">
        <f t="shared" si="55"/>
        <v>798.82820797685247</v>
      </c>
      <c r="S88" s="59">
        <f ca="1">AVERAGE(OFFSET($R$3,0,0,'Données projet'!$E$9+1,1))-AVERAGE(OFFSET($H$3,0,0,'Données projet'!$E$9+1,1))</f>
        <v>324.86930206492627</v>
      </c>
      <c r="T88" s="59">
        <f t="shared" si="88"/>
        <v>317.03005098025352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28.633548578569918</v>
      </c>
      <c r="AA88" s="21">
        <f>EXP(-LN(2)/25)*AA87+(1-EXP(-LN(2)/25))/(LN(2)/25)*Calculateur!V88*Calculateur!X88*VLOOKUP('Données projet'!$B$9,Paramètres!$A$1:$I$89,3,0)*0.475*44/12</f>
        <v>7.9616036537761437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36.595152232346059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7.4950142450142421</v>
      </c>
      <c r="AI88" s="13">
        <f>IF('Données projet'!$A$62&gt;35,AI87+AH88-AQ87,IF(A88&lt;'Données projet'!$A$62,$AF$205^A88,IF(A88='Données projet'!$A$62,'Données projet'!$B$62,AI87+AH88-AQ87)))</f>
        <v>265.87891737891761</v>
      </c>
      <c r="AJ88" s="13">
        <f>AI88*VLOOKUP('Données projet'!$B$10,Paramètres!$A$1:$I$89,3,0)*VLOOKUP('Données projet'!$B$10,Paramètres!$A$1:$I$89,5,0)</f>
        <v>253.01037777777799</v>
      </c>
      <c r="AK88" s="13">
        <f t="shared" si="89"/>
        <v>61.230118191941415</v>
      </c>
      <c r="AL88" s="20">
        <f t="shared" si="58"/>
        <v>547.30219714726127</v>
      </c>
      <c r="AM88" s="59">
        <f t="shared" si="59"/>
        <v>840.63553048059453</v>
      </c>
      <c r="AN88" s="59">
        <f ca="1">AVERAGE(OFFSET($AM$3,0,0,'Données projet'!$E$10+1,1))-AVERAGE(OFFSET($H$3,0,0,'Données projet'!$E$10+1,1))</f>
        <v>401.81944956556271</v>
      </c>
      <c r="AO88" s="59">
        <f t="shared" si="90"/>
        <v>292.20785523952651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31.209114599420673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31.209114599420673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1.7053025658242404E-13</v>
      </c>
      <c r="BE88" s="13">
        <f>BD88*VLOOKUP('Données projet'!$B$11,Paramètres!$A$1:$I$89,3,0)*VLOOKUP('Données projet'!$B$11,Paramètres!$A$1:$I$89,5,0)</f>
        <v>1.3301360013429075E-13</v>
      </c>
      <c r="BF88" s="13">
        <f t="shared" si="91"/>
        <v>1.9329766731057041E-12</v>
      </c>
      <c r="BG88" s="20">
        <f t="shared" si="61"/>
        <v>3.5982663925596575E-12</v>
      </c>
      <c r="BH88" s="59">
        <f t="shared" si="62"/>
        <v>293.3333333333369</v>
      </c>
      <c r="BI88" s="59">
        <f ca="1">AVERAGE(OFFSET($BH$3,0,0,'Données projet'!$E$11+1,1))-AVERAGE(OFFSET($H$3,0,0,'Données projet'!$E$11+1,1))</f>
        <v>288.80569134263209</v>
      </c>
      <c r="BJ88" s="59">
        <f t="shared" si="92"/>
        <v>283.48738729114024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59.099971909238988</v>
      </c>
      <c r="BQ88" s="21">
        <f>EXP(-LN(2)/25)*BQ87+(1-EXP(-LN(2)/25))/(LN(2)/25)*Calculateur!BL88*Calculateur!BN88*VLOOKUP('Données projet'!$B$11,Paramètres!$A$1:$I$89,3,0)*0.475*44/12</f>
        <v>43.77094540037001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102.870917309609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211</v>
      </c>
      <c r="BW88" s="12">
        <f>VLOOKUP(A88,'Données projet'!$A$113:$I$133,9,0)</f>
        <v>2.8</v>
      </c>
      <c r="BX88" s="12">
        <f t="array" ref="BX88">INDEX(BW:BW,MIN(IF(ISNUMBER(BW88:BW284),ROW(BW88:BW284),"")))</f>
        <v>2.8</v>
      </c>
      <c r="BY88" s="12">
        <f>IF('Données projet'!$A$114&gt;35,BY87+BX88-CG87,IF(A88&lt;'Données projet'!$A$114,$BV$205^A88,IF(A88='Données projet'!$A$114,'Données projet'!$B$114,BY87+BX88-CG87)))</f>
        <v>210.99999999999997</v>
      </c>
      <c r="BZ88" s="13">
        <f>BY88*VLOOKUP('Données projet'!$B$12,Paramètres!$A$1:$I$89,3,0)*VLOOKUP('Données projet'!$B$12,Paramètres!$A$1:$I$89,5,0)</f>
        <v>220.53719999999998</v>
      </c>
      <c r="CA88" s="13">
        <f t="shared" si="93"/>
        <v>54.23162690856141</v>
      </c>
      <c r="CB88" s="20">
        <f t="shared" si="64"/>
        <v>478.5557068657443</v>
      </c>
      <c r="CC88" s="59">
        <f t="shared" si="65"/>
        <v>771.88904019907761</v>
      </c>
      <c r="CD88" s="59">
        <f ca="1">AVERAGE(OFFSET($CC$3,0,0,'Données projet'!$E$12+1,1))-AVERAGE(OFFSET($H$3,0,0,'Données projet'!$E$12+1,1))</f>
        <v>352.22281362023102</v>
      </c>
      <c r="CE88" s="59">
        <f t="shared" si="94"/>
        <v>310.2353747925161</v>
      </c>
      <c r="CF88" s="15">
        <f>IF(ISNA(VLOOKUP(A88,'Données projet'!$A$113:$I$133,3,0)),0,VLOOKUP(A88,'Données projet'!$A$113:$I$133,3,0))</f>
        <v>14</v>
      </c>
      <c r="CG88" s="15" t="str">
        <f>IF(ISNA(VLOOKUP(A88,'Données projet'!$A$113:$I$133,4,0)),0,VLOOKUP(A88,'Données projet'!$A$113:$I$133,4,0))</f>
        <v>10</v>
      </c>
      <c r="CH88" s="16">
        <f>IF(ISNA(VLOOKUP(A88,'Données projet'!$A$113:$I$133,5,0)),0%,VLOOKUP(A88,'Données projet'!$A$113:$I$133,5,0)*VLOOKUP('Données projet'!$B$12,Paramètres!$A$1:$I$89,7,0))</f>
        <v>0.215</v>
      </c>
      <c r="CI88" s="16">
        <f>IF(ISNA(VLOOKUP(A88,'Données projet'!$A$113:$I$133,6,0)),0%,VLOOKUP(A88,'Données projet'!$A$113:$I$133,6,0)*VLOOKUP('Données projet'!$B$12,Paramètres!$A$1:$I$89,7,0))</f>
        <v>0.17200000000000001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14.297028771679605</v>
      </c>
      <c r="CL88" s="21">
        <f>EXP(-LN(2)/25)*CL87+(1-EXP(-LN(2)/25))/(LN(2)/25)*Calculateur!CG88*Calculateur!CI88*VLOOKUP('Données projet'!$B$12,Paramètres!$A$1:$I$89,3,0)*0.475*44/12</f>
        <v>16.917376358288205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31.214405129967808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5.2606837606837598</v>
      </c>
      <c r="CT88" s="12">
        <f>IF('Données projet'!$A$140&gt;35,CT87+CS88-DB87,IF(A88&lt;'Données projet'!$A$140,$CQ$205^A88,IF(A88='Données projet'!$A$140,'Données projet'!$B$140,CT87+CS88-DB87)))</f>
        <v>170.18376068376057</v>
      </c>
      <c r="CU88" s="17">
        <f>CT88*VLOOKUP('Données projet'!$B$13,Paramètres!$A$1:$I$89,3,0)*VLOOKUP('Données projet'!$B$13,Paramètres!$A$1:$I$89,5,0)</f>
        <v>153.98226666666656</v>
      </c>
      <c r="CV88" s="13">
        <f t="shared" si="95"/>
        <v>39.482185325458943</v>
      </c>
      <c r="CW88" s="20">
        <f t="shared" si="67"/>
        <v>336.95058721961857</v>
      </c>
      <c r="CX88" s="59">
        <f t="shared" si="68"/>
        <v>630.28392055295194</v>
      </c>
      <c r="CY88" s="59">
        <f ca="1">AVERAGE(OFFSET($CX$3,0,0,'Données projet'!$E$13+1,1))-AVERAGE(OFFSET($H$3,0,0,'Données projet'!$E$13+1,1))</f>
        <v>345.49688858037996</v>
      </c>
      <c r="CZ88" s="59">
        <f t="shared" si="96"/>
        <v>213.15872113755023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17.99110880152098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17.99110880152098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5.2606837606837598</v>
      </c>
      <c r="DO88" s="12">
        <f>IF('Données projet'!$A$166&gt;35,DO87+DN88-DW87,IF(A88&lt;'Données projet'!$A$166,$DL$205^A88,IF(A88='Données projet'!$A$166,'Données projet'!$B$166,DO87+DN88-DW87)))</f>
        <v>170.18376068376057</v>
      </c>
      <c r="DP88" s="17">
        <f>DO88*VLOOKUP('Données projet'!$B$14,Paramètres!$A$1:$I$89,3,0)*VLOOKUP('Données projet'!$B$14,Paramètres!$A$1:$I$89,5,0)</f>
        <v>172.56633333333323</v>
      </c>
      <c r="DQ88" s="13">
        <f t="shared" si="97"/>
        <v>43.664294704622499</v>
      </c>
      <c r="DR88" s="20">
        <f t="shared" si="70"/>
        <v>376.60167716610619</v>
      </c>
      <c r="DS88" s="59">
        <f t="shared" si="71"/>
        <v>669.9350104994395</v>
      </c>
      <c r="DT88" s="59">
        <f ca="1">AVERAGE(OFFSET($DS$3,0,0,'Données projet'!$E$14+1,1))-AVERAGE(OFFSET($H$3,0,0,'Données projet'!$E$14+1,1))</f>
        <v>382.26108489744581</v>
      </c>
      <c r="DU88" s="59">
        <f t="shared" si="98"/>
        <v>233.89423996158826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20.162449518945923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20.162449518945923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8.0242165242165289</v>
      </c>
      <c r="EJ88" s="12">
        <f>IF('Données projet'!$A$192&gt;35,EJ87+EI88-ER87,IF(A88&lt;'Données projet'!$A$192,$EG$205^A88,IF(A88='Données projet'!$A$192,'Données projet'!$B$192,EJ87+EI88-ER87)))</f>
        <v>270.36609686609665</v>
      </c>
      <c r="EK88" s="17">
        <f>EJ88*VLOOKUP('Données projet'!$B$15,Paramètres!$A$1:$I$89,3,0)*VLOOKUP('Données projet'!$B$15,Paramètres!$A$1:$I$89,5,0)</f>
        <v>227.75639999999984</v>
      </c>
      <c r="EL88" s="13">
        <f t="shared" si="99"/>
        <v>55.79728633511057</v>
      </c>
      <c r="EM88" s="20">
        <f t="shared" si="73"/>
        <v>493.85600370031733</v>
      </c>
      <c r="EN88" s="59">
        <f t="shared" si="74"/>
        <v>787.18933703365065</v>
      </c>
      <c r="EO88" s="59">
        <f ca="1">AVERAGE(OFFSET($EN$3,0,0,'Données projet'!$E$15+1,1))-AVERAGE(OFFSET($H$3,0,0,'Données projet'!$E$15+1,1))</f>
        <v>312.48716825299158</v>
      </c>
      <c r="EP88" s="59">
        <f t="shared" si="100"/>
        <v>258.68277822755357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49.418818124721888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49.418818124721888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5.2606837606837598</v>
      </c>
      <c r="FE88" s="12">
        <f>IF('Données projet'!$A$218&gt;35,FE87+FD88-FM87,IF(A88&lt;'Données projet'!$A$218,$FB$205^A88,IF(A88='Données projet'!$A$218,'Données projet'!$B$218,FE87+FD88-FM87)))</f>
        <v>170.18376068376057</v>
      </c>
      <c r="FF88" s="17">
        <f>FE88*VLOOKUP('Données projet'!$B$16,Paramètres!$A$1:$I$89,3,0)*VLOOKUP('Données projet'!$B$16,Paramètres!$A$1:$I$89,5,0)</f>
        <v>183.18579999999986</v>
      </c>
      <c r="FG88" s="13">
        <f t="shared" si="101"/>
        <v>46.030242637170218</v>
      </c>
      <c r="FH88" s="20">
        <f t="shared" si="76"/>
        <v>399.21794092640448</v>
      </c>
      <c r="FI88" s="59">
        <f t="shared" si="77"/>
        <v>692.55127425973774</v>
      </c>
      <c r="FJ88" s="59">
        <f ca="1">AVERAGE(OFFSET($FI$3,0,0,'Données projet'!$E$16+1,1))-AVERAGE(OFFSET($H$3,0,0,'Données projet'!$E$16+1,1))</f>
        <v>403.23110963096246</v>
      </c>
      <c r="FK88" s="59">
        <f t="shared" si="102"/>
        <v>245.72000393124898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21.403215643188751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21.403215643188751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5.2606837606837598</v>
      </c>
      <c r="FZ88" s="12">
        <f>IF('Données projet'!$A$244&gt;35,FZ87+FY88-GH87,IF(A88&lt;'Données projet'!$A$244,$FW$205^A88,IF(A88='Données projet'!$A$244,'Données projet'!$B$244,FZ87+FY88-GH87)))</f>
        <v>170.18376068376057</v>
      </c>
      <c r="GA88" s="17">
        <f>FZ88*VLOOKUP('Données projet'!$B$17,Paramètres!$A$1:$I$89,3,0)*VLOOKUP('Données projet'!$B$17,Paramètres!$A$1:$I$89,5,0)</f>
        <v>164.60173333333324</v>
      </c>
      <c r="GB88" s="13">
        <f t="shared" si="103"/>
        <v>41.878730144777855</v>
      </c>
      <c r="GC88" s="20">
        <f t="shared" si="79"/>
        <v>359.6201405577101</v>
      </c>
      <c r="GD88" s="59">
        <f t="shared" si="80"/>
        <v>652.95347389104336</v>
      </c>
      <c r="GE88" s="59">
        <f ca="1">AVERAGE(OFFSET($GD$3,0,0,'Données projet'!$E$17+1,1))-AVERAGE(OFFSET($H$3,0,0,'Données projet'!$E$17+1,1))</f>
        <v>336.2911850338175</v>
      </c>
      <c r="GF88" s="59">
        <f t="shared" si="104"/>
        <v>225.01415116995503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19.231874925763808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19.231874925763808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5.2606837606837598</v>
      </c>
      <c r="GU88" s="12">
        <f>IF('Données projet'!$A$270&gt;35,GU87+GT88-HC87,IF(A88&lt;'Données projet'!$A$270,$GR$205^A88,IF(A88='Données projet'!$A$270,'Données projet'!$B$270,GU87+GT88-HC87)))</f>
        <v>170.18376068376057</v>
      </c>
      <c r="GV88" s="17">
        <f>GU88*VLOOKUP('Données projet'!$B$18,Paramètres!$A$1:$I$89,3,0)*VLOOKUP('Données projet'!$B$18,Paramètres!$A$1:$I$89,5,0)</f>
        <v>114.15926666666658</v>
      </c>
      <c r="GW88" s="13">
        <f t="shared" si="105"/>
        <v>30.308813471396906</v>
      </c>
      <c r="GX88" s="20">
        <f t="shared" si="82"/>
        <v>251.6152395737939</v>
      </c>
      <c r="GY88" s="59">
        <f t="shared" si="83"/>
        <v>544.94857290712719</v>
      </c>
      <c r="GZ88" s="59">
        <f ca="1">AVERAGE(OFFSET($GY$3,0,0,'Données projet'!$E$18+1,1))-AVERAGE(OFFSET($H$3,0,0,'Données projet'!$E$18+1,1))</f>
        <v>266.37807768393191</v>
      </c>
      <c r="HA88" s="59">
        <f t="shared" si="106"/>
        <v>168.52019826233425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16.440151146217449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84"/>
        <v>16.440151146217449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266.99999999999983</v>
      </c>
      <c r="O89" s="13">
        <f>N89*VLOOKUP('Données projet'!$B$9,Paramètres!$A$1:$I$89,3,0)*VLOOKUP('Données projet'!$B$9,Paramètres!$A$1:$I$89,5,0)</f>
        <v>233.2511999999999</v>
      </c>
      <c r="P89" s="13">
        <f t="shared" si="87"/>
        <v>56.985091661350864</v>
      </c>
      <c r="Q89" s="20">
        <f t="shared" si="54"/>
        <v>505.49487464351915</v>
      </c>
      <c r="R89" s="59">
        <f t="shared" si="55"/>
        <v>798.82820797685247</v>
      </c>
      <c r="S89" s="59">
        <f ca="1">AVERAGE(OFFSET($R$3,0,0,'Données projet'!$E$9+1,1))-AVERAGE(OFFSET($H$3,0,0,'Données projet'!$E$9+1,1))</f>
        <v>324.86930206492627</v>
      </c>
      <c r="T89" s="59">
        <f t="shared" si="88"/>
        <v>317.03005098025352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28.072062155684296</v>
      </c>
      <c r="AA89" s="21">
        <f>EXP(-LN(2)/25)*AA88+(1-EXP(-LN(2)/25))/(LN(2)/25)*Calculateur!V89*Calculateur!X89*VLOOKUP('Données projet'!$B$9,Paramètres!$A$1:$I$89,3,0)*0.475*44/12</f>
        <v>7.7438931831810951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35.815955338865393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7.4950142450142421</v>
      </c>
      <c r="AI89" s="13">
        <f>IF('Données projet'!$A$62&gt;35,AI88+AH89-AQ88,IF(A89&lt;'Données projet'!$A$62,$AF$205^A89,IF(A89='Données projet'!$A$62,'Données projet'!$B$62,AI88+AH89-AQ88)))</f>
        <v>273.37393162393187</v>
      </c>
      <c r="AJ89" s="13">
        <f>AI89*VLOOKUP('Données projet'!$B$10,Paramètres!$A$1:$I$89,3,0)*VLOOKUP('Données projet'!$B$10,Paramètres!$A$1:$I$89,5,0)</f>
        <v>260.14263333333355</v>
      </c>
      <c r="AK89" s="13">
        <f t="shared" si="89"/>
        <v>62.75278064835819</v>
      </c>
      <c r="AL89" s="20">
        <f t="shared" si="58"/>
        <v>562.37617935144647</v>
      </c>
      <c r="AM89" s="59">
        <f t="shared" si="59"/>
        <v>855.70951268477984</v>
      </c>
      <c r="AN89" s="59">
        <f ca="1">AVERAGE(OFFSET($AM$3,0,0,'Données projet'!$E$10+1,1))-AVERAGE(OFFSET($H$3,0,0,'Données projet'!$E$10+1,1))</f>
        <v>401.81944956556271</v>
      </c>
      <c r="AO89" s="59">
        <f t="shared" si="90"/>
        <v>292.20785523952651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30.597122897806322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30.597122897806322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1.7053025658242404E-13</v>
      </c>
      <c r="BE89" s="13">
        <f>BD89*VLOOKUP('Données projet'!$B$11,Paramètres!$A$1:$I$89,3,0)*VLOOKUP('Données projet'!$B$11,Paramètres!$A$1:$I$89,5,0)</f>
        <v>1.3301360013429075E-13</v>
      </c>
      <c r="BF89" s="13">
        <f t="shared" si="91"/>
        <v>1.9329766731057041E-12</v>
      </c>
      <c r="BG89" s="20">
        <f t="shared" si="61"/>
        <v>3.5982663925596575E-12</v>
      </c>
      <c r="BH89" s="59">
        <f t="shared" si="62"/>
        <v>293.3333333333369</v>
      </c>
      <c r="BI89" s="59">
        <f ca="1">AVERAGE(OFFSET($BH$3,0,0,'Données projet'!$E$11+1,1))-AVERAGE(OFFSET($H$3,0,0,'Données projet'!$E$11+1,1))</f>
        <v>288.80569134263209</v>
      </c>
      <c r="BJ89" s="59">
        <f t="shared" si="92"/>
        <v>283.48738729114024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57.941057507522288</v>
      </c>
      <c r="BQ89" s="21">
        <f>EXP(-LN(2)/25)*BQ88+(1-EXP(-LN(2)/25))/(LN(2)/25)*Calculateur!BL89*Calculateur!BN89*VLOOKUP('Données projet'!$B$11,Paramètres!$A$1:$I$89,3,0)*0.475*44/12</f>
        <v>42.574026596582911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100.5150841041052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2.8</v>
      </c>
      <c r="BY89" s="12">
        <f>IF('Données projet'!$A$114&gt;35,BY88+BX89-CG88,IF(A89&lt;'Données projet'!$A$114,$BV$205^A89,IF(A89='Données projet'!$A$114,'Données projet'!$B$114,BY88+BX89-CG88)))</f>
        <v>203.79999999999998</v>
      </c>
      <c r="BZ89" s="13">
        <f>BY89*VLOOKUP('Données projet'!$B$12,Paramètres!$A$1:$I$89,3,0)*VLOOKUP('Données projet'!$B$12,Paramètres!$A$1:$I$89,5,0)</f>
        <v>213.01175999999998</v>
      </c>
      <c r="CA89" s="13">
        <f t="shared" si="93"/>
        <v>52.593184597040342</v>
      </c>
      <c r="CB89" s="20">
        <f t="shared" si="64"/>
        <v>462.59527850651193</v>
      </c>
      <c r="CC89" s="59">
        <f t="shared" si="65"/>
        <v>755.92861183984519</v>
      </c>
      <c r="CD89" s="59">
        <f ca="1">AVERAGE(OFFSET($CC$3,0,0,'Données projet'!$E$12+1,1))-AVERAGE(OFFSET($H$3,0,0,'Données projet'!$E$12+1,1))</f>
        <v>352.22281362023102</v>
      </c>
      <c r="CE89" s="59">
        <f t="shared" si="94"/>
        <v>310.2353747925161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14.016672757793458</v>
      </c>
      <c r="CL89" s="21">
        <f>EXP(-LN(2)/25)*CL88+(1-EXP(-LN(2)/25))/(LN(2)/25)*Calculateur!CG89*Calculateur!CI89*VLOOKUP('Données projet'!$B$12,Paramètres!$A$1:$I$89,3,0)*0.475*44/12</f>
        <v>16.454769812124656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30.471442569918114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5.2606837606837598</v>
      </c>
      <c r="CT89" s="12">
        <f>IF('Données projet'!$A$140&gt;35,CT88+CS89-DB88,IF(A89&lt;'Données projet'!$A$140,$CQ$205^A89,IF(A89='Données projet'!$A$140,'Données projet'!$B$140,CT88+CS89-DB88)))</f>
        <v>175.44444444444431</v>
      </c>
      <c r="CU89" s="17">
        <f>CT89*VLOOKUP('Données projet'!$B$13,Paramètres!$A$1:$I$89,3,0)*VLOOKUP('Données projet'!$B$13,Paramètres!$A$1:$I$89,5,0)</f>
        <v>158.74213333333321</v>
      </c>
      <c r="CV89" s="13">
        <f t="shared" si="95"/>
        <v>40.558669873865824</v>
      </c>
      <c r="CW89" s="20">
        <f t="shared" si="67"/>
        <v>347.11556558587159</v>
      </c>
      <c r="CX89" s="59">
        <f t="shared" si="68"/>
        <v>640.44889891920491</v>
      </c>
      <c r="CY89" s="59">
        <f ca="1">AVERAGE(OFFSET($CX$3,0,0,'Données projet'!$E$13+1,1))-AVERAGE(OFFSET($H$3,0,0,'Données projet'!$E$13+1,1))</f>
        <v>345.49688858037996</v>
      </c>
      <c r="CZ89" s="59">
        <f t="shared" si="96"/>
        <v>213.15872113755023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17.638314131415981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17.638314131415981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5.2606837606837598</v>
      </c>
      <c r="DO89" s="12">
        <f>IF('Données projet'!$A$166&gt;35,DO88+DN89-DW88,IF(A89&lt;'Données projet'!$A$166,$DL$205^A89,IF(A89='Données projet'!$A$166,'Données projet'!$B$166,DO88+DN89-DW88)))</f>
        <v>175.44444444444431</v>
      </c>
      <c r="DP89" s="17">
        <f>DO89*VLOOKUP('Données projet'!$B$14,Paramètres!$A$1:$I$89,3,0)*VLOOKUP('Données projet'!$B$14,Paramètres!$A$1:$I$89,5,0)</f>
        <v>177.90066666666655</v>
      </c>
      <c r="DQ89" s="13">
        <f t="shared" si="97"/>
        <v>44.854804758185892</v>
      </c>
      <c r="DR89" s="20">
        <f t="shared" si="70"/>
        <v>387.96577939828467</v>
      </c>
      <c r="DS89" s="59">
        <f t="shared" si="71"/>
        <v>681.29911273161792</v>
      </c>
      <c r="DT89" s="59">
        <f ca="1">AVERAGE(OFFSET($DS$3,0,0,'Données projet'!$E$14+1,1))-AVERAGE(OFFSET($H$3,0,0,'Données projet'!$E$14+1,1))</f>
        <v>382.26108489744581</v>
      </c>
      <c r="DU89" s="59">
        <f t="shared" si="98"/>
        <v>233.89423996158826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19.767076181759286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19.767076181759286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8.0242165242165289</v>
      </c>
      <c r="EJ89" s="12">
        <f>IF('Données projet'!$A$192&gt;35,EJ88+EI89-ER88,IF(A89&lt;'Données projet'!$A$192,$EG$205^A89,IF(A89='Données projet'!$A$192,'Données projet'!$B$192,EJ88+EI89-ER88)))</f>
        <v>278.39031339031317</v>
      </c>
      <c r="EK89" s="17">
        <f>EJ89*VLOOKUP('Données projet'!$B$15,Paramètres!$A$1:$I$89,3,0)*VLOOKUP('Données projet'!$B$15,Paramètres!$A$1:$I$89,5,0)</f>
        <v>234.51599999999982</v>
      </c>
      <c r="EL89" s="13">
        <f t="shared" si="99"/>
        <v>57.258038535188888</v>
      </c>
      <c r="EM89" s="20">
        <f t="shared" si="73"/>
        <v>508.17311711545364</v>
      </c>
      <c r="EN89" s="59">
        <f t="shared" si="74"/>
        <v>801.50645044878695</v>
      </c>
      <c r="EO89" s="59">
        <f ca="1">AVERAGE(OFFSET($EN$3,0,0,'Données projet'!$E$15+1,1))-AVERAGE(OFFSET($H$3,0,0,'Données projet'!$E$15+1,1))</f>
        <v>312.48716825299158</v>
      </c>
      <c r="EP89" s="59">
        <f t="shared" si="100"/>
        <v>258.68277822755357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48.449745243798823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48.449745243798823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5.2606837606837598</v>
      </c>
      <c r="FE89" s="12">
        <f>IF('Données projet'!$A$218&gt;35,FE88+FD89-FM88,IF(A89&lt;'Données projet'!$A$218,$FB$205^A89,IF(A89='Données projet'!$A$218,'Données projet'!$B$218,FE88+FD89-FM88)))</f>
        <v>175.44444444444431</v>
      </c>
      <c r="FF89" s="17">
        <f>FE89*VLOOKUP('Données projet'!$B$16,Paramètres!$A$1:$I$89,3,0)*VLOOKUP('Données projet'!$B$16,Paramètres!$A$1:$I$89,5,0)</f>
        <v>188.84839999999986</v>
      </c>
      <c r="FG89" s="13">
        <f t="shared" si="101"/>
        <v>47.285260426836061</v>
      </c>
      <c r="FH89" s="20">
        <f t="shared" si="76"/>
        <v>411.2661252434059</v>
      </c>
      <c r="FI89" s="59">
        <f t="shared" si="77"/>
        <v>704.59945857673915</v>
      </c>
      <c r="FJ89" s="59">
        <f ca="1">AVERAGE(OFFSET($FI$3,0,0,'Données projet'!$E$16+1,1))-AVERAGE(OFFSET($H$3,0,0,'Données projet'!$E$16+1,1))</f>
        <v>403.23110963096246</v>
      </c>
      <c r="FK89" s="59">
        <f t="shared" si="102"/>
        <v>245.72000393124898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20.983511639098321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20.983511639098321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5.2606837606837598</v>
      </c>
      <c r="FZ89" s="12">
        <f>IF('Données projet'!$A$244&gt;35,FZ88+FY89-GH88,IF(A89&lt;'Données projet'!$A$244,$FW$205^A89,IF(A89='Données projet'!$A$244,'Données projet'!$B$244,FZ88+FY89-GH88)))</f>
        <v>175.44444444444431</v>
      </c>
      <c r="GA89" s="17">
        <f>FZ89*VLOOKUP('Données projet'!$B$17,Paramètres!$A$1:$I$89,3,0)*VLOOKUP('Données projet'!$B$17,Paramètres!$A$1:$I$89,5,0)</f>
        <v>169.68986666666655</v>
      </c>
      <c r="GB89" s="13">
        <f t="shared" si="103"/>
        <v>43.020556655548141</v>
      </c>
      <c r="GC89" s="20">
        <f t="shared" si="79"/>
        <v>370.47065395285722</v>
      </c>
      <c r="GD89" s="59">
        <f t="shared" si="80"/>
        <v>663.80398728619048</v>
      </c>
      <c r="GE89" s="59">
        <f ca="1">AVERAGE(OFFSET($GD$3,0,0,'Données projet'!$E$17+1,1))-AVERAGE(OFFSET($H$3,0,0,'Données projet'!$E$17+1,1))</f>
        <v>336.2911850338175</v>
      </c>
      <c r="GF89" s="59">
        <f t="shared" si="104"/>
        <v>225.01415116995503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18.854749588755016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18.854749588755016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5.2606837606837598</v>
      </c>
      <c r="GU89" s="12">
        <f>IF('Données projet'!$A$270&gt;35,GU88+GT89-HC88,IF(A89&lt;'Données projet'!$A$270,$GR$205^A89,IF(A89='Données projet'!$A$270,'Données projet'!$B$270,GU88+GT89-HC88)))</f>
        <v>175.44444444444431</v>
      </c>
      <c r="GV89" s="17">
        <f>GU89*VLOOKUP('Données projet'!$B$18,Paramètres!$A$1:$I$89,3,0)*VLOOKUP('Données projet'!$B$18,Paramètres!$A$1:$I$89,5,0)</f>
        <v>117.68813333333325</v>
      </c>
      <c r="GW89" s="13">
        <f t="shared" si="105"/>
        <v>31.135185393658958</v>
      </c>
      <c r="GX89" s="20">
        <f t="shared" si="82"/>
        <v>259.20061344951142</v>
      </c>
      <c r="GY89" s="59">
        <f t="shared" si="83"/>
        <v>552.53394678284474</v>
      </c>
      <c r="GZ89" s="59">
        <f ca="1">AVERAGE(OFFSET($GY$3,0,0,'Données projet'!$E$18+1,1))-AVERAGE(OFFSET($H$3,0,0,'Données projet'!$E$18+1,1))</f>
        <v>266.37807768393191</v>
      </c>
      <c r="HA89" s="59">
        <f t="shared" si="106"/>
        <v>168.52019826233425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16.117769809742189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84"/>
        <v>16.117769809742189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266.99999999999983</v>
      </c>
      <c r="O90" s="13">
        <f>N90*VLOOKUP('Données projet'!$B$9,Paramètres!$A$1:$I$89,3,0)*VLOOKUP('Données projet'!$B$9,Paramètres!$A$1:$I$89,5,0)</f>
        <v>233.2511999999999</v>
      </c>
      <c r="P90" s="13">
        <f t="shared" si="87"/>
        <v>56.985091661350864</v>
      </c>
      <c r="Q90" s="20">
        <f t="shared" si="54"/>
        <v>505.49487464351915</v>
      </c>
      <c r="R90" s="59">
        <f t="shared" si="55"/>
        <v>798.82820797685247</v>
      </c>
      <c r="S90" s="59">
        <f ca="1">AVERAGE(OFFSET($R$3,0,0,'Données projet'!$E$9+1,1))-AVERAGE(OFFSET($H$3,0,0,'Données projet'!$E$9+1,1))</f>
        <v>324.86930206492627</v>
      </c>
      <c r="T90" s="59">
        <f t="shared" si="88"/>
        <v>317.03005098025352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27.521586139078558</v>
      </c>
      <c r="AA90" s="21">
        <f>EXP(-LN(2)/25)*AA89+(1-EXP(-LN(2)/25))/(LN(2)/25)*Calculateur!V90*Calculateur!X90*VLOOKUP('Données projet'!$B$9,Paramètres!$A$1:$I$89,3,0)*0.475*44/12</f>
        <v>7.5321360168533644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35.053722155931922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7.4950142450142421</v>
      </c>
      <c r="AI90" s="13">
        <f>IF('Données projet'!$A$62&gt;35,AI89+AH90-AQ89,IF(A90&lt;'Données projet'!$A$62,$AF$205^A90,IF(A90='Données projet'!$A$62,'Données projet'!$B$62,AI89+AH90-AQ89)))</f>
        <v>280.86894586894613</v>
      </c>
      <c r="AJ90" s="13">
        <f>AI90*VLOOKUP('Données projet'!$B$10,Paramètres!$A$1:$I$89,3,0)*VLOOKUP('Données projet'!$B$10,Paramètres!$A$1:$I$89,5,0)</f>
        <v>267.27488888888911</v>
      </c>
      <c r="AK90" s="13">
        <f t="shared" si="89"/>
        <v>64.270590927247156</v>
      </c>
      <c r="AL90" s="20">
        <f t="shared" si="58"/>
        <v>577.44171067977061</v>
      </c>
      <c r="AM90" s="59">
        <f t="shared" si="59"/>
        <v>870.77504401310398</v>
      </c>
      <c r="AN90" s="59">
        <f ca="1">AVERAGE(OFFSET($AM$3,0,0,'Données projet'!$E$10+1,1))-AVERAGE(OFFSET($H$3,0,0,'Données projet'!$E$10+1,1))</f>
        <v>401.81944956556271</v>
      </c>
      <c r="AO90" s="59">
        <f t="shared" si="90"/>
        <v>292.20785523952651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29.997131980182548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29.997131980182548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1.7053025658242404E-13</v>
      </c>
      <c r="BE90" s="13">
        <f>BD90*VLOOKUP('Données projet'!$B$11,Paramètres!$A$1:$I$89,3,0)*VLOOKUP('Données projet'!$B$11,Paramètres!$A$1:$I$89,5,0)</f>
        <v>1.3301360013429075E-13</v>
      </c>
      <c r="BF90" s="13">
        <f t="shared" si="91"/>
        <v>1.9329766731057041E-12</v>
      </c>
      <c r="BG90" s="20">
        <f t="shared" si="61"/>
        <v>3.5982663925596575E-12</v>
      </c>
      <c r="BH90" s="59">
        <f t="shared" si="62"/>
        <v>293.3333333333369</v>
      </c>
      <c r="BI90" s="59">
        <f ca="1">AVERAGE(OFFSET($BH$3,0,0,'Données projet'!$E$11+1,1))-AVERAGE(OFFSET($H$3,0,0,'Données projet'!$E$11+1,1))</f>
        <v>288.80569134263209</v>
      </c>
      <c r="BJ90" s="59">
        <f t="shared" si="92"/>
        <v>283.48738729114024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56.804868710355265</v>
      </c>
      <c r="BQ90" s="21">
        <f>EXP(-LN(2)/25)*BQ89+(1-EXP(-LN(2)/25))/(LN(2)/25)*Calculateur!BL90*Calculateur!BN90*VLOOKUP('Données projet'!$B$11,Paramètres!$A$1:$I$89,3,0)*0.475*44/12</f>
        <v>41.409837600428595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98.214706310783868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2.8</v>
      </c>
      <c r="BY90" s="12">
        <f>IF('Données projet'!$A$114&gt;35,BY89+BX90-CG89,IF(A90&lt;'Données projet'!$A$114,$BV$205^A90,IF(A90='Données projet'!$A$114,'Données projet'!$B$114,BY89+BX90-CG89)))</f>
        <v>206.6</v>
      </c>
      <c r="BZ90" s="13">
        <f>BY90*VLOOKUP('Données projet'!$B$12,Paramètres!$A$1:$I$89,3,0)*VLOOKUP('Données projet'!$B$12,Paramètres!$A$1:$I$89,5,0)</f>
        <v>215.93832</v>
      </c>
      <c r="CA90" s="13">
        <f t="shared" si="93"/>
        <v>53.231144506492122</v>
      </c>
      <c r="CB90" s="20">
        <f t="shared" si="64"/>
        <v>468.80348401547377</v>
      </c>
      <c r="CC90" s="59">
        <f t="shared" si="65"/>
        <v>762.13681734880709</v>
      </c>
      <c r="CD90" s="59">
        <f ca="1">AVERAGE(OFFSET($CC$3,0,0,'Données projet'!$E$12+1,1))-AVERAGE(OFFSET($H$3,0,0,'Données projet'!$E$12+1,1))</f>
        <v>352.22281362023102</v>
      </c>
      <c r="CE90" s="59">
        <f t="shared" si="94"/>
        <v>310.2353747925161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13.741814354339335</v>
      </c>
      <c r="CL90" s="21">
        <f>EXP(-LN(2)/25)*CL89+(1-EXP(-LN(2)/25))/(LN(2)/25)*Calculateur!CG90*Calculateur!CI90*VLOOKUP('Données projet'!$B$12,Paramètres!$A$1:$I$89,3,0)*0.475*44/12</f>
        <v>16.004813266293372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29.746627620632708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5.2606837606837598</v>
      </c>
      <c r="CT90" s="12">
        <f>IF('Données projet'!$A$140&gt;35,CT89+CS90-DB89,IF(A90&lt;'Données projet'!$A$140,$CQ$205^A90,IF(A90='Données projet'!$A$140,'Données projet'!$B$140,CT89+CS90-DB89)))</f>
        <v>180.70512820512806</v>
      </c>
      <c r="CU90" s="17">
        <f>CT90*VLOOKUP('Données projet'!$B$13,Paramètres!$A$1:$I$89,3,0)*VLOOKUP('Données projet'!$B$13,Paramètres!$A$1:$I$89,5,0)</f>
        <v>163.50199999999987</v>
      </c>
      <c r="CV90" s="13">
        <f t="shared" si="95"/>
        <v>41.631403185766587</v>
      </c>
      <c r="CW90" s="20">
        <f t="shared" si="67"/>
        <v>357.27401054854323</v>
      </c>
      <c r="CX90" s="59">
        <f t="shared" si="68"/>
        <v>650.60734388187655</v>
      </c>
      <c r="CY90" s="59">
        <f ca="1">AVERAGE(OFFSET($CX$3,0,0,'Données projet'!$E$13+1,1))-AVERAGE(OFFSET($H$3,0,0,'Données projet'!$E$13+1,1))</f>
        <v>345.49688858037996</v>
      </c>
      <c r="CZ90" s="59">
        <f t="shared" si="96"/>
        <v>213.15872113755023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17.292437549608241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17.292437549608241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5.2606837606837598</v>
      </c>
      <c r="DO90" s="12">
        <f>IF('Données projet'!$A$166&gt;35,DO89+DN90-DW89,IF(A90&lt;'Données projet'!$A$166,$DL$205^A90,IF(A90='Données projet'!$A$166,'Données projet'!$B$166,DO89+DN90-DW89)))</f>
        <v>180.70512820512806</v>
      </c>
      <c r="DP90" s="17">
        <f>DO90*VLOOKUP('Données projet'!$B$14,Paramètres!$A$1:$I$89,3,0)*VLOOKUP('Données projet'!$B$14,Paramètres!$A$1:$I$89,5,0)</f>
        <v>183.23499999999987</v>
      </c>
      <c r="DQ90" s="13">
        <f t="shared" si="97"/>
        <v>46.041166229421272</v>
      </c>
      <c r="DR90" s="20">
        <f t="shared" si="70"/>
        <v>399.32265618290847</v>
      </c>
      <c r="DS90" s="59">
        <f t="shared" si="71"/>
        <v>692.65598951624179</v>
      </c>
      <c r="DT90" s="59">
        <f ca="1">AVERAGE(OFFSET($DS$3,0,0,'Données projet'!$E$14+1,1))-AVERAGE(OFFSET($H$3,0,0,'Données projet'!$E$14+1,1))</f>
        <v>382.26108489744581</v>
      </c>
      <c r="DU90" s="59">
        <f t="shared" si="98"/>
        <v>233.89423996158826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19.379455874560954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19.379455874560954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8.0242165242165289</v>
      </c>
      <c r="EJ90" s="12">
        <f>IF('Données projet'!$A$192&gt;35,EJ89+EI90-ER89,IF(A90&lt;'Données projet'!$A$192,$EG$205^A90,IF(A90='Données projet'!$A$192,'Données projet'!$B$192,EJ89+EI90-ER89)))</f>
        <v>286.41452991452968</v>
      </c>
      <c r="EK90" s="17">
        <f>EJ90*VLOOKUP('Données projet'!$B$15,Paramètres!$A$1:$I$89,3,0)*VLOOKUP('Données projet'!$B$15,Paramètres!$A$1:$I$89,5,0)</f>
        <v>241.27559999999983</v>
      </c>
      <c r="EL90" s="13">
        <f t="shared" si="99"/>
        <v>58.71389730668561</v>
      </c>
      <c r="EM90" s="20">
        <f t="shared" si="73"/>
        <v>522.48170780914381</v>
      </c>
      <c r="EN90" s="59">
        <f t="shared" si="74"/>
        <v>815.81504114247718</v>
      </c>
      <c r="EO90" s="59">
        <f ca="1">AVERAGE(OFFSET($EN$3,0,0,'Données projet'!$E$15+1,1))-AVERAGE(OFFSET($H$3,0,0,'Données projet'!$E$15+1,1))</f>
        <v>312.48716825299158</v>
      </c>
      <c r="EP90" s="59">
        <f t="shared" si="100"/>
        <v>258.68277822755357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47.499675290994567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47.499675290994567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5.2606837606837598</v>
      </c>
      <c r="FE90" s="12">
        <f>IF('Données projet'!$A$218&gt;35,FE89+FD90-FM89,IF(A90&lt;'Données projet'!$A$218,$FB$205^A90,IF(A90='Données projet'!$A$218,'Données projet'!$B$218,FE89+FD90-FM89)))</f>
        <v>180.70512820512806</v>
      </c>
      <c r="FF90" s="17">
        <f>FE90*VLOOKUP('Données projet'!$B$16,Paramètres!$A$1:$I$89,3,0)*VLOOKUP('Données projet'!$B$16,Paramètres!$A$1:$I$89,5,0)</f>
        <v>194.51099999999983</v>
      </c>
      <c r="FG90" s="13">
        <f t="shared" si="101"/>
        <v>48.535904843418692</v>
      </c>
      <c r="FH90" s="20">
        <f t="shared" si="76"/>
        <v>423.30669260228728</v>
      </c>
      <c r="FI90" s="59">
        <f t="shared" si="77"/>
        <v>716.64002593562054</v>
      </c>
      <c r="FJ90" s="59">
        <f ca="1">AVERAGE(OFFSET($FI$3,0,0,'Données projet'!$E$16+1,1))-AVERAGE(OFFSET($H$3,0,0,'Données projet'!$E$16+1,1))</f>
        <v>403.23110963096246</v>
      </c>
      <c r="FK90" s="59">
        <f t="shared" si="102"/>
        <v>245.72000393124898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20.572037774533939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20.572037774533939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5.2606837606837598</v>
      </c>
      <c r="FZ90" s="12">
        <f>IF('Données projet'!$A$244&gt;35,FZ89+FY90-GH89,IF(A90&lt;'Données projet'!$A$244,$FW$205^A90,IF(A90='Données projet'!$A$244,'Données projet'!$B$244,FZ89+FY90-GH89)))</f>
        <v>180.70512820512806</v>
      </c>
      <c r="GA90" s="17">
        <f>FZ90*VLOOKUP('Données projet'!$B$17,Paramètres!$A$1:$I$89,3,0)*VLOOKUP('Données projet'!$B$17,Paramètres!$A$1:$I$89,5,0)</f>
        <v>174.77799999999988</v>
      </c>
      <c r="GB90" s="13">
        <f t="shared" si="103"/>
        <v>44.158404232020459</v>
      </c>
      <c r="GC90" s="20">
        <f t="shared" si="79"/>
        <v>381.31423737076875</v>
      </c>
      <c r="GD90" s="59">
        <f t="shared" si="80"/>
        <v>674.64757070410201</v>
      </c>
      <c r="GE90" s="59">
        <f ca="1">AVERAGE(OFFSET($GD$3,0,0,'Données projet'!$E$17+1,1))-AVERAGE(OFFSET($H$3,0,0,'Données projet'!$E$17+1,1))</f>
        <v>336.2911850338175</v>
      </c>
      <c r="GF90" s="59">
        <f t="shared" si="104"/>
        <v>225.01415116995503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18.485019449581223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18.485019449581223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5.2606837606837598</v>
      </c>
      <c r="GU90" s="12">
        <f>IF('Données projet'!$A$270&gt;35,GU89+GT90-HC89,IF(A90&lt;'Données projet'!$A$270,$GR$205^A90,IF(A90='Données projet'!$A$270,'Données projet'!$B$270,GU89+GT90-HC89)))</f>
        <v>180.70512820512806</v>
      </c>
      <c r="GV90" s="17">
        <f>GU90*VLOOKUP('Données projet'!$B$18,Paramètres!$A$1:$I$89,3,0)*VLOOKUP('Données projet'!$B$18,Paramètres!$A$1:$I$89,5,0)</f>
        <v>121.21699999999991</v>
      </c>
      <c r="GW90" s="13">
        <f t="shared" si="105"/>
        <v>31.958677649392531</v>
      </c>
      <c r="GX90" s="20">
        <f t="shared" si="82"/>
        <v>266.78097190602517</v>
      </c>
      <c r="GY90" s="59">
        <f t="shared" si="83"/>
        <v>560.11430523935849</v>
      </c>
      <c r="GZ90" s="59">
        <f ca="1">AVERAGE(OFFSET($GY$3,0,0,'Données projet'!$E$18+1,1))-AVERAGE(OFFSET($H$3,0,0,'Données projet'!$E$18+1,1))</f>
        <v>266.37807768393191</v>
      </c>
      <c r="HA90" s="59">
        <f t="shared" si="106"/>
        <v>168.52019826233425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15.801710174642011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84"/>
        <v>15.801710174642011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266.99999999999983</v>
      </c>
      <c r="O91" s="13">
        <f>N91*VLOOKUP('Données projet'!$B$9,Paramètres!$A$1:$I$89,3,0)*VLOOKUP('Données projet'!$B$9,Paramètres!$A$1:$I$89,5,0)</f>
        <v>233.2511999999999</v>
      </c>
      <c r="P91" s="13">
        <f t="shared" si="87"/>
        <v>56.985091661350864</v>
      </c>
      <c r="Q91" s="20">
        <f t="shared" si="54"/>
        <v>505.49487464351915</v>
      </c>
      <c r="R91" s="59">
        <f t="shared" si="55"/>
        <v>798.82820797685247</v>
      </c>
      <c r="S91" s="59">
        <f ca="1">AVERAGE(OFFSET($R$3,0,0,'Données projet'!$E$9+1,1))-AVERAGE(OFFSET($H$3,0,0,'Données projet'!$E$9+1,1))</f>
        <v>324.86930206492627</v>
      </c>
      <c r="T91" s="59">
        <f t="shared" si="88"/>
        <v>317.03005098025352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26.981904621401242</v>
      </c>
      <c r="AA91" s="21">
        <f>EXP(-LN(2)/25)*AA90+(1-EXP(-LN(2)/25))/(LN(2)/25)*Calculateur!V91*Calculateur!X91*VLOOKUP('Données projet'!$B$9,Paramètres!$A$1:$I$89,3,0)*0.475*44/12</f>
        <v>7.3261693613746912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34.30807398277593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7.4950142450142421</v>
      </c>
      <c r="AI91" s="13">
        <f>IF('Données projet'!$A$62&gt;35,AI90+AH91-AQ90,IF(A91&lt;'Données projet'!$A$62,$AF$205^A91,IF(A91='Données projet'!$A$62,'Données projet'!$B$62,AI90+AH91-AQ90)))</f>
        <v>288.36396011396039</v>
      </c>
      <c r="AJ91" s="13">
        <f>AI91*VLOOKUP('Données projet'!$B$10,Paramètres!$A$1:$I$89,3,0)*VLOOKUP('Données projet'!$B$10,Paramètres!$A$1:$I$89,5,0)</f>
        <v>274.40714444444473</v>
      </c>
      <c r="AK91" s="13">
        <f t="shared" si="89"/>
        <v>65.78369339140977</v>
      </c>
      <c r="AL91" s="20">
        <f t="shared" si="58"/>
        <v>592.49904256411321</v>
      </c>
      <c r="AM91" s="59">
        <f t="shared" si="59"/>
        <v>885.83237589744658</v>
      </c>
      <c r="AN91" s="59">
        <f ca="1">AVERAGE(OFFSET($AM$3,0,0,'Données projet'!$E$10+1,1))-AVERAGE(OFFSET($H$3,0,0,'Données projet'!$E$10+1,1))</f>
        <v>401.81944956556271</v>
      </c>
      <c r="AO91" s="59">
        <f t="shared" si="90"/>
        <v>292.20785523952651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29.408906518495051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29.408906518495051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1.7053025658242404E-13</v>
      </c>
      <c r="BE91" s="13">
        <f>BD91*VLOOKUP('Données projet'!$B$11,Paramètres!$A$1:$I$89,3,0)*VLOOKUP('Données projet'!$B$11,Paramètres!$A$1:$I$89,5,0)</f>
        <v>1.3301360013429075E-13</v>
      </c>
      <c r="BF91" s="13">
        <f t="shared" si="91"/>
        <v>1.9329766731057041E-12</v>
      </c>
      <c r="BG91" s="20">
        <f t="shared" si="61"/>
        <v>3.5982663925596575E-12</v>
      </c>
      <c r="BH91" s="59">
        <f t="shared" si="62"/>
        <v>293.3333333333369</v>
      </c>
      <c r="BI91" s="59">
        <f ca="1">AVERAGE(OFFSET($BH$3,0,0,'Données projet'!$E$11+1,1))-AVERAGE(OFFSET($H$3,0,0,'Données projet'!$E$11+1,1))</f>
        <v>288.80569134263209</v>
      </c>
      <c r="BJ91" s="59">
        <f t="shared" si="92"/>
        <v>283.48738729114024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55.690959882493949</v>
      </c>
      <c r="BQ91" s="21">
        <f>EXP(-LN(2)/25)*BQ90+(1-EXP(-LN(2)/25))/(LN(2)/25)*Calculateur!BL91*Calculateur!BN91*VLOOKUP('Données projet'!$B$11,Paramètres!$A$1:$I$89,3,0)*0.475*44/12</f>
        <v>40.277483413596158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95.968443296090101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2.8</v>
      </c>
      <c r="BY91" s="12">
        <f>IF('Données projet'!$A$114&gt;35,BY90+BX91-CG90,IF(A91&lt;'Données projet'!$A$114,$BV$205^A91,IF(A91='Données projet'!$A$114,'Données projet'!$B$114,BY90+BX91-CG90)))</f>
        <v>209.4</v>
      </c>
      <c r="BZ91" s="13">
        <f>BY91*VLOOKUP('Données projet'!$B$12,Paramètres!$A$1:$I$89,3,0)*VLOOKUP('Données projet'!$B$12,Paramètres!$A$1:$I$89,5,0)</f>
        <v>218.86488</v>
      </c>
      <c r="CA91" s="13">
        <f t="shared" si="93"/>
        <v>53.868098768794098</v>
      </c>
      <c r="CB91" s="20">
        <f t="shared" si="64"/>
        <v>475.00993802231642</v>
      </c>
      <c r="CC91" s="59">
        <f t="shared" si="65"/>
        <v>768.34327135564968</v>
      </c>
      <c r="CD91" s="59">
        <f ca="1">AVERAGE(OFFSET($CC$3,0,0,'Données projet'!$E$12+1,1))-AVERAGE(OFFSET($H$3,0,0,'Données projet'!$E$12+1,1))</f>
        <v>352.22281362023102</v>
      </c>
      <c r="CE91" s="59">
        <f t="shared" si="94"/>
        <v>310.2353747925161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13.472345756529874</v>
      </c>
      <c r="CL91" s="21">
        <f>EXP(-LN(2)/25)*CL90+(1-EXP(-LN(2)/25))/(LN(2)/25)*Calculateur!CG91*Calculateur!CI91*VLOOKUP('Données projet'!$B$12,Paramètres!$A$1:$I$89,3,0)*0.475*44/12</f>
        <v>15.56716080587003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29.039506562399904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5.2606837606837598</v>
      </c>
      <c r="CT91" s="12">
        <f>IF('Données projet'!$A$140&gt;35,CT90+CS91-DB90,IF(A91&lt;'Données projet'!$A$140,$CQ$205^A91,IF(A91='Données projet'!$A$140,'Données projet'!$B$140,CT90+CS91-DB90)))</f>
        <v>185.96581196581181</v>
      </c>
      <c r="CU91" s="17">
        <f>CT91*VLOOKUP('Données projet'!$B$13,Paramètres!$A$1:$I$89,3,0)*VLOOKUP('Données projet'!$B$13,Paramètres!$A$1:$I$89,5,0)</f>
        <v>168.26186666666652</v>
      </c>
      <c r="CV91" s="13">
        <f t="shared" si="95"/>
        <v>42.700507007169499</v>
      </c>
      <c r="CW91" s="20">
        <f t="shared" si="67"/>
        <v>367.42613414859778</v>
      </c>
      <c r="CX91" s="59">
        <f t="shared" si="68"/>
        <v>660.7594674819311</v>
      </c>
      <c r="CY91" s="59">
        <f ca="1">AVERAGE(OFFSET($CX$3,0,0,'Données projet'!$E$13+1,1))-AVERAGE(OFFSET($H$3,0,0,'Données projet'!$E$13+1,1))</f>
        <v>345.49688858037996</v>
      </c>
      <c r="CZ91" s="59">
        <f t="shared" si="96"/>
        <v>213.15872113755023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16.953343396605867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16.953343396605867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5.2606837606837598</v>
      </c>
      <c r="DO91" s="12">
        <f>IF('Données projet'!$A$166&gt;35,DO90+DN91-DW90,IF(A91&lt;'Données projet'!$A$166,$DL$205^A91,IF(A91='Données projet'!$A$166,'Données projet'!$B$166,DO90+DN91-DW90)))</f>
        <v>185.96581196581181</v>
      </c>
      <c r="DP91" s="17">
        <f>DO91*VLOOKUP('Données projet'!$B$14,Paramètres!$A$1:$I$89,3,0)*VLOOKUP('Données projet'!$B$14,Paramètres!$A$1:$I$89,5,0)</f>
        <v>188.56933333333319</v>
      </c>
      <c r="DQ91" s="13">
        <f t="shared" si="97"/>
        <v>47.223513760156187</v>
      </c>
      <c r="DR91" s="20">
        <f t="shared" si="70"/>
        <v>410.67254202116061</v>
      </c>
      <c r="DS91" s="59">
        <f t="shared" si="71"/>
        <v>704.00587535449392</v>
      </c>
      <c r="DT91" s="59">
        <f ca="1">AVERAGE(OFFSET($DS$3,0,0,'Données projet'!$E$14+1,1))-AVERAGE(OFFSET($H$3,0,0,'Données projet'!$E$14+1,1))</f>
        <v>382.26108489744581</v>
      </c>
      <c r="DU91" s="59">
        <f t="shared" si="98"/>
        <v>233.89423996158826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18.999436565161737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18.999436565161737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8.0242165242165289</v>
      </c>
      <c r="EJ91" s="12">
        <f>IF('Données projet'!$A$192&gt;35,EJ90+EI91-ER90,IF(A91&lt;'Données projet'!$A$192,$EG$205^A91,IF(A91='Données projet'!$A$192,'Données projet'!$B$192,EJ90+EI91-ER90)))</f>
        <v>294.43874643874619</v>
      </c>
      <c r="EK91" s="17">
        <f>EJ91*VLOOKUP('Données projet'!$B$15,Paramètres!$A$1:$I$89,3,0)*VLOOKUP('Données projet'!$B$15,Paramètres!$A$1:$I$89,5,0)</f>
        <v>248.03519999999983</v>
      </c>
      <c r="EL91" s="13">
        <f t="shared" si="99"/>
        <v>60.165015493408788</v>
      </c>
      <c r="EM91" s="20">
        <f t="shared" si="73"/>
        <v>536.78204198435321</v>
      </c>
      <c r="EN91" s="59">
        <f t="shared" si="74"/>
        <v>830.11537531768658</v>
      </c>
      <c r="EO91" s="59">
        <f ca="1">AVERAGE(OFFSET($EN$3,0,0,'Données projet'!$E$15+1,1))-AVERAGE(OFFSET($H$3,0,0,'Données projet'!$E$15+1,1))</f>
        <v>312.48716825299158</v>
      </c>
      <c r="EP91" s="59">
        <f t="shared" si="100"/>
        <v>258.68277822755357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46.56823563047935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46.56823563047935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5.2606837606837598</v>
      </c>
      <c r="FE91" s="12">
        <f>IF('Données projet'!$A$218&gt;35,FE90+FD91-FM90,IF(A91&lt;'Données projet'!$A$218,$FB$205^A91,IF(A91='Données projet'!$A$218,'Données projet'!$B$218,FE90+FD91-FM90)))</f>
        <v>185.96581196581181</v>
      </c>
      <c r="FF91" s="17">
        <f>FE91*VLOOKUP('Données projet'!$B$16,Paramètres!$A$1:$I$89,3,0)*VLOOKUP('Données projet'!$B$16,Paramètres!$A$1:$I$89,5,0)</f>
        <v>200.17359999999982</v>
      </c>
      <c r="FG91" s="13">
        <f t="shared" si="101"/>
        <v>49.782317824307299</v>
      </c>
      <c r="FH91" s="20">
        <f t="shared" si="76"/>
        <v>435.33989021066822</v>
      </c>
      <c r="FI91" s="59">
        <f t="shared" si="77"/>
        <v>728.67322354400153</v>
      </c>
      <c r="FJ91" s="59">
        <f ca="1">AVERAGE(OFFSET($FI$3,0,0,'Données projet'!$E$16+1,1))-AVERAGE(OFFSET($H$3,0,0,'Données projet'!$E$16+1,1))</f>
        <v>403.23110963096246</v>
      </c>
      <c r="FK91" s="59">
        <f t="shared" si="102"/>
        <v>245.72000393124898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20.168632661479389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20.168632661479389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5.2606837606837598</v>
      </c>
      <c r="FZ91" s="12">
        <f>IF('Données projet'!$A$244&gt;35,FZ90+FY91-GH90,IF(A91&lt;'Données projet'!$A$244,$FW$205^A91,IF(A91='Données projet'!$A$244,'Données projet'!$B$244,FZ90+FY91-GH90)))</f>
        <v>185.96581196581181</v>
      </c>
      <c r="GA91" s="17">
        <f>FZ91*VLOOKUP('Données projet'!$B$17,Paramètres!$A$1:$I$89,3,0)*VLOOKUP('Données projet'!$B$17,Paramètres!$A$1:$I$89,5,0)</f>
        <v>179.86613333333318</v>
      </c>
      <c r="GB91" s="13">
        <f t="shared" si="103"/>
        <v>45.292402010112326</v>
      </c>
      <c r="GC91" s="20">
        <f t="shared" si="79"/>
        <v>392.15111572316761</v>
      </c>
      <c r="GD91" s="59">
        <f t="shared" si="80"/>
        <v>685.48444905650092</v>
      </c>
      <c r="GE91" s="59">
        <f ca="1">AVERAGE(OFFSET($GD$3,0,0,'Données projet'!$E$17+1,1))-AVERAGE(OFFSET($H$3,0,0,'Données projet'!$E$17+1,1))</f>
        <v>336.2911850338175</v>
      </c>
      <c r="GF91" s="59">
        <f t="shared" si="104"/>
        <v>225.01415116995503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18.122539492923512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18.122539492923512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5.2606837606837598</v>
      </c>
      <c r="GU91" s="12">
        <f>IF('Données projet'!$A$270&gt;35,GU90+GT91-HC90,IF(A91&lt;'Données projet'!$A$270,$GR$205^A91,IF(A91='Données projet'!$A$270,'Données projet'!$B$270,GU90+GT91-HC90)))</f>
        <v>185.96581196581181</v>
      </c>
      <c r="GV91" s="17">
        <f>GU91*VLOOKUP('Données projet'!$B$18,Paramètres!$A$1:$I$89,3,0)*VLOOKUP('Données projet'!$B$18,Paramètres!$A$1:$I$89,5,0)</f>
        <v>124.74586666666656</v>
      </c>
      <c r="GW91" s="13">
        <f t="shared" si="105"/>
        <v>32.779383697888861</v>
      </c>
      <c r="GX91" s="20">
        <f t="shared" si="82"/>
        <v>274.35647771826729</v>
      </c>
      <c r="GY91" s="59">
        <f t="shared" si="83"/>
        <v>567.6898110516006</v>
      </c>
      <c r="GZ91" s="59">
        <f ca="1">AVERAGE(OFFSET($GY$3,0,0,'Données projet'!$E$18+1,1))-AVERAGE(OFFSET($H$3,0,0,'Données projet'!$E$18+1,1))</f>
        <v>266.37807768393191</v>
      </c>
      <c r="HA91" s="59">
        <f t="shared" si="106"/>
        <v>168.52019826233425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15.491848276208804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84"/>
        <v>15.491848276208804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266.99999999999983</v>
      </c>
      <c r="O92" s="13">
        <f>N92*VLOOKUP('Données projet'!$B$9,Paramètres!$A$1:$I$89,3,0)*VLOOKUP('Données projet'!$B$9,Paramètres!$A$1:$I$89,5,0)</f>
        <v>233.2511999999999</v>
      </c>
      <c r="P92" s="13">
        <f t="shared" si="87"/>
        <v>56.985091661350864</v>
      </c>
      <c r="Q92" s="20">
        <f t="shared" si="54"/>
        <v>505.49487464351915</v>
      </c>
      <c r="R92" s="59">
        <f t="shared" si="55"/>
        <v>798.82820797685247</v>
      </c>
      <c r="S92" s="59">
        <f ca="1">AVERAGE(OFFSET($R$3,0,0,'Données projet'!$E$9+1,1))-AVERAGE(OFFSET($H$3,0,0,'Données projet'!$E$9+1,1))</f>
        <v>324.86930206492627</v>
      </c>
      <c r="T92" s="59">
        <f t="shared" si="88"/>
        <v>317.03005098025352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26.452805929112355</v>
      </c>
      <c r="AA92" s="21">
        <f>EXP(-LN(2)/25)*AA91+(1-EXP(-LN(2)/25))/(LN(2)/25)*Calculateur!V92*Calculateur!X92*VLOOKUP('Données projet'!$B$9,Paramètres!$A$1:$I$89,3,0)*0.475*44/12</f>
        <v>7.1258348749213978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33.578640804033753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295.85897435897436</v>
      </c>
      <c r="AG92" s="12">
        <f>VLOOKUP(A92,'Données projet'!$A$61:$I$81,9,0)</f>
        <v>7.4950142450142421</v>
      </c>
      <c r="AH92" s="12">
        <f t="array" ref="AH92">INDEX(AG:AG,MIN(IF(ISNUMBER(AG92:AG288),ROW(AG92:AG288),"")))</f>
        <v>7.4950142450142421</v>
      </c>
      <c r="AI92" s="13">
        <f>IF('Données projet'!$A$62&gt;35,AI91+AH92-AQ91,IF(A92&lt;'Données projet'!$A$62,$AF$205^A92,IF(A92='Données projet'!$A$62,'Données projet'!$B$62,AI91+AH92-AQ91)))</f>
        <v>295.85897435897465</v>
      </c>
      <c r="AJ92" s="13">
        <f>AI92*VLOOKUP('Données projet'!$B$10,Paramètres!$A$1:$I$89,3,0)*VLOOKUP('Données projet'!$B$10,Paramètres!$A$1:$I$89,5,0)</f>
        <v>281.53940000000028</v>
      </c>
      <c r="AK92" s="13">
        <f t="shared" si="89"/>
        <v>67.29222447178195</v>
      </c>
      <c r="AL92" s="20">
        <f t="shared" si="58"/>
        <v>607.54841262168736</v>
      </c>
      <c r="AM92" s="59">
        <f t="shared" si="59"/>
        <v>900.88174595502073</v>
      </c>
      <c r="AN92" s="59">
        <f ca="1">AVERAGE(OFFSET($AM$3,0,0,'Données projet'!$E$10+1,1))-AVERAGE(OFFSET($H$3,0,0,'Données projet'!$E$10+1,1))</f>
        <v>401.81944956556271</v>
      </c>
      <c r="AO92" s="59">
        <f t="shared" si="90"/>
        <v>292.20785523952651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49.391025641025635</v>
      </c>
      <c r="AR92" s="16">
        <f>IF(ISNA(VLOOKUP(A92,'Données projet'!$A$61:$I$81,5,0)),0%,VLOOKUP(A92,'Données projet'!$A$61:$I$81,5,0)*VLOOKUP('Données projet'!$B$10,Paramètres!$A$1:$I$89,7,0))</f>
        <v>0.30099999999999999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44.471471631873911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44.471471631873911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1.7053025658242404E-13</v>
      </c>
      <c r="BE92" s="13">
        <f>BD92*VLOOKUP('Données projet'!$B$11,Paramètres!$A$1:$I$89,3,0)*VLOOKUP('Données projet'!$B$11,Paramètres!$A$1:$I$89,5,0)</f>
        <v>1.3301360013429075E-13</v>
      </c>
      <c r="BF92" s="13">
        <f t="shared" si="91"/>
        <v>1.9329766731057041E-12</v>
      </c>
      <c r="BG92" s="20">
        <f t="shared" si="61"/>
        <v>3.5982663925596575E-12</v>
      </c>
      <c r="BH92" s="59">
        <f t="shared" si="62"/>
        <v>293.3333333333369</v>
      </c>
      <c r="BI92" s="59">
        <f ca="1">AVERAGE(OFFSET($BH$3,0,0,'Données projet'!$E$11+1,1))-AVERAGE(OFFSET($H$3,0,0,'Données projet'!$E$11+1,1))</f>
        <v>288.80569134263209</v>
      </c>
      <c r="BJ92" s="59">
        <f t="shared" si="92"/>
        <v>283.48738729114024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54.5988941273297</v>
      </c>
      <c r="BQ92" s="21">
        <f>EXP(-LN(2)/25)*BQ91+(1-EXP(-LN(2)/25))/(LN(2)/25)*Calculateur!BL92*Calculateur!BN92*VLOOKUP('Données projet'!$B$11,Paramètres!$A$1:$I$89,3,0)*0.475*44/12</f>
        <v>39.176093511550576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93.774987638880276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2.8</v>
      </c>
      <c r="BY92" s="12">
        <f>IF('Données projet'!$A$114&gt;35,BY91+BX92-CG91,IF(A92&lt;'Données projet'!$A$114,$BV$205^A92,IF(A92='Données projet'!$A$114,'Données projet'!$B$114,BY91+BX92-CG91)))</f>
        <v>212.20000000000002</v>
      </c>
      <c r="BZ92" s="13">
        <f>BY92*VLOOKUP('Données projet'!$B$12,Paramètres!$A$1:$I$89,3,0)*VLOOKUP('Données projet'!$B$12,Paramètres!$A$1:$I$89,5,0)</f>
        <v>221.79144000000002</v>
      </c>
      <c r="CA92" s="13">
        <f t="shared" si="93"/>
        <v>54.504062385454226</v>
      </c>
      <c r="CB92" s="20">
        <f t="shared" si="64"/>
        <v>481.21466665466613</v>
      </c>
      <c r="CC92" s="59">
        <f t="shared" si="65"/>
        <v>774.54799998799945</v>
      </c>
      <c r="CD92" s="59">
        <f ca="1">AVERAGE(OFFSET($CC$3,0,0,'Données projet'!$E$12+1,1))-AVERAGE(OFFSET($H$3,0,0,'Données projet'!$E$12+1,1))</f>
        <v>352.22281362023102</v>
      </c>
      <c r="CE92" s="59">
        <f t="shared" si="94"/>
        <v>310.2353747925161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13.208161273563842</v>
      </c>
      <c r="CL92" s="21">
        <f>EXP(-LN(2)/25)*CL91+(1-EXP(-LN(2)/25))/(LN(2)/25)*Calculateur!CG92*Calculateur!CI92*VLOOKUP('Données projet'!$B$12,Paramètres!$A$1:$I$89,3,0)*0.475*44/12</f>
        <v>15.141475974992106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28.34963724855595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5.2606837606837598</v>
      </c>
      <c r="CT92" s="12">
        <f>IF('Données projet'!$A$140&gt;35,CT91+CS92-DB91,IF(A92&lt;'Données projet'!$A$140,$CQ$205^A92,IF(A92='Données projet'!$A$140,'Données projet'!$B$140,CT91+CS92-DB91)))</f>
        <v>191.22649572649556</v>
      </c>
      <c r="CU92" s="17">
        <f>CT92*VLOOKUP('Données projet'!$B$13,Paramètres!$A$1:$I$89,3,0)*VLOOKUP('Données projet'!$B$13,Paramètres!$A$1:$I$89,5,0)</f>
        <v>173.02173333333317</v>
      </c>
      <c r="CV92" s="13">
        <f t="shared" si="95"/>
        <v>43.766095804240145</v>
      </c>
      <c r="CW92" s="20">
        <f t="shared" si="67"/>
        <v>377.57213574794014</v>
      </c>
      <c r="CX92" s="59">
        <f t="shared" si="68"/>
        <v>670.9054690812734</v>
      </c>
      <c r="CY92" s="59">
        <f ca="1">AVERAGE(OFFSET($CX$3,0,0,'Données projet'!$E$13+1,1))-AVERAGE(OFFSET($H$3,0,0,'Données projet'!$E$13+1,1))</f>
        <v>345.49688858037996</v>
      </c>
      <c r="CZ92" s="59">
        <f t="shared" si="96"/>
        <v>213.15872113755023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16.620898673116855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16.620898673116855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5.2606837606837598</v>
      </c>
      <c r="DO92" s="12">
        <f>IF('Données projet'!$A$166&gt;35,DO91+DN92-DW91,IF(A92&lt;'Données projet'!$A$166,$DL$205^A92,IF(A92='Données projet'!$A$166,'Données projet'!$B$166,DO91+DN92-DW91)))</f>
        <v>191.22649572649556</v>
      </c>
      <c r="DP92" s="17">
        <f>DO92*VLOOKUP('Données projet'!$B$14,Paramètres!$A$1:$I$89,3,0)*VLOOKUP('Données projet'!$B$14,Paramètres!$A$1:$I$89,5,0)</f>
        <v>193.90366666666651</v>
      </c>
      <c r="DQ92" s="13">
        <f t="shared" si="97"/>
        <v>48.401973941265673</v>
      </c>
      <c r="DR92" s="20">
        <f t="shared" si="70"/>
        <v>422.01565739214857</v>
      </c>
      <c r="DS92" s="59">
        <f t="shared" si="71"/>
        <v>715.34899072548183</v>
      </c>
      <c r="DT92" s="59">
        <f ca="1">AVERAGE(OFFSET($DS$3,0,0,'Données projet'!$E$14+1,1))-AVERAGE(OFFSET($H$3,0,0,'Données projet'!$E$14+1,1))</f>
        <v>382.26108489744581</v>
      </c>
      <c r="DU92" s="59">
        <f t="shared" si="98"/>
        <v>233.89423996158826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18.626869202630949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18.626869202630949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8.0242165242165289</v>
      </c>
      <c r="EJ92" s="12">
        <f>IF('Données projet'!$A$192&gt;35,EJ91+EI92-ER91,IF(A92&lt;'Données projet'!$A$192,$EG$205^A92,IF(A92='Données projet'!$A$192,'Données projet'!$B$192,EJ91+EI92-ER91)))</f>
        <v>302.46296296296271</v>
      </c>
      <c r="EK92" s="17">
        <f>EJ92*VLOOKUP('Données projet'!$B$15,Paramètres!$A$1:$I$89,3,0)*VLOOKUP('Données projet'!$B$15,Paramètres!$A$1:$I$89,5,0)</f>
        <v>254.79479999999981</v>
      </c>
      <c r="EL92" s="13">
        <f t="shared" si="99"/>
        <v>61.611537134212334</v>
      </c>
      <c r="EM92" s="20">
        <f t="shared" si="73"/>
        <v>551.07437050875285</v>
      </c>
      <c r="EN92" s="59">
        <f t="shared" si="74"/>
        <v>844.40770384208622</v>
      </c>
      <c r="EO92" s="59">
        <f ca="1">AVERAGE(OFFSET($EN$3,0,0,'Données projet'!$E$15+1,1))-AVERAGE(OFFSET($H$3,0,0,'Données projet'!$E$15+1,1))</f>
        <v>312.48716825299158</v>
      </c>
      <c r="EP92" s="59">
        <f t="shared" si="100"/>
        <v>258.68277822755357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45.655060933584743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45.655060933584743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5.2606837606837598</v>
      </c>
      <c r="FE92" s="12">
        <f>IF('Données projet'!$A$218&gt;35,FE91+FD92-FM91,IF(A92&lt;'Données projet'!$A$218,$FB$205^A92,IF(A92='Données projet'!$A$218,'Données projet'!$B$218,FE91+FD92-FM91)))</f>
        <v>191.22649572649556</v>
      </c>
      <c r="FF92" s="17">
        <f>FE92*VLOOKUP('Données projet'!$B$16,Paramètres!$A$1:$I$89,3,0)*VLOOKUP('Données projet'!$B$16,Paramètres!$A$1:$I$89,5,0)</f>
        <v>205.83619999999979</v>
      </c>
      <c r="FG92" s="13">
        <f t="shared" si="101"/>
        <v>51.024632819698049</v>
      </c>
      <c r="FH92" s="20">
        <f t="shared" si="76"/>
        <v>447.36595049430707</v>
      </c>
      <c r="FI92" s="59">
        <f t="shared" si="77"/>
        <v>740.69928382764033</v>
      </c>
      <c r="FJ92" s="59">
        <f ca="1">AVERAGE(OFFSET($FI$3,0,0,'Données projet'!$E$16+1,1))-AVERAGE(OFFSET($H$3,0,0,'Données projet'!$E$16+1,1))</f>
        <v>403.23110963096246</v>
      </c>
      <c r="FK92" s="59">
        <f t="shared" si="102"/>
        <v>245.72000393124898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19.773138076639015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19.773138076639015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5.2606837606837598</v>
      </c>
      <c r="FZ92" s="12">
        <f>IF('Données projet'!$A$244&gt;35,FZ91+FY92-GH91,IF(A92&lt;'Données projet'!$A$244,$FW$205^A92,IF(A92='Données projet'!$A$244,'Données projet'!$B$244,FZ91+FY92-GH91)))</f>
        <v>191.22649572649556</v>
      </c>
      <c r="GA92" s="17">
        <f>FZ92*VLOOKUP('Données projet'!$B$17,Paramètres!$A$1:$I$89,3,0)*VLOOKUP('Données projet'!$B$17,Paramètres!$A$1:$I$89,5,0)</f>
        <v>184.95426666666651</v>
      </c>
      <c r="GB92" s="13">
        <f t="shared" si="103"/>
        <v>46.422671404016612</v>
      </c>
      <c r="GC92" s="20">
        <f t="shared" si="79"/>
        <v>402.98150047310645</v>
      </c>
      <c r="GD92" s="59">
        <f t="shared" si="80"/>
        <v>696.31483380643976</v>
      </c>
      <c r="GE92" s="59">
        <f ca="1">AVERAGE(OFFSET($GD$3,0,0,'Données projet'!$E$17+1,1))-AVERAGE(OFFSET($H$3,0,0,'Données projet'!$E$17+1,1))</f>
        <v>336.2911850338175</v>
      </c>
      <c r="GF92" s="59">
        <f t="shared" si="104"/>
        <v>225.01415116995503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17.767167547124913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17.767167547124913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5.2606837606837598</v>
      </c>
      <c r="GU92" s="12">
        <f>IF('Données projet'!$A$270&gt;35,GU91+GT92-HC91,IF(A92&lt;'Données projet'!$A$270,$GR$205^A92,IF(A92='Données projet'!$A$270,'Données projet'!$B$270,GU91+GT92-HC91)))</f>
        <v>191.22649572649556</v>
      </c>
      <c r="GV92" s="17">
        <f>GU92*VLOOKUP('Données projet'!$B$18,Paramètres!$A$1:$I$89,3,0)*VLOOKUP('Données projet'!$B$18,Paramètres!$A$1:$I$89,5,0)</f>
        <v>128.27473333333322</v>
      </c>
      <c r="GW92" s="13">
        <f t="shared" si="105"/>
        <v>33.597391410010104</v>
      </c>
      <c r="GX92" s="20">
        <f t="shared" si="82"/>
        <v>281.92728392798961</v>
      </c>
      <c r="GY92" s="59">
        <f t="shared" si="83"/>
        <v>575.26061726132298</v>
      </c>
      <c r="GZ92" s="59">
        <f ca="1">AVERAGE(OFFSET($GY$3,0,0,'Données projet'!$E$18+1,1))-AVERAGE(OFFSET($H$3,0,0,'Données projet'!$E$18+1,1))</f>
        <v>266.37807768393191</v>
      </c>
      <c r="HA92" s="59">
        <f t="shared" si="106"/>
        <v>168.52019826233425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15.188062580606777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84"/>
        <v>15.188062580606777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266.99999999999983</v>
      </c>
      <c r="O93" s="13">
        <f>N93*VLOOKUP('Données projet'!$B$9,Paramètres!$A$1:$I$89,3,0)*VLOOKUP('Données projet'!$B$9,Paramètres!$A$1:$I$89,5,0)</f>
        <v>233.2511999999999</v>
      </c>
      <c r="P93" s="13">
        <f t="shared" si="87"/>
        <v>56.985091661350864</v>
      </c>
      <c r="Q93" s="20">
        <f t="shared" si="54"/>
        <v>505.49487464351915</v>
      </c>
      <c r="R93" s="59">
        <f t="shared" si="55"/>
        <v>798.82820797685247</v>
      </c>
      <c r="S93" s="59">
        <f ca="1">AVERAGE(OFFSET($R$3,0,0,'Données projet'!$E$9+1,1))-AVERAGE(OFFSET($H$3,0,0,'Données projet'!$E$9+1,1))</f>
        <v>324.86930206492627</v>
      </c>
      <c r="T93" s="59">
        <f t="shared" si="88"/>
        <v>317.03005098025352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25.934082539460917</v>
      </c>
      <c r="AA93" s="21">
        <f>EXP(-LN(2)/25)*AA92+(1-EXP(-LN(2)/25))/(LN(2)/25)*Calculateur!V93*Calculateur!X93*VLOOKUP('Données projet'!$B$9,Paramètres!$A$1:$I$89,3,0)*0.475*44/12</f>
        <v>6.9309785455353028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32.865061084996221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7.1782051282051267</v>
      </c>
      <c r="AI93" s="13">
        <f>IF('Données projet'!$A$62&gt;35,AI92+AH93-AQ92,IF(A93&lt;'Données projet'!$A$62,$AF$205^A93,IF(A93='Données projet'!$A$62,'Données projet'!$B$62,AI92+AH93-AQ92)))</f>
        <v>253.64615384615416</v>
      </c>
      <c r="AJ93" s="13">
        <f>AI93*VLOOKUP('Données projet'!$B$10,Paramètres!$A$1:$I$89,3,0)*VLOOKUP('Données projet'!$B$10,Paramètres!$A$1:$I$89,5,0)</f>
        <v>241.36968000000027</v>
      </c>
      <c r="AK93" s="13">
        <f t="shared" si="89"/>
        <v>58.734126132093422</v>
      </c>
      <c r="AL93" s="20">
        <f t="shared" si="58"/>
        <v>522.68079568006328</v>
      </c>
      <c r="AM93" s="59">
        <f t="shared" si="59"/>
        <v>816.01412901339654</v>
      </c>
      <c r="AN93" s="59">
        <f ca="1">AVERAGE(OFFSET($AM$3,0,0,'Données projet'!$E$10+1,1))-AVERAGE(OFFSET($H$3,0,0,'Données projet'!$E$10+1,1))</f>
        <v>401.81944956556271</v>
      </c>
      <c r="AO93" s="59">
        <f t="shared" si="90"/>
        <v>292.20785523952651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43.599413198092194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43.599413198092194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1.7053025658242404E-13</v>
      </c>
      <c r="BE93" s="13">
        <f>BD93*VLOOKUP('Données projet'!$B$11,Paramètres!$A$1:$I$89,3,0)*VLOOKUP('Données projet'!$B$11,Paramètres!$A$1:$I$89,5,0)</f>
        <v>1.3301360013429075E-13</v>
      </c>
      <c r="BF93" s="13">
        <f t="shared" si="91"/>
        <v>1.9329766731057041E-12</v>
      </c>
      <c r="BG93" s="20">
        <f t="shared" si="61"/>
        <v>3.5982663925596575E-12</v>
      </c>
      <c r="BH93" s="59">
        <f t="shared" si="62"/>
        <v>293.3333333333369</v>
      </c>
      <c r="BI93" s="59">
        <f ca="1">AVERAGE(OFFSET($BH$3,0,0,'Données projet'!$E$11+1,1))-AVERAGE(OFFSET($H$3,0,0,'Données projet'!$E$11+1,1))</f>
        <v>288.80569134263209</v>
      </c>
      <c r="BJ93" s="59">
        <f t="shared" si="92"/>
        <v>283.48738729114024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53.528243115529882</v>
      </c>
      <c r="BQ93" s="21">
        <f>EXP(-LN(2)/25)*BQ92+(1-EXP(-LN(2)/25))/(LN(2)/25)*Calculateur!BL93*Calculateur!BN93*VLOOKUP('Données projet'!$B$11,Paramètres!$A$1:$I$89,3,0)*0.475*44/12</f>
        <v>38.104821174296006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91.633064289825882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215</v>
      </c>
      <c r="BW93" s="12">
        <f>VLOOKUP(A93,'Données projet'!$A$113:$I$133,9,0)</f>
        <v>2.8</v>
      </c>
      <c r="BX93" s="12">
        <f t="array" ref="BX93">INDEX(BW:BW,MIN(IF(ISNUMBER(BW93:BW289),ROW(BW93:BW289),"")))</f>
        <v>2.8</v>
      </c>
      <c r="BY93" s="12">
        <f>IF('Données projet'!$A$114&gt;35,BY92+BX93-CG92,IF(A93&lt;'Données projet'!$A$114,$BV$205^A93,IF(A93='Données projet'!$A$114,'Données projet'!$B$114,BY92+BX93-CG92)))</f>
        <v>215.00000000000003</v>
      </c>
      <c r="BZ93" s="13">
        <f>BY93*VLOOKUP('Données projet'!$B$12,Paramètres!$A$1:$I$89,3,0)*VLOOKUP('Données projet'!$B$12,Paramètres!$A$1:$I$89,5,0)</f>
        <v>224.71800000000007</v>
      </c>
      <c r="CA93" s="13">
        <f t="shared" si="93"/>
        <v>55.13904993933199</v>
      </c>
      <c r="CB93" s="20">
        <f t="shared" si="64"/>
        <v>487.41769531100323</v>
      </c>
      <c r="CC93" s="59">
        <f t="shared" si="65"/>
        <v>780.75102864433654</v>
      </c>
      <c r="CD93" s="59">
        <f ca="1">AVERAGE(OFFSET($CC$3,0,0,'Données projet'!$E$12+1,1))-AVERAGE(OFFSET($H$3,0,0,'Données projet'!$E$12+1,1))</f>
        <v>352.22281362023102</v>
      </c>
      <c r="CE93" s="59">
        <f t="shared" si="94"/>
        <v>310.2353747925161</v>
      </c>
      <c r="CF93" s="15">
        <f>IF(ISNA(VLOOKUP(A93,'Données projet'!$A$113:$I$133,3,0)),0,VLOOKUP(A93,'Données projet'!$A$113:$I$133,3,0))</f>
        <v>15</v>
      </c>
      <c r="CG93" s="15" t="str">
        <f>IF(ISNA(VLOOKUP(A93,'Données projet'!$A$113:$I$133,4,0)),0,VLOOKUP(A93,'Données projet'!$A$113:$I$133,4,0))</f>
        <v>10</v>
      </c>
      <c r="CH93" s="16">
        <f>IF(ISNA(VLOOKUP(A93,'Données projet'!$A$113:$I$133,5,0)),0%,VLOOKUP(A93,'Données projet'!$A$113:$I$133,5,0)*VLOOKUP('Données projet'!$B$12,Paramètres!$A$1:$I$89,7,0))</f>
        <v>0.215</v>
      </c>
      <c r="CI93" s="16">
        <f>IF(ISNA(VLOOKUP(A93,'Données projet'!$A$113:$I$133,6,0)),0%,VLOOKUP(A93,'Données projet'!$A$113:$I$133,6,0)*VLOOKUP('Données projet'!$B$12,Paramètres!$A$1:$I$89,7,0))</f>
        <v>0.17200000000000001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15.433348214651005</v>
      </c>
      <c r="CL93" s="21">
        <f>EXP(-LN(2)/25)*CL92+(1-EXP(-LN(2)/25))/(LN(2)/25)*Calculateur!CG93*Calculateur!CI93*VLOOKUP('Données projet'!$B$12,Paramètres!$A$1:$I$89,3,0)*0.475*44/12</f>
        <v>16.706959295197468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32.140307509848469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5.2606837606837598</v>
      </c>
      <c r="CT93" s="12">
        <f>IF('Données projet'!$A$140&gt;35,CT92+CS93-DB92,IF(A93&lt;'Données projet'!$A$140,$CQ$205^A93,IF(A93='Données projet'!$A$140,'Données projet'!$B$140,CT92+CS93-DB92)))</f>
        <v>196.4871794871793</v>
      </c>
      <c r="CU93" s="17">
        <f>CT93*VLOOKUP('Données projet'!$B$13,Paramètres!$A$1:$I$89,3,0)*VLOOKUP('Données projet'!$B$13,Paramètres!$A$1:$I$89,5,0)</f>
        <v>177.78159999999983</v>
      </c>
      <c r="CV93" s="13">
        <f t="shared" si="95"/>
        <v>44.828277386743572</v>
      </c>
      <c r="CW93" s="20">
        <f t="shared" si="67"/>
        <v>387.71220311524468</v>
      </c>
      <c r="CX93" s="59">
        <f t="shared" si="68"/>
        <v>681.04553644857799</v>
      </c>
      <c r="CY93" s="59">
        <f ca="1">AVERAGE(OFFSET($CX$3,0,0,'Données projet'!$E$13+1,1))-AVERAGE(OFFSET($H$3,0,0,'Données projet'!$E$13+1,1))</f>
        <v>345.49688858037996</v>
      </c>
      <c r="CZ93" s="59">
        <f t="shared" si="96"/>
        <v>213.15872113755023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16.294972987884204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16.294972987884204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5.2606837606837598</v>
      </c>
      <c r="DO93" s="12">
        <f>IF('Données projet'!$A$166&gt;35,DO92+DN93-DW92,IF(A93&lt;'Données projet'!$A$166,$DL$205^A93,IF(A93='Données projet'!$A$166,'Données projet'!$B$166,DO92+DN93-DW92)))</f>
        <v>196.4871794871793</v>
      </c>
      <c r="DP93" s="17">
        <f>DO93*VLOOKUP('Données projet'!$B$14,Paramètres!$A$1:$I$89,3,0)*VLOOKUP('Données projet'!$B$14,Paramètres!$A$1:$I$89,5,0)</f>
        <v>199.23799999999983</v>
      </c>
      <c r="DQ93" s="13">
        <f t="shared" si="97"/>
        <v>49.576666002151768</v>
      </c>
      <c r="DR93" s="20">
        <f t="shared" si="70"/>
        <v>433.35220995374738</v>
      </c>
      <c r="DS93" s="59">
        <f t="shared" si="71"/>
        <v>726.68554328708069</v>
      </c>
      <c r="DT93" s="59">
        <f ca="1">AVERAGE(OFFSET($DS$3,0,0,'Données projet'!$E$14+1,1))-AVERAGE(OFFSET($H$3,0,0,'Données projet'!$E$14+1,1))</f>
        <v>382.26108489744581</v>
      </c>
      <c r="DU93" s="59">
        <f t="shared" si="98"/>
        <v>233.89423996158826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18.261607658835739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18.261607658835739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310.4871794871795</v>
      </c>
      <c r="EH93" s="12">
        <f>VLOOKUP(A93,'Données projet'!$A$191:$I$211,9,0)</f>
        <v>8.0242165242165289</v>
      </c>
      <c r="EI93" s="12">
        <f t="array" ref="EI93">INDEX(EH:EH,MIN(IF(ISNUMBER(EH93:EH289),ROW(EH93:EH289),"")))</f>
        <v>8.0242165242165289</v>
      </c>
      <c r="EJ93" s="12">
        <f>IF('Données projet'!$A$192&gt;35,EJ92+EI93-ER92,IF(A93&lt;'Données projet'!$A$192,$EG$205^A93,IF(A93='Données projet'!$A$192,'Données projet'!$B$192,EJ92+EI93-ER92)))</f>
        <v>310.48717948717922</v>
      </c>
      <c r="EK93" s="17">
        <f>EJ93*VLOOKUP('Données projet'!$B$15,Paramètres!$A$1:$I$89,3,0)*VLOOKUP('Données projet'!$B$15,Paramètres!$A$1:$I$89,5,0)</f>
        <v>261.55439999999982</v>
      </c>
      <c r="EL93" s="13">
        <f t="shared" si="99"/>
        <v>63.053598190183337</v>
      </c>
      <c r="EM93" s="20">
        <f t="shared" si="73"/>
        <v>565.35893018123568</v>
      </c>
      <c r="EN93" s="59">
        <f t="shared" si="74"/>
        <v>858.69226351456905</v>
      </c>
      <c r="EO93" s="59">
        <f ca="1">AVERAGE(OFFSET($EN$3,0,0,'Données projet'!$E$15+1,1))-AVERAGE(OFFSET($H$3,0,0,'Données projet'!$E$15+1,1))</f>
        <v>312.48716825299158</v>
      </c>
      <c r="EP93" s="59">
        <f t="shared" si="100"/>
        <v>258.68277822755357</v>
      </c>
      <c r="EQ93" s="15">
        <f>IF(ISNA(VLOOKUP(A93,'Données projet'!$A$191:$I$211,3,0)),0,VLOOKUP(A93,'Données projet'!$A$191:$I$211,3,0))</f>
        <v>9</v>
      </c>
      <c r="ER93" s="15">
        <f>IF(ISNA(VLOOKUP(A93,'Données projet'!$A$191:$I$211,4,0)),0,VLOOKUP(A93,'Données projet'!$A$191:$I$211,4,0))</f>
        <v>60.846153846153847</v>
      </c>
      <c r="ES93" s="16">
        <f>IF(ISNA(VLOOKUP(A93,'Données projet'!$A$191:$I$211,5,0)),0%,VLOOKUP(A93,'Données projet'!$A$191:$I$211,5,0)*VLOOKUP('Données projet'!$B$15,Paramètres!$A$1:$I$89,7,0))</f>
        <v>0.38700000000000001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66.688325331427109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66.688325331427109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5.2606837606837598</v>
      </c>
      <c r="FE93" s="12">
        <f>IF('Données projet'!$A$218&gt;35,FE92+FD93-FM92,IF(A93&lt;'Données projet'!$A$218,$FB$205^A93,IF(A93='Données projet'!$A$218,'Données projet'!$B$218,FE92+FD93-FM92)))</f>
        <v>196.4871794871793</v>
      </c>
      <c r="FF93" s="17">
        <f>FE93*VLOOKUP('Données projet'!$B$16,Paramètres!$A$1:$I$89,3,0)*VLOOKUP('Données projet'!$B$16,Paramètres!$A$1:$I$89,5,0)</f>
        <v>211.49879999999979</v>
      </c>
      <c r="FG93" s="13">
        <f t="shared" si="101"/>
        <v>52.262975519432992</v>
      </c>
      <c r="FH93" s="20">
        <f t="shared" si="76"/>
        <v>459.38509236301206</v>
      </c>
      <c r="FI93" s="59">
        <f t="shared" si="77"/>
        <v>752.71842569634532</v>
      </c>
      <c r="FJ93" s="59">
        <f ca="1">AVERAGE(OFFSET($FI$3,0,0,'Données projet'!$E$16+1,1))-AVERAGE(OFFSET($H$3,0,0,'Données projet'!$E$16+1,1))</f>
        <v>403.23110963096246</v>
      </c>
      <c r="FK93" s="59">
        <f t="shared" si="102"/>
        <v>245.72000393124898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19.385398899379481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19.385398899379481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5.2606837606837598</v>
      </c>
      <c r="FZ93" s="12">
        <f>IF('Données projet'!$A$244&gt;35,FZ92+FY93-GH92,IF(A93&lt;'Données projet'!$A$244,$FW$205^A93,IF(A93='Données projet'!$A$244,'Données projet'!$B$244,FZ92+FY93-GH92)))</f>
        <v>196.4871794871793</v>
      </c>
      <c r="GA93" s="17">
        <f>FZ93*VLOOKUP('Données projet'!$B$17,Paramètres!$A$1:$I$89,3,0)*VLOOKUP('Données projet'!$B$17,Paramètres!$A$1:$I$89,5,0)</f>
        <v>190.04239999999982</v>
      </c>
      <c r="GB93" s="13">
        <f t="shared" si="103"/>
        <v>47.54932676748583</v>
      </c>
      <c r="GC93" s="20">
        <f t="shared" si="79"/>
        <v>413.80559078670422</v>
      </c>
      <c r="GD93" s="59">
        <f t="shared" si="80"/>
        <v>707.13892412003747</v>
      </c>
      <c r="GE93" s="59">
        <f ca="1">AVERAGE(OFFSET($GD$3,0,0,'Données projet'!$E$17+1,1))-AVERAGE(OFFSET($H$3,0,0,'Données projet'!$E$17+1,1))</f>
        <v>336.2911850338175</v>
      </c>
      <c r="GF93" s="59">
        <f t="shared" si="104"/>
        <v>225.01415116995503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17.418764228427943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17.418764228427943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5.2606837606837598</v>
      </c>
      <c r="GU93" s="12">
        <f>IF('Données projet'!$A$270&gt;35,GU92+GT93-HC92,IF(A93&lt;'Données projet'!$A$270,$GR$205^A93,IF(A93='Données projet'!$A$270,'Données projet'!$B$270,GU92+GT93-HC92)))</f>
        <v>196.4871794871793</v>
      </c>
      <c r="GV93" s="17">
        <f>GU93*VLOOKUP('Données projet'!$B$18,Paramètres!$A$1:$I$89,3,0)*VLOOKUP('Données projet'!$B$18,Paramètres!$A$1:$I$89,5,0)</f>
        <v>131.80359999999988</v>
      </c>
      <c r="GW93" s="13">
        <f t="shared" si="105"/>
        <v>34.412783546779451</v>
      </c>
      <c r="GX93" s="20">
        <f t="shared" si="82"/>
        <v>289.49353467730731</v>
      </c>
      <c r="GY93" s="59">
        <f t="shared" si="83"/>
        <v>582.82686801064062</v>
      </c>
      <c r="GZ93" s="59">
        <f ca="1">AVERAGE(OFFSET($GY$3,0,0,'Données projet'!$E$18+1,1))-AVERAGE(OFFSET($H$3,0,0,'Données projet'!$E$18+1,1))</f>
        <v>266.37807768393191</v>
      </c>
      <c r="HA93" s="59">
        <f t="shared" si="106"/>
        <v>168.52019826233425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14.890233937204528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84"/>
        <v>14.890233937204528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266.99999999999983</v>
      </c>
      <c r="O94" s="13">
        <f>N94*VLOOKUP('Données projet'!$B$9,Paramètres!$A$1:$I$89,3,0)*VLOOKUP('Données projet'!$B$9,Paramètres!$A$1:$I$89,5,0)</f>
        <v>233.2511999999999</v>
      </c>
      <c r="P94" s="13">
        <f t="shared" si="87"/>
        <v>56.985091661350864</v>
      </c>
      <c r="Q94" s="20">
        <f t="shared" si="54"/>
        <v>505.49487464351915</v>
      </c>
      <c r="R94" s="59">
        <f t="shared" si="55"/>
        <v>798.82820797685247</v>
      </c>
      <c r="S94" s="59">
        <f ca="1">AVERAGE(OFFSET($R$3,0,0,'Données projet'!$E$9+1,1))-AVERAGE(OFFSET($H$3,0,0,'Données projet'!$E$9+1,1))</f>
        <v>324.86930206492627</v>
      </c>
      <c r="T94" s="59">
        <f t="shared" si="88"/>
        <v>317.03005098025352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25.425530999090515</v>
      </c>
      <c r="AA94" s="21">
        <f>EXP(-LN(2)/25)*AA93+(1-EXP(-LN(2)/25))/(LN(2)/25)*Calculateur!V94*Calculateur!X94*VLOOKUP('Données projet'!$B$9,Paramètres!$A$1:$I$89,3,0)*0.475*44/12</f>
        <v>6.7414505727233189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32.166981571813835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7.1782051282051267</v>
      </c>
      <c r="AI94" s="13">
        <f>IF('Données projet'!$A$62&gt;35,AI93+AH94-AQ93,IF(A94&lt;'Données projet'!$A$62,$AF$205^A94,IF(A94='Données projet'!$A$62,'Données projet'!$B$62,AI93+AH94-AQ93)))</f>
        <v>260.82435897435931</v>
      </c>
      <c r="AJ94" s="13">
        <f>AI94*VLOOKUP('Données projet'!$B$10,Paramètres!$A$1:$I$89,3,0)*VLOOKUP('Données projet'!$B$10,Paramètres!$A$1:$I$89,5,0)</f>
        <v>248.20046000000033</v>
      </c>
      <c r="AK94" s="13">
        <f t="shared" si="89"/>
        <v>60.200434578057589</v>
      </c>
      <c r="AL94" s="20">
        <f t="shared" si="58"/>
        <v>537.13155805678423</v>
      </c>
      <c r="AM94" s="59">
        <f t="shared" si="59"/>
        <v>830.4648913901176</v>
      </c>
      <c r="AN94" s="59">
        <f ca="1">AVERAGE(OFFSET($AM$3,0,0,'Données projet'!$E$10+1,1))-AVERAGE(OFFSET($H$3,0,0,'Données projet'!$E$10+1,1))</f>
        <v>401.81944956556271</v>
      </c>
      <c r="AO94" s="59">
        <f t="shared" si="90"/>
        <v>292.20785523952651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42.744455298293815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42.744455298293815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1.7053025658242404E-13</v>
      </c>
      <c r="BE94" s="13">
        <f>BD94*VLOOKUP('Données projet'!$B$11,Paramètres!$A$1:$I$89,3,0)*VLOOKUP('Données projet'!$B$11,Paramètres!$A$1:$I$89,5,0)</f>
        <v>1.3301360013429075E-13</v>
      </c>
      <c r="BF94" s="13">
        <f t="shared" si="91"/>
        <v>1.9329766731057041E-12</v>
      </c>
      <c r="BG94" s="20">
        <f t="shared" si="61"/>
        <v>3.5982663925596575E-12</v>
      </c>
      <c r="BH94" s="59">
        <f t="shared" si="62"/>
        <v>293.3333333333369</v>
      </c>
      <c r="BI94" s="59">
        <f ca="1">AVERAGE(OFFSET($BH$3,0,0,'Données projet'!$E$11+1,1))-AVERAGE(OFFSET($H$3,0,0,'Données projet'!$E$11+1,1))</f>
        <v>288.80569134263209</v>
      </c>
      <c r="BJ94" s="59">
        <f t="shared" si="92"/>
        <v>283.48738729114024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52.478586917038818</v>
      </c>
      <c r="BQ94" s="21">
        <f>EXP(-LN(2)/25)*BQ93+(1-EXP(-LN(2)/25))/(LN(2)/25)*Calculateur!BL94*Calculateur!BN94*VLOOKUP('Données projet'!$B$11,Paramètres!$A$1:$I$89,3,0)*0.475*44/12</f>
        <v>37.062842835439426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89.541429752478251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2.8</v>
      </c>
      <c r="BY94" s="12">
        <f>IF('Données projet'!$A$114&gt;35,BY93+BX94-CG93,IF(A94&lt;'Données projet'!$A$114,$BV$205^A94,IF(A94='Données projet'!$A$114,'Données projet'!$B$114,BY93+BX94-CG93)))</f>
        <v>207.80000000000004</v>
      </c>
      <c r="BZ94" s="13">
        <f>BY94*VLOOKUP('Données projet'!$B$12,Paramètres!$A$1:$I$89,3,0)*VLOOKUP('Données projet'!$B$12,Paramètres!$A$1:$I$89,5,0)</f>
        <v>217.19256000000004</v>
      </c>
      <c r="CA94" s="13">
        <f t="shared" si="93"/>
        <v>53.504247160568738</v>
      </c>
      <c r="CB94" s="20">
        <f t="shared" si="64"/>
        <v>471.46360580465716</v>
      </c>
      <c r="CC94" s="59">
        <f t="shared" si="65"/>
        <v>764.79693913799042</v>
      </c>
      <c r="CD94" s="59">
        <f ca="1">AVERAGE(OFFSET($CC$3,0,0,'Données projet'!$E$12+1,1))-AVERAGE(OFFSET($H$3,0,0,'Données projet'!$E$12+1,1))</f>
        <v>352.22281362023102</v>
      </c>
      <c r="CE94" s="59">
        <f t="shared" si="94"/>
        <v>310.2353747925161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15.130709669574612</v>
      </c>
      <c r="CL94" s="21">
        <f>EXP(-LN(2)/25)*CL93+(1-EXP(-LN(2)/25))/(LN(2)/25)*Calculateur!CG94*Calculateur!CI94*VLOOKUP('Données projet'!$B$12,Paramètres!$A$1:$I$89,3,0)*0.475*44/12</f>
        <v>16.250106614689489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31.3808162842641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5.2606837606837598</v>
      </c>
      <c r="CT94" s="12">
        <f>IF('Données projet'!$A$140&gt;35,CT93+CS94-DB93,IF(A94&lt;'Données projet'!$A$140,$CQ$205^A94,IF(A94='Données projet'!$A$140,'Données projet'!$B$140,CT93+CS94-DB93)))</f>
        <v>201.74786324786305</v>
      </c>
      <c r="CU94" s="17">
        <f>CT94*VLOOKUP('Données projet'!$B$13,Paramètres!$A$1:$I$89,3,0)*VLOOKUP('Données projet'!$B$13,Paramètres!$A$1:$I$89,5,0)</f>
        <v>182.54146666666648</v>
      </c>
      <c r="CV94" s="13">
        <f t="shared" si="95"/>
        <v>45.887153462840786</v>
      </c>
      <c r="CW94" s="20">
        <f t="shared" si="67"/>
        <v>397.84651339222506</v>
      </c>
      <c r="CX94" s="59">
        <f t="shared" si="68"/>
        <v>691.17984672555838</v>
      </c>
      <c r="CY94" s="59">
        <f ca="1">AVERAGE(OFFSET($CX$3,0,0,'Données projet'!$E$13+1,1))-AVERAGE(OFFSET($H$3,0,0,'Données projet'!$E$13+1,1))</f>
        <v>345.49688858037996</v>
      </c>
      <c r="CZ94" s="59">
        <f t="shared" si="96"/>
        <v>213.15872113755023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15.975438506543927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15.975438506543927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5.2606837606837598</v>
      </c>
      <c r="DO94" s="12">
        <f>IF('Données projet'!$A$166&gt;35,DO93+DN94-DW93,IF(A94&lt;'Données projet'!$A$166,$DL$205^A94,IF(A94='Données projet'!$A$166,'Données projet'!$B$166,DO93+DN94-DW93)))</f>
        <v>201.74786324786305</v>
      </c>
      <c r="DP94" s="17">
        <f>DO94*VLOOKUP('Données projet'!$B$14,Paramètres!$A$1:$I$89,3,0)*VLOOKUP('Données projet'!$B$14,Paramètres!$A$1:$I$89,5,0)</f>
        <v>204.57233333333312</v>
      </c>
      <c r="DQ94" s="13">
        <f t="shared" si="97"/>
        <v>50.747702424306688</v>
      </c>
      <c r="DR94" s="20">
        <f t="shared" si="70"/>
        <v>444.6823956112226</v>
      </c>
      <c r="DS94" s="59">
        <f t="shared" si="71"/>
        <v>738.01572894455592</v>
      </c>
      <c r="DT94" s="59">
        <f ca="1">AVERAGE(OFFSET($DS$3,0,0,'Données projet'!$E$14+1,1))-AVERAGE(OFFSET($H$3,0,0,'Données projet'!$E$14+1,1))</f>
        <v>382.26108489744581</v>
      </c>
      <c r="DU94" s="59">
        <f t="shared" si="98"/>
        <v>233.89423996158826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17.903508671126808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17.903508671126808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7.539173789173784</v>
      </c>
      <c r="EJ94" s="12">
        <f>IF('Données projet'!$A$192&gt;35,EJ93+EI94-ER93,IF(A94&lt;'Données projet'!$A$192,$EG$205^A94,IF(A94='Données projet'!$A$192,'Données projet'!$B$192,EJ93+EI94-ER93)))</f>
        <v>257.18019943019914</v>
      </c>
      <c r="EK94" s="17">
        <f>EJ94*VLOOKUP('Données projet'!$B$15,Paramètres!$A$1:$I$89,3,0)*VLOOKUP('Données projet'!$B$15,Paramètres!$A$1:$I$89,5,0)</f>
        <v>216.64859999999976</v>
      </c>
      <c r="EL94" s="13">
        <f t="shared" si="99"/>
        <v>53.385825991589115</v>
      </c>
      <c r="EM94" s="20">
        <f t="shared" si="73"/>
        <v>470.30995860201728</v>
      </c>
      <c r="EN94" s="59">
        <f t="shared" si="74"/>
        <v>763.64329193535059</v>
      </c>
      <c r="EO94" s="59">
        <f ca="1">AVERAGE(OFFSET($EN$3,0,0,'Données projet'!$E$15+1,1))-AVERAGE(OFFSET($H$3,0,0,'Données projet'!$E$15+1,1))</f>
        <v>312.48716825299158</v>
      </c>
      <c r="EP94" s="59">
        <f t="shared" si="100"/>
        <v>258.68277822755357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65.380607947539872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65.380607947539872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5.2606837606837598</v>
      </c>
      <c r="FE94" s="12">
        <f>IF('Données projet'!$A$218&gt;35,FE93+FD94-FM93,IF(A94&lt;'Données projet'!$A$218,$FB$205^A94,IF(A94='Données projet'!$A$218,'Données projet'!$B$218,FE93+FD94-FM93)))</f>
        <v>201.74786324786305</v>
      </c>
      <c r="FF94" s="17">
        <f>FE94*VLOOKUP('Données projet'!$B$16,Paramètres!$A$1:$I$89,3,0)*VLOOKUP('Données projet'!$B$16,Paramètres!$A$1:$I$89,5,0)</f>
        <v>217.16139999999979</v>
      </c>
      <c r="FG94" s="13">
        <f t="shared" si="101"/>
        <v>53.497464499809226</v>
      </c>
      <c r="FH94" s="20">
        <f t="shared" si="76"/>
        <v>471.39752233716735</v>
      </c>
      <c r="FI94" s="59">
        <f t="shared" si="77"/>
        <v>764.73085567050066</v>
      </c>
      <c r="FJ94" s="59">
        <f ca="1">AVERAGE(OFFSET($FI$3,0,0,'Données projet'!$E$16+1,1))-AVERAGE(OFFSET($H$3,0,0,'Données projet'!$E$16+1,1))</f>
        <v>403.23110963096246</v>
      </c>
      <c r="FK94" s="59">
        <f t="shared" si="102"/>
        <v>245.72000393124898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19.005263050888463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19.005263050888463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5.2606837606837598</v>
      </c>
      <c r="FZ94" s="12">
        <f>IF('Données projet'!$A$244&gt;35,FZ93+FY94-GH93,IF(A94&lt;'Données projet'!$A$244,$FW$205^A94,IF(A94='Données projet'!$A$244,'Données projet'!$B$244,FZ93+FY94-GH93)))</f>
        <v>201.74786324786305</v>
      </c>
      <c r="GA94" s="17">
        <f>FZ94*VLOOKUP('Données projet'!$B$17,Paramètres!$A$1:$I$89,3,0)*VLOOKUP('Données projet'!$B$17,Paramètres!$A$1:$I$89,5,0)</f>
        <v>195.13053333333315</v>
      </c>
      <c r="GB94" s="13">
        <f t="shared" si="103"/>
        <v>48.672475982305059</v>
      </c>
      <c r="GC94" s="20">
        <f t="shared" si="79"/>
        <v>424.62357455806983</v>
      </c>
      <c r="GD94" s="59">
        <f t="shared" si="80"/>
        <v>717.95690789140315</v>
      </c>
      <c r="GE94" s="59">
        <f ca="1">AVERAGE(OFFSET($GD$3,0,0,'Données projet'!$E$17+1,1))-AVERAGE(OFFSET($H$3,0,0,'Données projet'!$E$17+1,1))</f>
        <v>336.2911850338175</v>
      </c>
      <c r="GF94" s="59">
        <f t="shared" si="104"/>
        <v>225.01415116995503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17.077192886305578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17.077192886305578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5.2606837606837598</v>
      </c>
      <c r="GU94" s="12">
        <f>IF('Données projet'!$A$270&gt;35,GU93+GT94-HC93,IF(A94&lt;'Données projet'!$A$270,$GR$205^A94,IF(A94='Données projet'!$A$270,'Données projet'!$B$270,GU93+GT94-HC93)))</f>
        <v>201.74786324786305</v>
      </c>
      <c r="GV94" s="17">
        <f>GU94*VLOOKUP('Données projet'!$B$18,Paramètres!$A$1:$I$89,3,0)*VLOOKUP('Données projet'!$B$18,Paramètres!$A$1:$I$89,5,0)</f>
        <v>135.33246666666653</v>
      </c>
      <c r="GW94" s="13">
        <f t="shared" si="105"/>
        <v>35.225638185275415</v>
      </c>
      <c r="GX94" s="20">
        <f t="shared" si="82"/>
        <v>297.0553659504655</v>
      </c>
      <c r="GY94" s="59">
        <f t="shared" si="83"/>
        <v>590.38869928379881</v>
      </c>
      <c r="GZ94" s="59">
        <f ca="1">AVERAGE(OFFSET($GY$3,0,0,'Données projet'!$E$18+1,1))-AVERAGE(OFFSET($H$3,0,0,'Données projet'!$E$18+1,1))</f>
        <v>266.37807768393191</v>
      </c>
      <c r="HA94" s="59">
        <f t="shared" si="106"/>
        <v>168.52019826233425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14.598245531841862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84"/>
        <v>14.598245531841862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266.99999999999983</v>
      </c>
      <c r="O95" s="13">
        <f>N95*VLOOKUP('Données projet'!$B$9,Paramètres!$A$1:$I$89,3,0)*VLOOKUP('Données projet'!$B$9,Paramètres!$A$1:$I$89,5,0)</f>
        <v>233.2511999999999</v>
      </c>
      <c r="P95" s="13">
        <f t="shared" si="87"/>
        <v>56.985091661350864</v>
      </c>
      <c r="Q95" s="20">
        <f t="shared" si="54"/>
        <v>505.49487464351915</v>
      </c>
      <c r="R95" s="59">
        <f t="shared" si="55"/>
        <v>798.82820797685247</v>
      </c>
      <c r="S95" s="59">
        <f ca="1">AVERAGE(OFFSET($R$3,0,0,'Données projet'!$E$9+1,1))-AVERAGE(OFFSET($H$3,0,0,'Données projet'!$E$9+1,1))</f>
        <v>324.86930206492627</v>
      </c>
      <c r="T95" s="59">
        <f t="shared" si="88"/>
        <v>317.03005098025352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24.926951844240968</v>
      </c>
      <c r="AA95" s="21">
        <f>EXP(-LN(2)/25)*AA94+(1-EXP(-LN(2)/25))/(LN(2)/25)*Calculateur!V95*Calculateur!X95*VLOOKUP('Données projet'!$B$9,Paramètres!$A$1:$I$89,3,0)*0.475*44/12</f>
        <v>6.557105252294722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31.48405709653569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7.1782051282051267</v>
      </c>
      <c r="AI95" s="13">
        <f>IF('Données projet'!$A$62&gt;35,AI94+AH95-AQ94,IF(A95&lt;'Données projet'!$A$62,$AF$205^A95,IF(A95='Données projet'!$A$62,'Données projet'!$B$62,AI94+AH95-AQ94)))</f>
        <v>268.00256410256446</v>
      </c>
      <c r="AJ95" s="13">
        <f>AI95*VLOOKUP('Données projet'!$B$10,Paramètres!$A$1:$I$89,3,0)*VLOOKUP('Données projet'!$B$10,Paramètres!$A$1:$I$89,5,0)</f>
        <v>255.03124000000034</v>
      </c>
      <c r="AK95" s="13">
        <f t="shared" si="89"/>
        <v>61.662052638618768</v>
      </c>
      <c r="AL95" s="20">
        <f t="shared" si="58"/>
        <v>551.57415134559483</v>
      </c>
      <c r="AM95" s="59">
        <f t="shared" si="59"/>
        <v>844.90748467892809</v>
      </c>
      <c r="AN95" s="59">
        <f ca="1">AVERAGE(OFFSET($AM$3,0,0,'Données projet'!$E$10+1,1))-AVERAGE(OFFSET($H$3,0,0,'Données projet'!$E$10+1,1))</f>
        <v>401.81944956556271</v>
      </c>
      <c r="AO95" s="59">
        <f t="shared" si="90"/>
        <v>292.20785523952651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41.906262601437653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41.906262601437653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1.7053025658242404E-13</v>
      </c>
      <c r="BE95" s="13">
        <f>BD95*VLOOKUP('Données projet'!$B$11,Paramètres!$A$1:$I$89,3,0)*VLOOKUP('Données projet'!$B$11,Paramètres!$A$1:$I$89,5,0)</f>
        <v>1.3301360013429075E-13</v>
      </c>
      <c r="BF95" s="13">
        <f t="shared" si="91"/>
        <v>1.9329766731057041E-12</v>
      </c>
      <c r="BG95" s="20">
        <f t="shared" si="61"/>
        <v>3.5982663925596575E-12</v>
      </c>
      <c r="BH95" s="59">
        <f t="shared" si="62"/>
        <v>293.3333333333369</v>
      </c>
      <c r="BI95" s="59">
        <f ca="1">AVERAGE(OFFSET($BH$3,0,0,'Données projet'!$E$11+1,1))-AVERAGE(OFFSET($H$3,0,0,'Données projet'!$E$11+1,1))</f>
        <v>288.80569134263209</v>
      </c>
      <c r="BJ95" s="59">
        <f t="shared" si="92"/>
        <v>283.48738729114024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51.4495138363731</v>
      </c>
      <c r="BQ95" s="21">
        <f>EXP(-LN(2)/25)*BQ94+(1-EXP(-LN(2)/25))/(LN(2)/25)*Calculateur!BL95*Calculateur!BN95*VLOOKUP('Données projet'!$B$11,Paramètres!$A$1:$I$89,3,0)*0.475*44/12</f>
        <v>36.049357449054135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87.498871285427242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2.8</v>
      </c>
      <c r="BY95" s="12">
        <f>IF('Données projet'!$A$114&gt;35,BY94+BX95-CG94,IF(A95&lt;'Données projet'!$A$114,$BV$205^A95,IF(A95='Données projet'!$A$114,'Données projet'!$B$114,BY94+BX95-CG94)))</f>
        <v>210.60000000000005</v>
      </c>
      <c r="BZ95" s="13">
        <f>BY95*VLOOKUP('Données projet'!$B$12,Paramètres!$A$1:$I$89,3,0)*VLOOKUP('Données projet'!$B$12,Paramètres!$A$1:$I$89,5,0)</f>
        <v>220.11912000000007</v>
      </c>
      <c r="CA95" s="13">
        <f t="shared" si="93"/>
        <v>54.140775048344437</v>
      </c>
      <c r="CB95" s="20">
        <f t="shared" si="64"/>
        <v>477.66931720920002</v>
      </c>
      <c r="CC95" s="59">
        <f t="shared" si="65"/>
        <v>771.00265054253327</v>
      </c>
      <c r="CD95" s="59">
        <f ca="1">AVERAGE(OFFSET($CC$3,0,0,'Données projet'!$E$12+1,1))-AVERAGE(OFFSET($H$3,0,0,'Données projet'!$E$12+1,1))</f>
        <v>352.22281362023102</v>
      </c>
      <c r="CE95" s="59">
        <f t="shared" si="94"/>
        <v>310.2353747925161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14.834005681775881</v>
      </c>
      <c r="CL95" s="21">
        <f>EXP(-LN(2)/25)*CL94+(1-EXP(-LN(2)/25))/(LN(2)/25)*Calculateur!CG95*Calculateur!CI95*VLOOKUP('Données projet'!$B$12,Paramètres!$A$1:$I$89,3,0)*0.475*44/12</f>
        <v>15.805746594754838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30.639752276530722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5.2606837606837598</v>
      </c>
      <c r="CT95" s="12">
        <f>IF('Données projet'!$A$140&gt;35,CT94+CS95-DB94,IF(A95&lt;'Données projet'!$A$140,$CQ$205^A95,IF(A95='Données projet'!$A$140,'Données projet'!$B$140,CT94+CS95-DB94)))</f>
        <v>207.0085470085468</v>
      </c>
      <c r="CU95" s="17">
        <f>CT95*VLOOKUP('Données projet'!$B$13,Paramètres!$A$1:$I$89,3,0)*VLOOKUP('Données projet'!$B$13,Paramètres!$A$1:$I$89,5,0)</f>
        <v>187.30133333333313</v>
      </c>
      <c r="CV95" s="13">
        <f t="shared" si="95"/>
        <v>46.942820134391475</v>
      </c>
      <c r="CW95" s="20">
        <f t="shared" si="67"/>
        <v>407.97523395628696</v>
      </c>
      <c r="CX95" s="59">
        <f t="shared" si="68"/>
        <v>701.30856728962021</v>
      </c>
      <c r="CY95" s="59">
        <f ca="1">AVERAGE(OFFSET($CX$3,0,0,'Données projet'!$E$13+1,1))-AVERAGE(OFFSET($H$3,0,0,'Données projet'!$E$13+1,1))</f>
        <v>345.49688858037996</v>
      </c>
      <c r="CZ95" s="59">
        <f t="shared" si="96"/>
        <v>213.15872113755023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15.662169901485944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15.662169901485944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5.2606837606837598</v>
      </c>
      <c r="DO95" s="12">
        <f>IF('Données projet'!$A$166&gt;35,DO94+DN95-DW94,IF(A95&lt;'Données projet'!$A$166,$DL$205^A95,IF(A95='Données projet'!$A$166,'Données projet'!$B$166,DO94+DN95-DW94)))</f>
        <v>207.0085470085468</v>
      </c>
      <c r="DP95" s="17">
        <f>DO95*VLOOKUP('Données projet'!$B$14,Paramètres!$A$1:$I$89,3,0)*VLOOKUP('Données projet'!$B$14,Paramètres!$A$1:$I$89,5,0)</f>
        <v>209.90666666666647</v>
      </c>
      <c r="DQ95" s="13">
        <f t="shared" si="97"/>
        <v>51.915189489079573</v>
      </c>
      <c r="DR95" s="20">
        <f t="shared" si="70"/>
        <v>456.00639947125768</v>
      </c>
      <c r="DS95" s="59">
        <f t="shared" si="71"/>
        <v>749.33973280459099</v>
      </c>
      <c r="DT95" s="59">
        <f ca="1">AVERAGE(OFFSET($DS$3,0,0,'Données projet'!$E$14+1,1))-AVERAGE(OFFSET($H$3,0,0,'Données projet'!$E$14+1,1))</f>
        <v>382.26108489744581</v>
      </c>
      <c r="DU95" s="59">
        <f t="shared" si="98"/>
        <v>233.89423996158826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17.552431786148034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17.552431786148034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7.539173789173784</v>
      </c>
      <c r="EJ95" s="12">
        <f>IF('Données projet'!$A$192&gt;35,EJ94+EI95-ER94,IF(A95&lt;'Données projet'!$A$192,$EG$205^A95,IF(A95='Données projet'!$A$192,'Données projet'!$B$192,EJ94+EI95-ER94)))</f>
        <v>264.71937321937293</v>
      </c>
      <c r="EK95" s="17">
        <f>EJ95*VLOOKUP('Données projet'!$B$15,Paramètres!$A$1:$I$89,3,0)*VLOOKUP('Données projet'!$B$15,Paramètres!$A$1:$I$89,5,0)</f>
        <v>222.99959999999979</v>
      </c>
      <c r="EL95" s="13">
        <f t="shared" si="99"/>
        <v>54.766319225455383</v>
      </c>
      <c r="EM95" s="20">
        <f t="shared" si="73"/>
        <v>483.77564265100108</v>
      </c>
      <c r="EN95" s="59">
        <f t="shared" si="74"/>
        <v>777.10897598433439</v>
      </c>
      <c r="EO95" s="59">
        <f ca="1">AVERAGE(OFFSET($EN$3,0,0,'Données projet'!$E$15+1,1))-AVERAGE(OFFSET($H$3,0,0,'Données projet'!$E$15+1,1))</f>
        <v>312.48716825299158</v>
      </c>
      <c r="EP95" s="59">
        <f t="shared" si="100"/>
        <v>258.68277822755357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64.098534103921821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64.098534103921821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5.2606837606837598</v>
      </c>
      <c r="FE95" s="12">
        <f>IF('Données projet'!$A$218&gt;35,FE94+FD95-FM94,IF(A95&lt;'Données projet'!$A$218,$FB$205^A95,IF(A95='Données projet'!$A$218,'Données projet'!$B$218,FE94+FD95-FM94)))</f>
        <v>207.0085470085468</v>
      </c>
      <c r="FF95" s="17">
        <f>FE95*VLOOKUP('Données projet'!$B$16,Paramètres!$A$1:$I$89,3,0)*VLOOKUP('Données projet'!$B$16,Paramètres!$A$1:$I$89,5,0)</f>
        <v>222.82399999999978</v>
      </c>
      <c r="FG95" s="13">
        <f t="shared" si="101"/>
        <v>54.728211801026077</v>
      </c>
      <c r="FH95" s="20">
        <f t="shared" si="76"/>
        <v>483.40343555345339</v>
      </c>
      <c r="FI95" s="59">
        <f t="shared" si="77"/>
        <v>776.73676888678665</v>
      </c>
      <c r="FJ95" s="59">
        <f ca="1">AVERAGE(OFFSET($FI$3,0,0,'Données projet'!$E$16+1,1))-AVERAGE(OFFSET($H$3,0,0,'Données projet'!$E$16+1,1))</f>
        <v>403.23110963096246</v>
      </c>
      <c r="FK95" s="59">
        <f t="shared" si="102"/>
        <v>245.72000393124898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18.632581434526379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18.632581434526379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5.2606837606837598</v>
      </c>
      <c r="FZ95" s="12">
        <f>IF('Données projet'!$A$244&gt;35,FZ94+FY95-GH94,IF(A95&lt;'Données projet'!$A$244,$FW$205^A95,IF(A95='Données projet'!$A$244,'Données projet'!$B$244,FZ94+FY95-GH94)))</f>
        <v>207.0085470085468</v>
      </c>
      <c r="GA95" s="17">
        <f>FZ95*VLOOKUP('Données projet'!$B$17,Paramètres!$A$1:$I$89,3,0)*VLOOKUP('Données projet'!$B$17,Paramètres!$A$1:$I$89,5,0)</f>
        <v>200.21866666666645</v>
      </c>
      <c r="GB95" s="13">
        <f t="shared" si="103"/>
        <v>49.792220983658822</v>
      </c>
      <c r="GC95" s="20">
        <f t="shared" si="79"/>
        <v>435.43562932431655</v>
      </c>
      <c r="GD95" s="59">
        <f t="shared" si="80"/>
        <v>728.76896265764981</v>
      </c>
      <c r="GE95" s="59">
        <f ca="1">AVERAGE(OFFSET($GD$3,0,0,'Données projet'!$E$17+1,1))-AVERAGE(OFFSET($H$3,0,0,'Données projet'!$E$17+1,1))</f>
        <v>336.2911850338175</v>
      </c>
      <c r="GF95" s="59">
        <f t="shared" si="104"/>
        <v>225.01415116995503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16.742319549864288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16.742319549864288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5.2606837606837598</v>
      </c>
      <c r="GU95" s="12">
        <f>IF('Données projet'!$A$270&gt;35,GU94+GT95-HC94,IF(A95&lt;'Données projet'!$A$270,$GR$205^A95,IF(A95='Données projet'!$A$270,'Données projet'!$B$270,GU94+GT95-HC94)))</f>
        <v>207.0085470085468</v>
      </c>
      <c r="GV95" s="17">
        <f>GU95*VLOOKUP('Données projet'!$B$18,Paramètres!$A$1:$I$89,3,0)*VLOOKUP('Données projet'!$B$18,Paramètres!$A$1:$I$89,5,0)</f>
        <v>138.86133333333319</v>
      </c>
      <c r="GW95" s="13">
        <f t="shared" si="105"/>
        <v>36.036029098854542</v>
      </c>
      <c r="GX95" s="20">
        <f t="shared" si="82"/>
        <v>304.61290623606027</v>
      </c>
      <c r="GY95" s="59">
        <f t="shared" si="83"/>
        <v>597.94623956939358</v>
      </c>
      <c r="GZ95" s="59">
        <f ca="1">AVERAGE(OFFSET($GY$3,0,0,'Données projet'!$E$18+1,1))-AVERAGE(OFFSET($H$3,0,0,'Données projet'!$E$18+1,1))</f>
        <v>266.37807768393191</v>
      </c>
      <c r="HA95" s="59">
        <f t="shared" si="106"/>
        <v>168.52019826233425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14.311982841013014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84"/>
        <v>14.311982841013014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266.99999999999983</v>
      </c>
      <c r="O96" s="13">
        <f>N96*VLOOKUP('Données projet'!$B$9,Paramètres!$A$1:$I$89,3,0)*VLOOKUP('Données projet'!$B$9,Paramètres!$A$1:$I$89,5,0)</f>
        <v>233.2511999999999</v>
      </c>
      <c r="P96" s="13">
        <f t="shared" si="87"/>
        <v>56.985091661350864</v>
      </c>
      <c r="Q96" s="20">
        <f t="shared" si="54"/>
        <v>505.49487464351915</v>
      </c>
      <c r="R96" s="59">
        <f t="shared" si="55"/>
        <v>798.82820797685247</v>
      </c>
      <c r="S96" s="59">
        <f ca="1">AVERAGE(OFFSET($R$3,0,0,'Données projet'!$E$9+1,1))-AVERAGE(OFFSET($H$3,0,0,'Données projet'!$E$9+1,1))</f>
        <v>324.86930206492627</v>
      </c>
      <c r="T96" s="59">
        <f t="shared" si="88"/>
        <v>317.03005098025352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24.438149522514763</v>
      </c>
      <c r="AA96" s="21">
        <f>EXP(-LN(2)/25)*AA95+(1-EXP(-LN(2)/25))/(LN(2)/25)*Calculateur!V96*Calculateur!X96*VLOOKUP('Données projet'!$B$9,Paramètres!$A$1:$I$89,3,0)*0.475*44/12</f>
        <v>6.3778008643475443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30.815950386862308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7.1782051282051267</v>
      </c>
      <c r="AI96" s="13">
        <f>IF('Données projet'!$A$62&gt;35,AI95+AH96-AQ95,IF(A96&lt;'Données projet'!$A$62,$AF$205^A96,IF(A96='Données projet'!$A$62,'Données projet'!$B$62,AI95+AH96-AQ95)))</f>
        <v>275.18076923076961</v>
      </c>
      <c r="AJ96" s="13">
        <f>AI96*VLOOKUP('Données projet'!$B$10,Paramètres!$A$1:$I$89,3,0)*VLOOKUP('Données projet'!$B$10,Paramètres!$A$1:$I$89,5,0)</f>
        <v>261.86202000000037</v>
      </c>
      <c r="AK96" s="13">
        <f t="shared" si="89"/>
        <v>63.119120380060529</v>
      </c>
      <c r="AL96" s="20">
        <f t="shared" si="58"/>
        <v>566.00881949527275</v>
      </c>
      <c r="AM96" s="59">
        <f t="shared" si="59"/>
        <v>859.342152828606</v>
      </c>
      <c r="AN96" s="59">
        <f ca="1">AVERAGE(OFFSET($AM$3,0,0,'Données projet'!$E$10+1,1))-AVERAGE(OFFSET($H$3,0,0,'Données projet'!$E$10+1,1))</f>
        <v>401.81944956556271</v>
      </c>
      <c r="AO96" s="59">
        <f t="shared" si="90"/>
        <v>292.20785523952651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41.084506352119782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41.084506352119782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1.7053025658242404E-13</v>
      </c>
      <c r="BE96" s="13">
        <f>BD96*VLOOKUP('Données projet'!$B$11,Paramètres!$A$1:$I$89,3,0)*VLOOKUP('Données projet'!$B$11,Paramètres!$A$1:$I$89,5,0)</f>
        <v>1.3301360013429075E-13</v>
      </c>
      <c r="BF96" s="13">
        <f t="shared" si="91"/>
        <v>1.9329766731057041E-12</v>
      </c>
      <c r="BG96" s="20">
        <f t="shared" si="61"/>
        <v>3.5982663925596575E-12</v>
      </c>
      <c r="BH96" s="59">
        <f t="shared" si="62"/>
        <v>293.3333333333369</v>
      </c>
      <c r="BI96" s="59">
        <f ca="1">AVERAGE(OFFSET($BH$3,0,0,'Données projet'!$E$11+1,1))-AVERAGE(OFFSET($H$3,0,0,'Données projet'!$E$11+1,1))</f>
        <v>288.80569134263209</v>
      </c>
      <c r="BJ96" s="59">
        <f t="shared" si="92"/>
        <v>283.48738729114024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50.44062025114664</v>
      </c>
      <c r="BQ96" s="21">
        <f>EXP(-LN(2)/25)*BQ95+(1-EXP(-LN(2)/25))/(LN(2)/25)*Calculateur!BL96*Calculateur!BN96*VLOOKUP('Données projet'!$B$11,Paramètres!$A$1:$I$89,3,0)*0.475*44/12</f>
        <v>35.063585873856432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85.504206125003066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2.8</v>
      </c>
      <c r="BY96" s="12">
        <f>IF('Données projet'!$A$114&gt;35,BY95+BX96-CG95,IF(A96&lt;'Données projet'!$A$114,$BV$205^A96,IF(A96='Données projet'!$A$114,'Données projet'!$B$114,BY95+BX96-CG95)))</f>
        <v>213.40000000000006</v>
      </c>
      <c r="BZ96" s="13">
        <f>BY96*VLOOKUP('Données projet'!$B$12,Paramètres!$A$1:$I$89,3,0)*VLOOKUP('Données projet'!$B$12,Paramètres!$A$1:$I$89,5,0)</f>
        <v>223.04568000000006</v>
      </c>
      <c r="CA96" s="13">
        <f t="shared" si="93"/>
        <v>54.776318590526813</v>
      </c>
      <c r="CB96" s="20">
        <f t="shared" si="64"/>
        <v>483.87331421183421</v>
      </c>
      <c r="CC96" s="59">
        <f t="shared" si="65"/>
        <v>777.20664754516747</v>
      </c>
      <c r="CD96" s="59">
        <f ca="1">AVERAGE(OFFSET($CC$3,0,0,'Données projet'!$E$12+1,1))-AVERAGE(OFFSET($H$3,0,0,'Données projet'!$E$12+1,1))</f>
        <v>352.22281362023102</v>
      </c>
      <c r="CE96" s="59">
        <f t="shared" si="94"/>
        <v>310.2353747925161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14.543119878206321</v>
      </c>
      <c r="CL96" s="21">
        <f>EXP(-LN(2)/25)*CL95+(1-EXP(-LN(2)/25))/(LN(2)/25)*Calculateur!CG96*Calculateur!CI96*VLOOKUP('Données projet'!$B$12,Paramètres!$A$1:$I$89,3,0)*0.475*44/12</f>
        <v>15.373537622933178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29.916657501139497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212.26923076923075</v>
      </c>
      <c r="CR96" s="12">
        <f>VLOOKUP(A96,'Données projet'!$A$139:$I$159,9,0)</f>
        <v>5.2606837606837598</v>
      </c>
      <c r="CS96" s="12">
        <f t="array" ref="CS96">INDEX(CR:CR,MIN(IF(ISNUMBER(CR96:CR292),ROW(CR96:CR292),"")))</f>
        <v>5.2606837606837598</v>
      </c>
      <c r="CT96" s="12">
        <f>IF('Données projet'!$A$140&gt;35,CT95+CS96-DB95,IF(A96&lt;'Données projet'!$A$140,$CQ$205^A96,IF(A96='Données projet'!$A$140,'Données projet'!$B$140,CT95+CS96-DB95)))</f>
        <v>212.26923076923055</v>
      </c>
      <c r="CU96" s="17">
        <f>CT96*VLOOKUP('Données projet'!$B$13,Paramètres!$A$1:$I$89,3,0)*VLOOKUP('Données projet'!$B$13,Paramètres!$A$1:$I$89,5,0)</f>
        <v>192.06119999999979</v>
      </c>
      <c r="CV96" s="13">
        <f t="shared" si="95"/>
        <v>47.995368340490955</v>
      </c>
      <c r="CW96" s="20">
        <f t="shared" si="67"/>
        <v>418.09852319302132</v>
      </c>
      <c r="CX96" s="59">
        <f t="shared" si="68"/>
        <v>711.43185652635464</v>
      </c>
      <c r="CY96" s="59">
        <f ca="1">AVERAGE(OFFSET($CX$3,0,0,'Données projet'!$E$13+1,1))-AVERAGE(OFFSET($H$3,0,0,'Données projet'!$E$13+1,1))</f>
        <v>345.49688858037996</v>
      </c>
      <c r="CZ96" s="59">
        <f t="shared" si="96"/>
        <v>213.15872113755023</v>
      </c>
      <c r="DA96" s="15">
        <f>IF(ISNA(VLOOKUP(A96,'Données projet'!$A$139:$I$159,3,0)),0,VLOOKUP(A96,'Données projet'!$A$139:$I$159,3,0))</f>
        <v>7</v>
      </c>
      <c r="DB96" s="15">
        <f>IF(ISNA(VLOOKUP(A96,'Données projet'!$A$139:$I$159,4,0)),0,VLOOKUP(A96,'Données projet'!$A$139:$I$159,4,0))</f>
        <v>30.083333333333332</v>
      </c>
      <c r="DC96" s="16">
        <f>IF(ISNA(VLOOKUP(A96,'Données projet'!$A$139:$I$159,5,0)),0%,VLOOKUP(A96,'Données projet'!$A$139:$I$159,5,0)*VLOOKUP('Données projet'!$B$13,Paramètres!$A$1:$I$89,7,0))</f>
        <v>0.30099999999999999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24.412206677744578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24.412206677744578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212.26923076923075</v>
      </c>
      <c r="DM96" s="12">
        <f>VLOOKUP(A96,'Données projet'!$A$165:$I$185,9,0)</f>
        <v>5.2606837606837598</v>
      </c>
      <c r="DN96" s="12">
        <f t="array" ref="DN96">INDEX(DM:DM,MIN(IF(ISNUMBER(DM96:DM292),ROW(DM96:DM292),"")))</f>
        <v>5.2606837606837598</v>
      </c>
      <c r="DO96" s="12">
        <f>IF('Données projet'!$A$166&gt;35,DO95+DN96-DW95,IF(A96&lt;'Données projet'!$A$166,$DL$205^A96,IF(A96='Données projet'!$A$166,'Données projet'!$B$166,DO95+DN96-DW95)))</f>
        <v>212.26923076923055</v>
      </c>
      <c r="DP96" s="17">
        <f>DO96*VLOOKUP('Données projet'!$B$14,Paramètres!$A$1:$I$89,3,0)*VLOOKUP('Données projet'!$B$14,Paramètres!$A$1:$I$89,5,0)</f>
        <v>215.24099999999979</v>
      </c>
      <c r="DQ96" s="13">
        <f t="shared" si="97"/>
        <v>53.079227768194642</v>
      </c>
      <c r="DR96" s="20">
        <f t="shared" si="70"/>
        <v>467.32439669627183</v>
      </c>
      <c r="DS96" s="59">
        <f t="shared" si="71"/>
        <v>760.65773002960509</v>
      </c>
      <c r="DT96" s="59">
        <f ca="1">AVERAGE(OFFSET($DS$3,0,0,'Données projet'!$E$14+1,1))-AVERAGE(OFFSET($H$3,0,0,'Données projet'!$E$14+1,1))</f>
        <v>382.26108489744581</v>
      </c>
      <c r="DU96" s="59">
        <f t="shared" si="98"/>
        <v>233.89423996158826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30.083333333333332</v>
      </c>
      <c r="DX96" s="16">
        <f>IF(ISNA(VLOOKUP(A96,'Données projet'!$A$165:$I$185,5,0)),0%,VLOOKUP(A96,'Données projet'!$A$165:$I$185,5,0)*VLOOKUP('Données projet'!$B$14,Paramètres!$A$1:$I$89,7,0))</f>
        <v>0.30099999999999999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27.358507483679265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27.358507483679265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7.539173789173784</v>
      </c>
      <c r="EJ96" s="12">
        <f>IF('Données projet'!$A$192&gt;35,EJ95+EI96-ER95,IF(A96&lt;'Données projet'!$A$192,$EG$205^A96,IF(A96='Données projet'!$A$192,'Données projet'!$B$192,EJ95+EI96-ER95)))</f>
        <v>272.25854700854671</v>
      </c>
      <c r="EK96" s="17">
        <f>EJ96*VLOOKUP('Données projet'!$B$15,Paramètres!$A$1:$I$89,3,0)*VLOOKUP('Données projet'!$B$15,Paramètres!$A$1:$I$89,5,0)</f>
        <v>229.35059999999979</v>
      </c>
      <c r="EL96" s="13">
        <f t="shared" si="99"/>
        <v>56.14224296991361</v>
      </c>
      <c r="EM96" s="20">
        <f t="shared" si="73"/>
        <v>497.23336817259911</v>
      </c>
      <c r="EN96" s="59">
        <f t="shared" si="74"/>
        <v>790.56670150593243</v>
      </c>
      <c r="EO96" s="59">
        <f ca="1">AVERAGE(OFFSET($EN$3,0,0,'Données projet'!$E$15+1,1))-AVERAGE(OFFSET($H$3,0,0,'Données projet'!$E$15+1,1))</f>
        <v>312.48716825299158</v>
      </c>
      <c r="EP96" s="59">
        <f t="shared" si="100"/>
        <v>258.68277822755357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62.841600946389285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62.841600946389285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>
        <f>VLOOKUP(A96,'Données projet'!$A$217:$I$237,2,0)</f>
        <v>212.26923076923075</v>
      </c>
      <c r="FC96" s="12">
        <f>VLOOKUP(A96,'Données projet'!$A$217:$I$237,9,0)</f>
        <v>5.2606837606837598</v>
      </c>
      <c r="FD96" s="12">
        <f t="array" ref="FD96">INDEX(FC:FC,MIN(IF(ISNUMBER(FC96:FC292),ROW(FC96:FC292),"")))</f>
        <v>5.2606837606837598</v>
      </c>
      <c r="FE96" s="12">
        <f>IF('Données projet'!$A$218&gt;35,FE95+FD96-FM95,IF(A96&lt;'Données projet'!$A$218,$FB$205^A96,IF(A96='Données projet'!$A$218,'Données projet'!$B$218,FE95+FD96-FM95)))</f>
        <v>212.26923076923055</v>
      </c>
      <c r="FF96" s="17">
        <f>FE96*VLOOKUP('Données projet'!$B$16,Paramètres!$A$1:$I$89,3,0)*VLOOKUP('Données projet'!$B$16,Paramètres!$A$1:$I$89,5,0)</f>
        <v>228.48659999999975</v>
      </c>
      <c r="FG96" s="13">
        <f t="shared" si="101"/>
        <v>55.95532344428247</v>
      </c>
      <c r="FH96" s="20">
        <f t="shared" si="76"/>
        <v>495.40301666545815</v>
      </c>
      <c r="FI96" s="59">
        <f t="shared" si="77"/>
        <v>788.73634999879141</v>
      </c>
      <c r="FJ96" s="59">
        <f ca="1">AVERAGE(OFFSET($FI$3,0,0,'Données projet'!$E$16+1,1))-AVERAGE(OFFSET($H$3,0,0,'Données projet'!$E$16+1,1))</f>
        <v>403.23110963096246</v>
      </c>
      <c r="FK96" s="59">
        <f t="shared" si="102"/>
        <v>245.72000393124898</v>
      </c>
      <c r="FL96" s="15">
        <f>IF(ISNA(VLOOKUP(A96,'Données projet'!$A$217:$I$237,3,0)),0,VLOOKUP(A96,'Données projet'!$A$217:$I$237,3,0))</f>
        <v>7</v>
      </c>
      <c r="FM96" s="15">
        <f>IF(ISNA(VLOOKUP(A96,'Données projet'!$A$217:$I$237,4,0)),0,VLOOKUP(A96,'Données projet'!$A$217:$I$237,4,0))</f>
        <v>30.083333333333332</v>
      </c>
      <c r="FN96" s="16">
        <f>IF(ISNA(VLOOKUP(A96,'Données projet'!$A$217:$I$237,5,0)),0%,VLOOKUP(A96,'Données projet'!$A$217:$I$237,5,0)*VLOOKUP('Données projet'!$B$16,Paramètres!$A$1:$I$89,7,0))</f>
        <v>0.30099999999999999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29.042107944213377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29.042107944213377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>
        <f>VLOOKUP(A96,'Données projet'!$A$243:$I$263,2,0)</f>
        <v>212.26923076923075</v>
      </c>
      <c r="FX96" s="12">
        <f>VLOOKUP(A96,'Données projet'!$A$243:$I$263,9,0)</f>
        <v>5.2606837606837598</v>
      </c>
      <c r="FY96" s="12">
        <f t="array" ref="FY96">INDEX(FX:FX,MIN(IF(ISNUMBER(FX96:FX292),ROW(FX96:FX292),"")))</f>
        <v>5.2606837606837598</v>
      </c>
      <c r="FZ96" s="12">
        <f>IF('Données projet'!$A$244&gt;35,FZ95+FY96-GH95,IF(A96&lt;'Données projet'!$A$244,$FW$205^A96,IF(A96='Données projet'!$A$244,'Données projet'!$B$244,FZ95+FY96-GH95)))</f>
        <v>212.26923076923055</v>
      </c>
      <c r="GA96" s="17">
        <f>FZ96*VLOOKUP('Données projet'!$B$17,Paramètres!$A$1:$I$89,3,0)*VLOOKUP('Données projet'!$B$17,Paramètres!$A$1:$I$89,5,0)</f>
        <v>205.30679999999978</v>
      </c>
      <c r="GB96" s="13">
        <f t="shared" si="103"/>
        <v>50.908658230590753</v>
      </c>
      <c r="GC96" s="20">
        <f t="shared" si="79"/>
        <v>446.24192308494509</v>
      </c>
      <c r="GD96" s="59">
        <f t="shared" si="80"/>
        <v>739.5752564182784</v>
      </c>
      <c r="GE96" s="59">
        <f ca="1">AVERAGE(OFFSET($GD$3,0,0,'Données projet'!$E$17+1,1))-AVERAGE(OFFSET($H$3,0,0,'Données projet'!$E$17+1,1))</f>
        <v>336.2911850338175</v>
      </c>
      <c r="GF96" s="59">
        <f t="shared" si="104"/>
        <v>225.01415116995503</v>
      </c>
      <c r="GG96" s="15">
        <f>IF(ISNA(VLOOKUP(A96,'Données projet'!$A$243:$I$263,3,0)),0,VLOOKUP(A96,'Données projet'!$A$243:$I$263,3,0))</f>
        <v>7</v>
      </c>
      <c r="GH96" s="15">
        <f>IF(ISNA(VLOOKUP(A96,'Données projet'!$A$243:$I$263,4,0)),0,VLOOKUP(A96,'Données projet'!$A$243:$I$263,4,0))</f>
        <v>30.083333333333332</v>
      </c>
      <c r="GI96" s="16">
        <f>IF(ISNA(VLOOKUP(A96,'Données projet'!$A$243:$I$263,5,0)),0%,VLOOKUP(A96,'Données projet'!$A$243:$I$263,5,0)*VLOOKUP('Données projet'!$B$17,Paramètres!$A$1:$I$89,7,0))</f>
        <v>0.30099999999999999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26.095807138278694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26.095807138278694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>
        <f>VLOOKUP(A96,'Données projet'!$A$269:$I$289,2,0)</f>
        <v>212.26923076923075</v>
      </c>
      <c r="GS96" s="12">
        <f>VLOOKUP(A96,'Données projet'!$A$269:$I$289,9,0)</f>
        <v>5.2606837606837598</v>
      </c>
      <c r="GT96" s="12">
        <f t="array" ref="GT96">INDEX(GS:GS,MIN(IF(ISNUMBER(GS96:GS292),ROW(GS96:GS292),"")))</f>
        <v>5.2606837606837598</v>
      </c>
      <c r="GU96" s="12">
        <f>IF('Données projet'!$A$270&gt;35,GU95+GT96-HC95,IF(A96&lt;'Données projet'!$A$270,$GR$205^A96,IF(A96='Données projet'!$A$270,'Données projet'!$B$270,GU95+GT96-HC95)))</f>
        <v>212.26923076923055</v>
      </c>
      <c r="GV96" s="17">
        <f>GU96*VLOOKUP('Données projet'!$B$18,Paramètres!$A$1:$I$89,3,0)*VLOOKUP('Données projet'!$B$18,Paramètres!$A$1:$I$89,5,0)</f>
        <v>142.39019999999985</v>
      </c>
      <c r="GW96" s="13">
        <f t="shared" si="105"/>
        <v>36.844026097636494</v>
      </c>
      <c r="GX96" s="20">
        <f t="shared" si="82"/>
        <v>312.16627712004998</v>
      </c>
      <c r="GY96" s="59">
        <f t="shared" si="83"/>
        <v>605.4996104533833</v>
      </c>
      <c r="GZ96" s="59">
        <f ca="1">AVERAGE(OFFSET($GY$3,0,0,'Données projet'!$E$18+1,1))-AVERAGE(OFFSET($H$3,0,0,'Données projet'!$E$18+1,1))</f>
        <v>266.37807768393191</v>
      </c>
      <c r="HA96" s="59">
        <f t="shared" si="106"/>
        <v>168.52019826233425</v>
      </c>
      <c r="HB96" s="15">
        <f>IF(ISNA(VLOOKUP(A96,'Données projet'!$A$269:$I$289,3,0)),0,VLOOKUP(A96,'Données projet'!$A$269:$I$289,3,0))</f>
        <v>7</v>
      </c>
      <c r="HC96" s="15">
        <f>IF(ISNA(VLOOKUP(A96,'Données projet'!$A$269:$I$289,4,0)),0,VLOOKUP(A96,'Données projet'!$A$269:$I$289,4,0))</f>
        <v>30.083333333333332</v>
      </c>
      <c r="HD96" s="16">
        <f>IF(ISNA(VLOOKUP(A96,'Données projet'!$A$269:$I$289,5,0)),0%,VLOOKUP(A96,'Données projet'!$A$269:$I$289,5,0)*VLOOKUP('Données projet'!$B$18,Paramètres!$A$1:$I$89,7,0))</f>
        <v>0.371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22.307706102076938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84"/>
        <v>22.307706102076938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266.99999999999983</v>
      </c>
      <c r="O97" s="13">
        <f>N97*VLOOKUP('Données projet'!$B$9,Paramètres!$A$1:$I$89,3,0)*VLOOKUP('Données projet'!$B$9,Paramètres!$A$1:$I$89,5,0)</f>
        <v>233.2511999999999</v>
      </c>
      <c r="P97" s="13">
        <f t="shared" si="87"/>
        <v>56.985091661350864</v>
      </c>
      <c r="Q97" s="20">
        <f t="shared" si="54"/>
        <v>505.49487464351915</v>
      </c>
      <c r="R97" s="59">
        <f t="shared" si="55"/>
        <v>798.82820797685247</v>
      </c>
      <c r="S97" s="59">
        <f ca="1">AVERAGE(OFFSET($R$3,0,0,'Données projet'!$E$9+1,1))-AVERAGE(OFFSET($H$3,0,0,'Données projet'!$E$9+1,1))</f>
        <v>324.86930206492627</v>
      </c>
      <c r="T97" s="59">
        <f t="shared" si="88"/>
        <v>317.03005098025352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23.958932316177631</v>
      </c>
      <c r="AA97" s="21">
        <f>EXP(-LN(2)/25)*AA96+(1-EXP(-LN(2)/25))/(LN(2)/25)*Calculateur!V97*Calculateur!X97*VLOOKUP('Données projet'!$B$9,Paramètres!$A$1:$I$89,3,0)*0.475*44/12</f>
        <v>6.2033995643179898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30.162331880495621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7.1782051282051267</v>
      </c>
      <c r="AI97" s="13">
        <f>IF('Données projet'!$A$62&gt;35,AI96+AH97-AQ96,IF(A97&lt;'Données projet'!$A$62,$AF$205^A97,IF(A97='Données projet'!$A$62,'Données projet'!$B$62,AI96+AH97-AQ96)))</f>
        <v>282.35897435897476</v>
      </c>
      <c r="AJ97" s="13">
        <f>AI97*VLOOKUP('Données projet'!$B$10,Paramètres!$A$1:$I$89,3,0)*VLOOKUP('Données projet'!$B$10,Paramètres!$A$1:$I$89,5,0)</f>
        <v>268.69280000000037</v>
      </c>
      <c r="AK97" s="13">
        <f t="shared" si="89"/>
        <v>64.571770145086617</v>
      </c>
      <c r="AL97" s="20">
        <f t="shared" si="58"/>
        <v>580.43579300269312</v>
      </c>
      <c r="AM97" s="59">
        <f t="shared" si="59"/>
        <v>873.76912633602637</v>
      </c>
      <c r="AN97" s="59">
        <f ca="1">AVERAGE(OFFSET($AM$3,0,0,'Données projet'!$E$10+1,1))-AVERAGE(OFFSET($H$3,0,0,'Données projet'!$E$10+1,1))</f>
        <v>401.81944956556271</v>
      </c>
      <c r="AO97" s="59">
        <f t="shared" si="90"/>
        <v>292.20785523952651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40.278864241629208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40.278864241629208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1.7053025658242404E-13</v>
      </c>
      <c r="BE97" s="13">
        <f>BD97*VLOOKUP('Données projet'!$B$11,Paramètres!$A$1:$I$89,3,0)*VLOOKUP('Données projet'!$B$11,Paramètres!$A$1:$I$89,5,0)</f>
        <v>1.3301360013429075E-13</v>
      </c>
      <c r="BF97" s="13">
        <f t="shared" si="91"/>
        <v>1.9329766731057041E-12</v>
      </c>
      <c r="BG97" s="20">
        <f t="shared" si="61"/>
        <v>3.5982663925596575E-12</v>
      </c>
      <c r="BH97" s="59">
        <f t="shared" si="62"/>
        <v>293.3333333333369</v>
      </c>
      <c r="BI97" s="59">
        <f ca="1">AVERAGE(OFFSET($BH$3,0,0,'Données projet'!$E$11+1,1))-AVERAGE(OFFSET($H$3,0,0,'Données projet'!$E$11+1,1))</f>
        <v>288.80569134263209</v>
      </c>
      <c r="BJ97" s="59">
        <f t="shared" si="92"/>
        <v>283.48738729114024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49.451510453762147</v>
      </c>
      <c r="BQ97" s="21">
        <f>EXP(-LN(2)/25)*BQ96+(1-EXP(-LN(2)/25))/(LN(2)/25)*Calculateur!BL97*Calculateur!BN97*VLOOKUP('Données projet'!$B$11,Paramètres!$A$1:$I$89,3,0)*0.475*44/12</f>
        <v>34.104770274221984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83.556280727984131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2.8</v>
      </c>
      <c r="BY97" s="12">
        <f>IF('Données projet'!$A$114&gt;35,BY96+BX97-CG96,IF(A97&lt;'Données projet'!$A$114,$BV$205^A97,IF(A97='Données projet'!$A$114,'Données projet'!$B$114,BY96+BX97-CG96)))</f>
        <v>216.20000000000007</v>
      </c>
      <c r="BZ97" s="13">
        <f>BY97*VLOOKUP('Données projet'!$B$12,Paramètres!$A$1:$I$89,3,0)*VLOOKUP('Données projet'!$B$12,Paramètres!$A$1:$I$89,5,0)</f>
        <v>225.97224000000011</v>
      </c>
      <c r="CA97" s="13">
        <f t="shared" si="93"/>
        <v>55.410892195806532</v>
      </c>
      <c r="CB97" s="20">
        <f t="shared" si="64"/>
        <v>490.07562190769653</v>
      </c>
      <c r="CC97" s="59">
        <f t="shared" si="65"/>
        <v>783.40895524102984</v>
      </c>
      <c r="CD97" s="59">
        <f ca="1">AVERAGE(OFFSET($CC$3,0,0,'Données projet'!$E$12+1,1))-AVERAGE(OFFSET($H$3,0,0,'Données projet'!$E$12+1,1))</f>
        <v>352.22281362023102</v>
      </c>
      <c r="CE97" s="59">
        <f t="shared" si="94"/>
        <v>310.2353747925161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14.257938167821939</v>
      </c>
      <c r="CL97" s="21">
        <f>EXP(-LN(2)/25)*CL96+(1-EXP(-LN(2)/25))/(LN(2)/25)*Calculateur!CG97*Calculateur!CI97*VLOOKUP('Données projet'!$B$12,Paramètres!$A$1:$I$89,3,0)*0.475*44/12</f>
        <v>14.953147428174862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29.211085595996799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5.2583333333333373</v>
      </c>
      <c r="CT97" s="12">
        <f>IF('Données projet'!$A$140&gt;35,CT96+CS97-DB96,IF(A97&lt;'Données projet'!$A$140,$CQ$205^A97,IF(A97='Données projet'!$A$140,'Données projet'!$B$140,CT96+CS97-DB96)))</f>
        <v>187.44423076923053</v>
      </c>
      <c r="CU97" s="17">
        <f>CT97*VLOOKUP('Données projet'!$B$13,Paramètres!$A$1:$I$89,3,0)*VLOOKUP('Données projet'!$B$13,Paramètres!$A$1:$I$89,5,0)</f>
        <v>169.59953999999976</v>
      </c>
      <c r="CV97" s="13">
        <f t="shared" si="95"/>
        <v>43.000321559740421</v>
      </c>
      <c r="CW97" s="20">
        <f t="shared" si="67"/>
        <v>370.27809221654746</v>
      </c>
      <c r="CX97" s="59">
        <f t="shared" si="68"/>
        <v>663.61142554988078</v>
      </c>
      <c r="CY97" s="59">
        <f ca="1">AVERAGE(OFFSET($CX$3,0,0,'Données projet'!$E$13+1,1))-AVERAGE(OFFSET($H$3,0,0,'Données projet'!$E$13+1,1))</f>
        <v>345.49688858037996</v>
      </c>
      <c r="CZ97" s="59">
        <f t="shared" si="96"/>
        <v>213.15872113755023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23.933498194769818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23.933498194769818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5.2583333333333373</v>
      </c>
      <c r="DO97" s="12">
        <f>IF('Données projet'!$A$166&gt;35,DO96+DN97-DW96,IF(A97&lt;'Données projet'!$A$166,$DL$205^A97,IF(A97='Données projet'!$A$166,'Données projet'!$B$166,DO96+DN97-DW96)))</f>
        <v>187.44423076923053</v>
      </c>
      <c r="DP97" s="17">
        <f>DO97*VLOOKUP('Données projet'!$B$14,Paramètres!$A$1:$I$89,3,0)*VLOOKUP('Données projet'!$B$14,Paramètres!$A$1:$I$89,5,0)</f>
        <v>190.06844999999976</v>
      </c>
      <c r="DQ97" s="13">
        <f t="shared" si="97"/>
        <v>47.555085857097623</v>
      </c>
      <c r="DR97" s="20">
        <f t="shared" si="70"/>
        <v>413.86099161777793</v>
      </c>
      <c r="DS97" s="59">
        <f t="shared" si="71"/>
        <v>707.19432495111118</v>
      </c>
      <c r="DT97" s="59">
        <f ca="1">AVERAGE(OFFSET($DS$3,0,0,'Données projet'!$E$14+1,1))-AVERAGE(OFFSET($H$3,0,0,'Données projet'!$E$14+1,1))</f>
        <v>382.26108489744581</v>
      </c>
      <c r="DU97" s="59">
        <f t="shared" si="98"/>
        <v>233.89423996158826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26.822023838966171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26.822023838966171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7.539173789173784</v>
      </c>
      <c r="EJ97" s="12">
        <f>IF('Données projet'!$A$192&gt;35,EJ96+EI97-ER96,IF(A97&lt;'Données projet'!$A$192,$EG$205^A97,IF(A97='Données projet'!$A$192,'Données projet'!$B$192,EJ96+EI97-ER96)))</f>
        <v>279.7977207977205</v>
      </c>
      <c r="EK97" s="17">
        <f>EJ97*VLOOKUP('Données projet'!$B$15,Paramètres!$A$1:$I$89,3,0)*VLOOKUP('Données projet'!$B$15,Paramètres!$A$1:$I$89,5,0)</f>
        <v>235.70159999999976</v>
      </c>
      <c r="EL97" s="13">
        <f t="shared" si="99"/>
        <v>57.513738297490171</v>
      </c>
      <c r="EM97" s="20">
        <f t="shared" si="73"/>
        <v>510.68338086812832</v>
      </c>
      <c r="EN97" s="59">
        <f t="shared" si="74"/>
        <v>804.01671420146158</v>
      </c>
      <c r="EO97" s="59">
        <f ca="1">AVERAGE(OFFSET($EN$3,0,0,'Données projet'!$E$15+1,1))-AVERAGE(OFFSET($H$3,0,0,'Données projet'!$E$15+1,1))</f>
        <v>312.48716825299158</v>
      </c>
      <c r="EP97" s="59">
        <f t="shared" si="100"/>
        <v>258.68277822755357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61.609315481422435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61.609315481422435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5.2583333333333373</v>
      </c>
      <c r="FE97" s="12">
        <f>IF('Données projet'!$A$218&gt;35,FE96+FD97-FM96,IF(A97&lt;'Données projet'!$A$218,$FB$205^A97,IF(A97='Données projet'!$A$218,'Données projet'!$B$218,FE96+FD97-FM96)))</f>
        <v>187.44423076923053</v>
      </c>
      <c r="FF97" s="17">
        <f>FE97*VLOOKUP('Données projet'!$B$16,Paramètres!$A$1:$I$89,3,0)*VLOOKUP('Données projet'!$B$16,Paramètres!$A$1:$I$89,5,0)</f>
        <v>201.76496999999972</v>
      </c>
      <c r="FG97" s="13">
        <f t="shared" si="101"/>
        <v>50.131856141075623</v>
      </c>
      <c r="FH97" s="20">
        <f t="shared" si="76"/>
        <v>438.72030552903954</v>
      </c>
      <c r="FI97" s="59">
        <f t="shared" si="77"/>
        <v>732.05363886237285</v>
      </c>
      <c r="FJ97" s="59">
        <f ca="1">AVERAGE(OFFSET($FI$3,0,0,'Données projet'!$E$16+1,1))-AVERAGE(OFFSET($H$3,0,0,'Données projet'!$E$16+1,1))</f>
        <v>403.23110963096246</v>
      </c>
      <c r="FK97" s="59">
        <f t="shared" si="102"/>
        <v>245.72000393124898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28.472609921364093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28.472609921364093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5.2583333333333373</v>
      </c>
      <c r="FZ97" s="12">
        <f>IF('Données projet'!$A$244&gt;35,FZ96+FY97-GH96,IF(A97&lt;'Données projet'!$A$244,$FW$205^A97,IF(A97='Données projet'!$A$244,'Données projet'!$B$244,FZ96+FY97-GH96)))</f>
        <v>187.44423076923053</v>
      </c>
      <c r="GA97" s="17">
        <f>FZ97*VLOOKUP('Données projet'!$B$17,Paramètres!$A$1:$I$89,3,0)*VLOOKUP('Données projet'!$B$17,Paramètres!$A$1:$I$89,5,0)</f>
        <v>181.29605999999978</v>
      </c>
      <c r="GB97" s="13">
        <f t="shared" si="103"/>
        <v>45.610415125067746</v>
      </c>
      <c r="GC97" s="20">
        <f t="shared" si="79"/>
        <v>395.19544417615924</v>
      </c>
      <c r="GD97" s="59">
        <f t="shared" si="80"/>
        <v>688.52877750949256</v>
      </c>
      <c r="GE97" s="59">
        <f ca="1">AVERAGE(OFFSET($GD$3,0,0,'Données projet'!$E$17+1,1))-AVERAGE(OFFSET($H$3,0,0,'Données projet'!$E$17+1,1))</f>
        <v>336.2911850338175</v>
      </c>
      <c r="GF97" s="59">
        <f t="shared" si="104"/>
        <v>225.01415116995503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25.584084277167744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25.584084277167744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5.2583333333333373</v>
      </c>
      <c r="GU97" s="12">
        <f>IF('Données projet'!$A$270&gt;35,GU96+GT97-HC96,IF(A97&lt;'Données projet'!$A$270,$GR$205^A97,IF(A97='Données projet'!$A$270,'Données projet'!$B$270,GU96+GT97-HC96)))</f>
        <v>187.44423076923053</v>
      </c>
      <c r="GV97" s="17">
        <f>GU97*VLOOKUP('Données projet'!$B$18,Paramètres!$A$1:$I$89,3,0)*VLOOKUP('Données projet'!$B$18,Paramètres!$A$1:$I$89,5,0)</f>
        <v>125.73758999999984</v>
      </c>
      <c r="GW97" s="13">
        <f t="shared" si="105"/>
        <v>33.009538722869813</v>
      </c>
      <c r="GX97" s="20">
        <f t="shared" si="82"/>
        <v>276.48458252566462</v>
      </c>
      <c r="GY97" s="59">
        <f t="shared" si="83"/>
        <v>569.81791585899794</v>
      </c>
      <c r="GZ97" s="59">
        <f ca="1">AVERAGE(OFFSET($GY$3,0,0,'Données projet'!$E$18+1,1))-AVERAGE(OFFSET($H$3,0,0,'Données projet'!$E$18+1,1))</f>
        <v>266.37807768393191</v>
      </c>
      <c r="HA97" s="59">
        <f t="shared" si="106"/>
        <v>168.52019826233425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21.870265591772416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84"/>
        <v>21.870265591772416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266.99999999999983</v>
      </c>
      <c r="O98" s="13">
        <f>N98*VLOOKUP('Données projet'!$B$9,Paramètres!$A$1:$I$89,3,0)*VLOOKUP('Données projet'!$B$9,Paramètres!$A$1:$I$89,5,0)</f>
        <v>233.2511999999999</v>
      </c>
      <c r="P98" s="13">
        <f t="shared" si="87"/>
        <v>56.985091661350864</v>
      </c>
      <c r="Q98" s="20">
        <f t="shared" si="54"/>
        <v>505.49487464351915</v>
      </c>
      <c r="R98" s="59">
        <f t="shared" si="55"/>
        <v>798.82820797685247</v>
      </c>
      <c r="S98" s="59">
        <f ca="1">AVERAGE(OFFSET($R$3,0,0,'Données projet'!$E$9+1,1))-AVERAGE(OFFSET($H$3,0,0,'Données projet'!$E$9+1,1))</f>
        <v>324.86930206492627</v>
      </c>
      <c r="T98" s="59">
        <f t="shared" si="88"/>
        <v>317.03005098025352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23.489112266963136</v>
      </c>
      <c r="AA98" s="21">
        <f>EXP(-LN(2)/25)*AA97+(1-EXP(-LN(2)/25))/(LN(2)/25)*Calculateur!V98*Calculateur!X98*VLOOKUP('Données projet'!$B$9,Paramètres!$A$1:$I$89,3,0)*0.475*44/12</f>
        <v>6.0337672770091091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29.522879543972245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7.1782051282051267</v>
      </c>
      <c r="AI98" s="13">
        <f>IF('Données projet'!$A$62&gt;35,AI97+AH98-AQ97,IF(A98&lt;'Données projet'!$A$62,$AF$205^A98,IF(A98='Données projet'!$A$62,'Données projet'!$B$62,AI97+AH98-AQ97)))</f>
        <v>289.53717948717991</v>
      </c>
      <c r="AJ98" s="13">
        <f>AI98*VLOOKUP('Données projet'!$B$10,Paramètres!$A$1:$I$89,3,0)*VLOOKUP('Données projet'!$B$10,Paramètres!$A$1:$I$89,5,0)</f>
        <v>275.52358000000044</v>
      </c>
      <c r="AK98" s="13">
        <f t="shared" si="89"/>
        <v>66.020127164089999</v>
      </c>
      <c r="AL98" s="20">
        <f t="shared" si="58"/>
        <v>594.85528997745757</v>
      </c>
      <c r="AM98" s="59">
        <f t="shared" si="59"/>
        <v>888.18862331079094</v>
      </c>
      <c r="AN98" s="59">
        <f ca="1">AVERAGE(OFFSET($AM$3,0,0,'Données projet'!$E$10+1,1))-AVERAGE(OFFSET($H$3,0,0,'Données projet'!$E$10+1,1))</f>
        <v>401.81944956556271</v>
      </c>
      <c r="AO98" s="59">
        <f t="shared" si="90"/>
        <v>292.20785523952651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39.489020281532191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39.489020281532191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1.7053025658242404E-13</v>
      </c>
      <c r="BE98" s="13">
        <f>BD98*VLOOKUP('Données projet'!$B$11,Paramètres!$A$1:$I$89,3,0)*VLOOKUP('Données projet'!$B$11,Paramètres!$A$1:$I$89,5,0)</f>
        <v>1.3301360013429075E-13</v>
      </c>
      <c r="BF98" s="13">
        <f t="shared" si="91"/>
        <v>1.9329766731057041E-12</v>
      </c>
      <c r="BG98" s="20">
        <f t="shared" si="61"/>
        <v>3.5982663925596575E-12</v>
      </c>
      <c r="BH98" s="59">
        <f t="shared" si="62"/>
        <v>293.3333333333369</v>
      </c>
      <c r="BI98" s="59">
        <f ca="1">AVERAGE(OFFSET($BH$3,0,0,'Données projet'!$E$11+1,1))-AVERAGE(OFFSET($H$3,0,0,'Données projet'!$E$11+1,1))</f>
        <v>288.80569134263209</v>
      </c>
      <c r="BJ98" s="59">
        <f t="shared" si="92"/>
        <v>283.48738729114024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48.481796496206954</v>
      </c>
      <c r="BQ98" s="21">
        <f>EXP(-LN(2)/25)*BQ97+(1-EXP(-LN(2)/25))/(LN(2)/25)*Calculateur!BL98*Calculateur!BN98*VLOOKUP('Données projet'!$B$11,Paramètres!$A$1:$I$89,3,0)*0.475*44/12</f>
        <v>33.172173537581465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81.653970033788426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219</v>
      </c>
      <c r="BW98" s="12">
        <f>VLOOKUP(A98,'Données projet'!$A$113:$I$133,9,0)</f>
        <v>2.8</v>
      </c>
      <c r="BX98" s="12">
        <f t="array" ref="BX98">INDEX(BW:BW,MIN(IF(ISNUMBER(BW98:BW294),ROW(BW98:BW294),"")))</f>
        <v>2.8</v>
      </c>
      <c r="BY98" s="12">
        <f>IF('Données projet'!$A$114&gt;35,BY97+BX98-CG97,IF(A98&lt;'Données projet'!$A$114,$BV$205^A98,IF(A98='Données projet'!$A$114,'Données projet'!$B$114,BY97+BX98-CG97)))</f>
        <v>219.00000000000009</v>
      </c>
      <c r="BZ98" s="13">
        <f>BY98*VLOOKUP('Données projet'!$B$12,Paramètres!$A$1:$I$89,3,0)*VLOOKUP('Données projet'!$B$12,Paramètres!$A$1:$I$89,5,0)</f>
        <v>228.89880000000014</v>
      </c>
      <c r="CA98" s="13">
        <f t="shared" si="93"/>
        <v>56.044509878204714</v>
      </c>
      <c r="CB98" s="20">
        <f t="shared" si="64"/>
        <v>496.2762647045401</v>
      </c>
      <c r="CC98" s="59">
        <f t="shared" si="65"/>
        <v>789.60959803787341</v>
      </c>
      <c r="CD98" s="59">
        <f ca="1">AVERAGE(OFFSET($CC$3,0,0,'Données projet'!$E$12+1,1))-AVERAGE(OFFSET($H$3,0,0,'Données projet'!$E$12+1,1))</f>
        <v>352.22281362023102</v>
      </c>
      <c r="CE98" s="59">
        <f t="shared" si="94"/>
        <v>310.2353747925161</v>
      </c>
      <c r="CF98" s="15">
        <f>IF(ISNA(VLOOKUP(A98,'Données projet'!$A$113:$I$133,3,0)),0,VLOOKUP(A98,'Données projet'!$A$113:$I$133,3,0))</f>
        <v>16</v>
      </c>
      <c r="CG98" s="15" t="str">
        <f>IF(ISNA(VLOOKUP(A98,'Données projet'!$A$113:$I$133,4,0)),0,VLOOKUP(A98,'Données projet'!$A$113:$I$133,4,0))</f>
        <v>11</v>
      </c>
      <c r="CH98" s="16">
        <f>IF(ISNA(VLOOKUP(A98,'Données projet'!$A$113:$I$133,5,0)),0%,VLOOKUP(A98,'Données projet'!$A$113:$I$133,5,0)*VLOOKUP('Données projet'!$B$12,Paramètres!$A$1:$I$89,7,0))</f>
        <v>0.215</v>
      </c>
      <c r="CI98" s="16">
        <f>IF(ISNA(VLOOKUP(A98,'Données projet'!$A$113:$I$133,6,0)),0%,VLOOKUP(A98,'Données projet'!$A$113:$I$133,6,0)*VLOOKUP('Données projet'!$B$12,Paramètres!$A$1:$I$89,7,0))</f>
        <v>0.17200000000000001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16.710958717061267</v>
      </c>
      <c r="CL98" s="21">
        <f>EXP(-LN(2)/25)*CL97+(1-EXP(-LN(2)/25))/(LN(2)/25)*Calculateur!CG98*Calculateur!CI98*VLOOKUP('Données projet'!$B$12,Paramètres!$A$1:$I$89,3,0)*0.475*44/12</f>
        <v>16.721733380096424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33.432692097157691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5.2583333333333373</v>
      </c>
      <c r="CT98" s="12">
        <f>IF('Données projet'!$A$140&gt;35,CT97+CS98-DB97,IF(A98&lt;'Données projet'!$A$140,$CQ$205^A98,IF(A98='Données projet'!$A$140,'Données projet'!$B$140,CT97+CS98-DB97)))</f>
        <v>192.70256410256385</v>
      </c>
      <c r="CU98" s="17">
        <f>CT98*VLOOKUP('Données projet'!$B$13,Paramètres!$A$1:$I$89,3,0)*VLOOKUP('Données projet'!$B$13,Paramètres!$A$1:$I$89,5,0)</f>
        <v>174.35727999999978</v>
      </c>
      <c r="CV98" s="13">
        <f t="shared" si="95"/>
        <v>44.064467301710017</v>
      </c>
      <c r="CW98" s="20">
        <f t="shared" si="67"/>
        <v>380.41787655047784</v>
      </c>
      <c r="CX98" s="59">
        <f t="shared" si="68"/>
        <v>673.75120988381116</v>
      </c>
      <c r="CY98" s="59">
        <f ca="1">AVERAGE(OFFSET($CX$3,0,0,'Données projet'!$E$13+1,1))-AVERAGE(OFFSET($H$3,0,0,'Données projet'!$E$13+1,1))</f>
        <v>345.49688858037996</v>
      </c>
      <c r="CZ98" s="59">
        <f t="shared" si="96"/>
        <v>213.15872113755023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23.46417689316285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23.46417689316285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5.2583333333333373</v>
      </c>
      <c r="DO98" s="12">
        <f>IF('Données projet'!$A$166&gt;35,DO97+DN98-DW97,IF(A98&lt;'Données projet'!$A$166,$DL$205^A98,IF(A98='Données projet'!$A$166,'Données projet'!$B$166,DO97+DN98-DW97)))</f>
        <v>192.70256410256385</v>
      </c>
      <c r="DP98" s="17">
        <f>DO98*VLOOKUP('Données projet'!$B$14,Paramètres!$A$1:$I$89,3,0)*VLOOKUP('Données projet'!$B$14,Paramètres!$A$1:$I$89,5,0)</f>
        <v>195.40039999999976</v>
      </c>
      <c r="DQ98" s="13">
        <f t="shared" si="97"/>
        <v>48.73195012899663</v>
      </c>
      <c r="DR98" s="20">
        <f t="shared" si="70"/>
        <v>425.19717647466877</v>
      </c>
      <c r="DS98" s="59">
        <f t="shared" si="71"/>
        <v>718.53050980800208</v>
      </c>
      <c r="DT98" s="59">
        <f ca="1">AVERAGE(OFFSET($DS$3,0,0,'Données projet'!$E$14+1,1))-AVERAGE(OFFSET($H$3,0,0,'Données projet'!$E$14+1,1))</f>
        <v>382.26108489744581</v>
      </c>
      <c r="DU98" s="59">
        <f t="shared" si="98"/>
        <v>233.89423996158826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26.296060311303187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26.296060311303187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7.539173789173784</v>
      </c>
      <c r="EJ98" s="12">
        <f>IF('Données projet'!$A$192&gt;35,EJ97+EI98-ER97,IF(A98&lt;'Données projet'!$A$192,$EG$205^A98,IF(A98='Données projet'!$A$192,'Données projet'!$B$192,EJ97+EI98-ER97)))</f>
        <v>287.33689458689429</v>
      </c>
      <c r="EK98" s="17">
        <f>EJ98*VLOOKUP('Données projet'!$B$15,Paramètres!$A$1:$I$89,3,0)*VLOOKUP('Données projet'!$B$15,Paramètres!$A$1:$I$89,5,0)</f>
        <v>242.05259999999979</v>
      </c>
      <c r="EL98" s="13">
        <f t="shared" si="99"/>
        <v>58.880938245493347</v>
      </c>
      <c r="EM98" s="20">
        <f t="shared" si="73"/>
        <v>524.1259124442339</v>
      </c>
      <c r="EN98" s="59">
        <f t="shared" si="74"/>
        <v>817.45924577756728</v>
      </c>
      <c r="EO98" s="59">
        <f ca="1">AVERAGE(OFFSET($EN$3,0,0,'Données projet'!$E$15+1,1))-AVERAGE(OFFSET($H$3,0,0,'Données projet'!$E$15+1,1))</f>
        <v>312.48716825299158</v>
      </c>
      <c r="EP98" s="59">
        <f t="shared" si="100"/>
        <v>258.68277822755357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60.401194382803666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60.401194382803666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5.2583333333333373</v>
      </c>
      <c r="FE98" s="12">
        <f>IF('Données projet'!$A$218&gt;35,FE97+FD98-FM97,IF(A98&lt;'Données projet'!$A$218,$FB$205^A98,IF(A98='Données projet'!$A$218,'Données projet'!$B$218,FE97+FD98-FM97)))</f>
        <v>192.70256410256385</v>
      </c>
      <c r="FF98" s="17">
        <f>FE98*VLOOKUP('Données projet'!$B$16,Paramètres!$A$1:$I$89,3,0)*VLOOKUP('Données projet'!$B$16,Paramètres!$A$1:$I$89,5,0)</f>
        <v>207.42503999999971</v>
      </c>
      <c r="FG98" s="13">
        <f t="shared" si="101"/>
        <v>51.372488752983891</v>
      </c>
      <c r="FH98" s="20">
        <f t="shared" si="76"/>
        <v>450.73902924477983</v>
      </c>
      <c r="FI98" s="59">
        <f t="shared" si="77"/>
        <v>744.07236257811314</v>
      </c>
      <c r="FJ98" s="59">
        <f ca="1">AVERAGE(OFFSET($FI$3,0,0,'Données projet'!$E$16+1,1))-AVERAGE(OFFSET($H$3,0,0,'Données projet'!$E$16+1,1))</f>
        <v>403.23110963096246</v>
      </c>
      <c r="FK98" s="59">
        <f t="shared" si="102"/>
        <v>245.72000393124898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27.914279407383386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27.914279407383386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5.2583333333333373</v>
      </c>
      <c r="FZ98" s="12">
        <f>IF('Données projet'!$A$244&gt;35,FZ97+FY98-GH97,IF(A98&lt;'Données projet'!$A$244,$FW$205^A98,IF(A98='Données projet'!$A$244,'Données projet'!$B$244,FZ97+FY98-GH97)))</f>
        <v>192.70256410256385</v>
      </c>
      <c r="GA98" s="17">
        <f>FZ98*VLOOKUP('Données projet'!$B$17,Paramètres!$A$1:$I$89,3,0)*VLOOKUP('Données projet'!$B$17,Paramètres!$A$1:$I$89,5,0)</f>
        <v>186.38191999999978</v>
      </c>
      <c r="GB98" s="13">
        <f t="shared" si="103"/>
        <v>46.739153871297241</v>
      </c>
      <c r="GC98" s="20">
        <f t="shared" si="79"/>
        <v>406.01920365917562</v>
      </c>
      <c r="GD98" s="59">
        <f t="shared" si="80"/>
        <v>699.35253699250893</v>
      </c>
      <c r="GE98" s="59">
        <f ca="1">AVERAGE(OFFSET($GD$3,0,0,'Données projet'!$E$17+1,1))-AVERAGE(OFFSET($H$3,0,0,'Données projet'!$E$17+1,1))</f>
        <v>336.2911850338175</v>
      </c>
      <c r="GF98" s="59">
        <f t="shared" si="104"/>
        <v>225.01415116995503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25.082395989243054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25.082395989243054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5.2583333333333373</v>
      </c>
      <c r="GU98" s="12">
        <f>IF('Données projet'!$A$270&gt;35,GU97+GT98-HC97,IF(A98&lt;'Données projet'!$A$270,$GR$205^A98,IF(A98='Données projet'!$A$270,'Données projet'!$B$270,GU97+GT98-HC97)))</f>
        <v>192.70256410256385</v>
      </c>
      <c r="GV98" s="17">
        <f>GU98*VLOOKUP('Données projet'!$B$18,Paramètres!$A$1:$I$89,3,0)*VLOOKUP('Données projet'!$B$18,Paramètres!$A$1:$I$89,5,0)</f>
        <v>129.26487999999983</v>
      </c>
      <c r="GW98" s="13">
        <f t="shared" si="105"/>
        <v>33.826438662269545</v>
      </c>
      <c r="GX98" s="20">
        <f t="shared" si="82"/>
        <v>284.0507133367858</v>
      </c>
      <c r="GY98" s="59">
        <f t="shared" si="83"/>
        <v>577.38404667011912</v>
      </c>
      <c r="GZ98" s="59">
        <f ca="1">AVERAGE(OFFSET($GY$3,0,0,'Données projet'!$E$18+1,1))-AVERAGE(OFFSET($H$3,0,0,'Données projet'!$E$18+1,1))</f>
        <v>266.37807768393191</v>
      </c>
      <c r="HA98" s="59">
        <f t="shared" si="106"/>
        <v>168.52019826233425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21.441403023062598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84"/>
        <v>21.441403023062598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266.99999999999983</v>
      </c>
      <c r="O99" s="13">
        <f>N99*VLOOKUP('Données projet'!$B$9,Paramètres!$A$1:$I$89,3,0)*VLOOKUP('Données projet'!$B$9,Paramètres!$A$1:$I$89,5,0)</f>
        <v>233.2511999999999</v>
      </c>
      <c r="P99" s="13">
        <f t="shared" si="87"/>
        <v>56.985091661350864</v>
      </c>
      <c r="Q99" s="20">
        <f t="shared" ref="Q99:Q130" si="107">(O99+P99)*0.475*44/12</f>
        <v>505.49487464351915</v>
      </c>
      <c r="R99" s="59">
        <f t="shared" si="55"/>
        <v>798.82820797685247</v>
      </c>
      <c r="S99" s="59">
        <f ca="1">AVERAGE(OFFSET($R$3,0,0,'Données projet'!$E$9+1,1))-AVERAGE(OFFSET($H$3,0,0,'Données projet'!$E$9+1,1))</f>
        <v>324.86930206492627</v>
      </c>
      <c r="T99" s="59">
        <f t="shared" si="88"/>
        <v>317.03005098025352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23.028505102351804</v>
      </c>
      <c r="AA99" s="21">
        <f>EXP(-LN(2)/25)*AA98+(1-EXP(-LN(2)/25))/(LN(2)/25)*Calculateur!V99*Calculateur!X99*VLOOKUP('Données projet'!$B$9,Paramètres!$A$1:$I$89,3,0)*0.475*44/12</f>
        <v>5.8687735935172647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28.897278695869069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7.1782051282051267</v>
      </c>
      <c r="AI99" s="13">
        <f>IF('Données projet'!$A$62&gt;35,AI98+AH99-AQ98,IF(A99&lt;'Données projet'!$A$62,$AF$205^A99,IF(A99='Données projet'!$A$62,'Données projet'!$B$62,AI98+AH99-AQ98)))</f>
        <v>296.71538461538506</v>
      </c>
      <c r="AJ99" s="13">
        <f>AI99*VLOOKUP('Données projet'!$B$10,Paramètres!$A$1:$I$89,3,0)*VLOOKUP('Données projet'!$B$10,Paramètres!$A$1:$I$89,5,0)</f>
        <v>282.35436000000044</v>
      </c>
      <c r="AK99" s="13">
        <f t="shared" si="89"/>
        <v>67.464310104097265</v>
      </c>
      <c r="AL99" s="20">
        <f t="shared" si="58"/>
        <v>609.26751709797009</v>
      </c>
      <c r="AM99" s="59">
        <f t="shared" si="59"/>
        <v>902.60085043130334</v>
      </c>
      <c r="AN99" s="59">
        <f ca="1">AVERAGE(OFFSET($AM$3,0,0,'Données projet'!$E$10+1,1))-AVERAGE(OFFSET($H$3,0,0,'Données projet'!$E$10+1,1))</f>
        <v>401.81944956556271</v>
      </c>
      <c r="AO99" s="59">
        <f t="shared" si="90"/>
        <v>292.20785523952651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38.714664679735428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38.714664679735428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1.7053025658242404E-13</v>
      </c>
      <c r="BE99" s="13">
        <f>BD99*VLOOKUP('Données projet'!$B$11,Paramètres!$A$1:$I$89,3,0)*VLOOKUP('Données projet'!$B$11,Paramètres!$A$1:$I$89,5,0)</f>
        <v>1.3301360013429075E-13</v>
      </c>
      <c r="BF99" s="13">
        <f t="shared" si="91"/>
        <v>1.9329766731057041E-12</v>
      </c>
      <c r="BG99" s="20">
        <f t="shared" si="61"/>
        <v>3.5982663925596575E-12</v>
      </c>
      <c r="BH99" s="59">
        <f t="shared" si="62"/>
        <v>293.3333333333369</v>
      </c>
      <c r="BI99" s="59">
        <f ca="1">AVERAGE(OFFSET($BH$3,0,0,'Données projet'!$E$11+1,1))-AVERAGE(OFFSET($H$3,0,0,'Données projet'!$E$11+1,1))</f>
        <v>288.80569134263209</v>
      </c>
      <c r="BJ99" s="59">
        <f t="shared" si="92"/>
        <v>283.48738729114024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47.531098037892306</v>
      </c>
      <c r="BQ99" s="21">
        <f>EXP(-LN(2)/25)*BQ98+(1-EXP(-LN(2)/25))/(LN(2)/25)*Calculateur!BL99*Calculateur!BN99*VLOOKUP('Données projet'!$B$11,Paramètres!$A$1:$I$89,3,0)*0.475*44/12</f>
        <v>32.265078707747506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79.796176745639812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</v>
      </c>
      <c r="BY99" s="12">
        <f>IF('Données projet'!$A$114&gt;35,BY98+BX99-CG98,IF(A99&lt;'Données projet'!$A$114,$BV$205^A99,IF(A99='Données projet'!$A$114,'Données projet'!$B$114,BY98+BX99-CG98)))</f>
        <v>211.00000000000009</v>
      </c>
      <c r="BZ99" s="13">
        <f>BY99*VLOOKUP('Données projet'!$B$12,Paramètres!$A$1:$I$89,3,0)*VLOOKUP('Données projet'!$B$12,Paramètres!$A$1:$I$89,5,0)</f>
        <v>220.5372000000001</v>
      </c>
      <c r="CA99" s="13">
        <f t="shared" si="93"/>
        <v>54.231626908561452</v>
      </c>
      <c r="CB99" s="20">
        <f t="shared" si="64"/>
        <v>478.55570686574464</v>
      </c>
      <c r="CC99" s="59">
        <f t="shared" si="65"/>
        <v>771.88904019907795</v>
      </c>
      <c r="CD99" s="59">
        <f ca="1">AVERAGE(OFFSET($CC$3,0,0,'Données projet'!$E$12+1,1))-AVERAGE(OFFSET($H$3,0,0,'Données projet'!$E$12+1,1))</f>
        <v>352.22281362023102</v>
      </c>
      <c r="CE99" s="59">
        <f t="shared" si="94"/>
        <v>310.2353747925161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16.38326700929807</v>
      </c>
      <c r="CL99" s="21">
        <f>EXP(-LN(2)/25)*CL98+(1-EXP(-LN(2)/25))/(LN(2)/25)*Calculateur!CG99*Calculateur!CI99*VLOOKUP('Données projet'!$B$12,Paramètres!$A$1:$I$89,3,0)*0.475*44/12</f>
        <v>16.264476701459948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32.647743710758022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5.2583333333333373</v>
      </c>
      <c r="CT99" s="12">
        <f>IF('Données projet'!$A$140&gt;35,CT98+CS99-DB98,IF(A99&lt;'Données projet'!$A$140,$CQ$205^A99,IF(A99='Données projet'!$A$140,'Données projet'!$B$140,CT98+CS99-DB98)))</f>
        <v>197.96089743589718</v>
      </c>
      <c r="CU99" s="17">
        <f>CT99*VLOOKUP('Données projet'!$B$13,Paramètres!$A$1:$I$89,3,0)*VLOOKUP('Données projet'!$B$13,Paramètres!$A$1:$I$89,5,0)</f>
        <v>179.11501999999976</v>
      </c>
      <c r="CV99" s="13">
        <f t="shared" si="95"/>
        <v>45.125237978705186</v>
      </c>
      <c r="CW99" s="20">
        <f t="shared" si="67"/>
        <v>390.55178264624448</v>
      </c>
      <c r="CX99" s="59">
        <f t="shared" si="68"/>
        <v>683.88511597957779</v>
      </c>
      <c r="CY99" s="59">
        <f ca="1">AVERAGE(OFFSET($CX$3,0,0,'Données projet'!$E$13+1,1))-AVERAGE(OFFSET($H$3,0,0,'Données projet'!$E$13+1,1))</f>
        <v>345.49688858037996</v>
      </c>
      <c r="CZ99" s="59">
        <f t="shared" si="96"/>
        <v>213.15872113755023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23.004058696022664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23.004058696022664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5.2583333333333373</v>
      </c>
      <c r="DO99" s="12">
        <f>IF('Données projet'!$A$166&gt;35,DO98+DN99-DW98,IF(A99&lt;'Données projet'!$A$166,$DL$205^A99,IF(A99='Données projet'!$A$166,'Données projet'!$B$166,DO98+DN99-DW98)))</f>
        <v>197.96089743589718</v>
      </c>
      <c r="DP99" s="17">
        <f>DO99*VLOOKUP('Données projet'!$B$14,Paramètres!$A$1:$I$89,3,0)*VLOOKUP('Données projet'!$B$14,Paramètres!$A$1:$I$89,5,0)</f>
        <v>200.73234999999977</v>
      </c>
      <c r="DQ99" s="13">
        <f t="shared" si="97"/>
        <v>49.905081835677372</v>
      </c>
      <c r="DR99" s="20">
        <f t="shared" si="70"/>
        <v>436.52686044713772</v>
      </c>
      <c r="DS99" s="59">
        <f t="shared" si="71"/>
        <v>729.86019378047104</v>
      </c>
      <c r="DT99" s="59">
        <f ca="1">AVERAGE(OFFSET($DS$3,0,0,'Données projet'!$E$14+1,1))-AVERAGE(OFFSET($H$3,0,0,'Données projet'!$E$14+1,1))</f>
        <v>382.26108489744581</v>
      </c>
      <c r="DU99" s="59">
        <f t="shared" si="98"/>
        <v>233.89423996158826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25.7804106076116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25.7804106076116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7.539173789173784</v>
      </c>
      <c r="EJ99" s="12">
        <f>IF('Données projet'!$A$192&gt;35,EJ98+EI99-ER98,IF(A99&lt;'Données projet'!$A$192,$EG$205^A99,IF(A99='Données projet'!$A$192,'Données projet'!$B$192,EJ98+EI99-ER98)))</f>
        <v>294.87606837606808</v>
      </c>
      <c r="EK99" s="17">
        <f>EJ99*VLOOKUP('Données projet'!$B$15,Paramètres!$A$1:$I$89,3,0)*VLOOKUP('Données projet'!$B$15,Paramètres!$A$1:$I$89,5,0)</f>
        <v>248.40359999999976</v>
      </c>
      <c r="EL99" s="13">
        <f t="shared" si="99"/>
        <v>60.243968472342353</v>
      </c>
      <c r="EM99" s="20">
        <f t="shared" si="73"/>
        <v>537.56118175599579</v>
      </c>
      <c r="EN99" s="59">
        <f t="shared" si="74"/>
        <v>830.89451508932916</v>
      </c>
      <c r="EO99" s="59">
        <f ca="1">AVERAGE(OFFSET($EN$3,0,0,'Données projet'!$E$15+1,1))-AVERAGE(OFFSET($H$3,0,0,'Données projet'!$E$15+1,1))</f>
        <v>312.48716825299158</v>
      </c>
      <c r="EP99" s="59">
        <f t="shared" si="100"/>
        <v>258.68277822755357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59.216763802047701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59.216763802047701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5.2583333333333373</v>
      </c>
      <c r="FE99" s="12">
        <f>IF('Données projet'!$A$218&gt;35,FE98+FD99-FM98,IF(A99&lt;'Données projet'!$A$218,$FB$205^A99,IF(A99='Données projet'!$A$218,'Données projet'!$B$218,FE98+FD99-FM98)))</f>
        <v>197.96089743589718</v>
      </c>
      <c r="FF99" s="17">
        <f>FE99*VLOOKUP('Données projet'!$B$16,Paramètres!$A$1:$I$89,3,0)*VLOOKUP('Données projet'!$B$16,Paramètres!$A$1:$I$89,5,0)</f>
        <v>213.08510999999973</v>
      </c>
      <c r="FG99" s="13">
        <f t="shared" si="101"/>
        <v>52.609186550787896</v>
      </c>
      <c r="FH99" s="20">
        <f t="shared" si="76"/>
        <v>462.75089982595506</v>
      </c>
      <c r="FI99" s="59">
        <f t="shared" si="77"/>
        <v>756.08423315928837</v>
      </c>
      <c r="FJ99" s="59">
        <f ca="1">AVERAGE(OFFSET($FI$3,0,0,'Données projet'!$E$16+1,1))-AVERAGE(OFFSET($H$3,0,0,'Données projet'!$E$16+1,1))</f>
        <v>403.23110963096246</v>
      </c>
      <c r="FK99" s="59">
        <f t="shared" si="102"/>
        <v>245.72000393124898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27.366897414233854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27.366897414233854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5.2583333333333373</v>
      </c>
      <c r="FZ99" s="12">
        <f>IF('Données projet'!$A$244&gt;35,FZ98+FY99-GH98,IF(A99&lt;'Données projet'!$A$244,$FW$205^A99,IF(A99='Données projet'!$A$244,'Données projet'!$B$244,FZ98+FY99-GH98)))</f>
        <v>197.96089743589718</v>
      </c>
      <c r="GA99" s="17">
        <f>FZ99*VLOOKUP('Données projet'!$B$17,Paramètres!$A$1:$I$89,3,0)*VLOOKUP('Données projet'!$B$17,Paramètres!$A$1:$I$89,5,0)</f>
        <v>191.46777999999978</v>
      </c>
      <c r="GB99" s="13">
        <f t="shared" si="103"/>
        <v>47.864312688145425</v>
      </c>
      <c r="GC99" s="20">
        <f t="shared" si="79"/>
        <v>416.83672809851947</v>
      </c>
      <c r="GD99" s="59">
        <f t="shared" si="80"/>
        <v>710.17006143185279</v>
      </c>
      <c r="GE99" s="59">
        <f ca="1">AVERAGE(OFFSET($GD$3,0,0,'Données projet'!$E$17+1,1))-AVERAGE(OFFSET($H$3,0,0,'Données projet'!$E$17+1,1))</f>
        <v>336.2911850338175</v>
      </c>
      <c r="GF99" s="59">
        <f t="shared" si="104"/>
        <v>225.01415116995503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24.590545502644925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24.590545502644925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5.2583333333333373</v>
      </c>
      <c r="GU99" s="12">
        <f>IF('Données projet'!$A$270&gt;35,GU98+GT99-HC98,IF(A99&lt;'Données projet'!$A$270,$GR$205^A99,IF(A99='Données projet'!$A$270,'Données projet'!$B$270,GU98+GT99-HC98)))</f>
        <v>197.96089743589718</v>
      </c>
      <c r="GV99" s="17">
        <f>GU99*VLOOKUP('Données projet'!$B$18,Paramètres!$A$1:$I$89,3,0)*VLOOKUP('Données projet'!$B$18,Paramètres!$A$1:$I$89,5,0)</f>
        <v>132.79216999999983</v>
      </c>
      <c r="GW99" s="13">
        <f t="shared" si="105"/>
        <v>34.640747706207996</v>
      </c>
      <c r="GX99" s="20">
        <f t="shared" si="82"/>
        <v>291.61233167164534</v>
      </c>
      <c r="GY99" s="59">
        <f t="shared" si="83"/>
        <v>584.94566500497865</v>
      </c>
      <c r="GZ99" s="59">
        <f ca="1">AVERAGE(OFFSET($GY$3,0,0,'Données projet'!$E$18+1,1))-AVERAGE(OFFSET($H$3,0,0,'Données projet'!$E$18+1,1))</f>
        <v>266.37807768393191</v>
      </c>
      <c r="HA99" s="59">
        <f t="shared" si="106"/>
        <v>168.52019826233425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21.020950187744845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84"/>
        <v>21.020950187744845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266.99999999999983</v>
      </c>
      <c r="O100" s="13">
        <f>N100*VLOOKUP('Données projet'!$B$9,Paramètres!$A$1:$I$89,3,0)*VLOOKUP('Données projet'!$B$9,Paramètres!$A$1:$I$89,5,0)</f>
        <v>233.2511999999999</v>
      </c>
      <c r="P100" s="13">
        <f t="shared" si="87"/>
        <v>56.985091661350864</v>
      </c>
      <c r="Q100" s="20">
        <f t="shared" si="107"/>
        <v>505.49487464351915</v>
      </c>
      <c r="R100" s="59">
        <f t="shared" si="55"/>
        <v>798.82820797685247</v>
      </c>
      <c r="S100" s="59">
        <f ca="1">AVERAGE(OFFSET($R$3,0,0,'Données projet'!$E$9+1,1))-AVERAGE(OFFSET($H$3,0,0,'Données projet'!$E$9+1,1))</f>
        <v>324.86930206492627</v>
      </c>
      <c r="T100" s="59">
        <f t="shared" si="88"/>
        <v>317.03005098025352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22.57693016329587</v>
      </c>
      <c r="AA100" s="21">
        <f>EXP(-LN(2)/25)*AA99+(1-EXP(-LN(2)/25))/(LN(2)/25)*Calculateur!V100*Calculateur!X100*VLOOKUP('Données projet'!$B$9,Paramètres!$A$1:$I$89,3,0)*0.475*44/12</f>
        <v>5.708291670977145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28.285221834273017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7.1782051282051267</v>
      </c>
      <c r="AI100" s="13">
        <f>IF('Données projet'!$A$62&gt;35,AI99+AH100-AQ99,IF(A100&lt;'Données projet'!$A$62,$AF$205^A100,IF(A100='Données projet'!$A$62,'Données projet'!$B$62,AI99+AH100-AQ99)))</f>
        <v>303.89358974359021</v>
      </c>
      <c r="AJ100" s="13">
        <f>AI100*VLOOKUP('Données projet'!$B$10,Paramètres!$A$1:$I$89,3,0)*VLOOKUP('Données projet'!$B$10,Paramètres!$A$1:$I$89,5,0)</f>
        <v>289.18514000000044</v>
      </c>
      <c r="AK100" s="13">
        <f t="shared" si="89"/>
        <v>68.904431563096438</v>
      </c>
      <c r="AL100" s="20">
        <f t="shared" si="58"/>
        <v>623.67267047239375</v>
      </c>
      <c r="AM100" s="59">
        <f t="shared" si="59"/>
        <v>917.006003805727</v>
      </c>
      <c r="AN100" s="59">
        <f ca="1">AVERAGE(OFFSET($AM$3,0,0,'Données projet'!$E$10+1,1))-AVERAGE(OFFSET($H$3,0,0,'Données projet'!$E$10+1,1))</f>
        <v>401.81944956556271</v>
      </c>
      <c r="AO100" s="59">
        <f t="shared" si="90"/>
        <v>292.20785523952651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37.955493718979618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37.955493718979618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1.7053025658242404E-13</v>
      </c>
      <c r="BE100" s="13">
        <f>BD100*VLOOKUP('Données projet'!$B$11,Paramètres!$A$1:$I$89,3,0)*VLOOKUP('Données projet'!$B$11,Paramètres!$A$1:$I$89,5,0)</f>
        <v>1.3301360013429075E-13</v>
      </c>
      <c r="BF100" s="13">
        <f t="shared" si="91"/>
        <v>1.9329766731057041E-12</v>
      </c>
      <c r="BG100" s="20">
        <f t="shared" si="61"/>
        <v>3.5982663925596575E-12</v>
      </c>
      <c r="BH100" s="59">
        <f t="shared" si="62"/>
        <v>293.3333333333369</v>
      </c>
      <c r="BI100" s="59">
        <f ca="1">AVERAGE(OFFSET($BH$3,0,0,'Données projet'!$E$11+1,1))-AVERAGE(OFFSET($H$3,0,0,'Données projet'!$E$11+1,1))</f>
        <v>288.80569134263209</v>
      </c>
      <c r="BJ100" s="59">
        <f t="shared" si="92"/>
        <v>283.48738729114024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46.599042196476404</v>
      </c>
      <c r="BQ100" s="21">
        <f>EXP(-LN(2)/25)*BQ99+(1-EXP(-LN(2)/25))/(LN(2)/25)*Calculateur!BL100*Calculateur!BN100*VLOOKUP('Données projet'!$B$11,Paramètres!$A$1:$I$89,3,0)*0.475*44/12</f>
        <v>31.382788433737403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77.981830630213807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</v>
      </c>
      <c r="BY100" s="12">
        <f>IF('Données projet'!$A$114&gt;35,BY99+BX100-CG99,IF(A100&lt;'Données projet'!$A$114,$BV$205^A100,IF(A100='Données projet'!$A$114,'Données projet'!$B$114,BY99+BX100-CG99)))</f>
        <v>214.00000000000009</v>
      </c>
      <c r="BZ100" s="13">
        <f>BY100*VLOOKUP('Données projet'!$B$12,Paramètres!$A$1:$I$89,3,0)*VLOOKUP('Données projet'!$B$12,Paramètres!$A$1:$I$89,5,0)</f>
        <v>223.67280000000008</v>
      </c>
      <c r="CA100" s="13">
        <f t="shared" si="93"/>
        <v>54.91237981823884</v>
      </c>
      <c r="CB100" s="20">
        <f t="shared" si="64"/>
        <v>485.20252151676618</v>
      </c>
      <c r="CC100" s="59">
        <f t="shared" si="65"/>
        <v>778.53585485009944</v>
      </c>
      <c r="CD100" s="59">
        <f ca="1">AVERAGE(OFFSET($CC$3,0,0,'Données projet'!$E$12+1,1))-AVERAGE(OFFSET($H$3,0,0,'Données projet'!$E$12+1,1))</f>
        <v>352.22281362023102</v>
      </c>
      <c r="CE100" s="59">
        <f t="shared" si="94"/>
        <v>310.2353747925161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16.062001136051904</v>
      </c>
      <c r="CL100" s="21">
        <f>EXP(-LN(2)/25)*CL99+(1-EXP(-LN(2)/25))/(LN(2)/25)*Calculateur!CG100*Calculateur!CI100*VLOOKUP('Données projet'!$B$12,Paramètres!$A$1:$I$89,3,0)*0.475*44/12</f>
        <v>15.819723730746869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31.881724866798773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5.2583333333333373</v>
      </c>
      <c r="CT100" s="12">
        <f>IF('Données projet'!$A$140&gt;35,CT99+CS100-DB99,IF(A100&lt;'Données projet'!$A$140,$CQ$205^A100,IF(A100='Données projet'!$A$140,'Données projet'!$B$140,CT99+CS100-DB99)))</f>
        <v>203.21923076923051</v>
      </c>
      <c r="CU100" s="17">
        <f>CT100*VLOOKUP('Données projet'!$B$13,Paramètres!$A$1:$I$89,3,0)*VLOOKUP('Données projet'!$B$13,Paramètres!$A$1:$I$89,5,0)</f>
        <v>183.87275999999974</v>
      </c>
      <c r="CV100" s="13">
        <f t="shared" si="95"/>
        <v>46.182733545341328</v>
      </c>
      <c r="CW100" s="20">
        <f t="shared" si="67"/>
        <v>400.67998459146901</v>
      </c>
      <c r="CX100" s="59">
        <f t="shared" si="68"/>
        <v>694.01331792480232</v>
      </c>
      <c r="CY100" s="59">
        <f ca="1">AVERAGE(OFFSET($CX$3,0,0,'Données projet'!$E$13+1,1))-AVERAGE(OFFSET($H$3,0,0,'Données projet'!$E$13+1,1))</f>
        <v>345.49688858037996</v>
      </c>
      <c r="CZ100" s="59">
        <f t="shared" si="96"/>
        <v>213.15872113755023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22.55296313608401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22.55296313608401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5.2583333333333373</v>
      </c>
      <c r="DO100" s="12">
        <f>IF('Données projet'!$A$166&gt;35,DO99+DN100-DW99,IF(A100&lt;'Données projet'!$A$166,$DL$205^A100,IF(A100='Données projet'!$A$166,'Données projet'!$B$166,DO99+DN100-DW99)))</f>
        <v>203.21923076923051</v>
      </c>
      <c r="DP100" s="17">
        <f>DO100*VLOOKUP('Données projet'!$B$14,Paramètres!$A$1:$I$89,3,0)*VLOOKUP('Données projet'!$B$14,Paramètres!$A$1:$I$89,5,0)</f>
        <v>206.06429999999975</v>
      </c>
      <c r="DQ100" s="13">
        <f t="shared" si="97"/>
        <v>51.074591519343635</v>
      </c>
      <c r="DR100" s="20">
        <f t="shared" si="70"/>
        <v>447.85023606285631</v>
      </c>
      <c r="DS100" s="59">
        <f t="shared" si="71"/>
        <v>741.18356939618957</v>
      </c>
      <c r="DT100" s="59">
        <f ca="1">AVERAGE(OFFSET($DS$3,0,0,'Données projet'!$E$14+1,1))-AVERAGE(OFFSET($H$3,0,0,'Données projet'!$E$14+1,1))</f>
        <v>382.26108489744581</v>
      </c>
      <c r="DU100" s="59">
        <f t="shared" si="98"/>
        <v>233.89423996158826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25.274872480094142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25.274872480094142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7.539173789173784</v>
      </c>
      <c r="EJ100" s="12">
        <f>IF('Données projet'!$A$192&gt;35,EJ99+EI100-ER99,IF(A100&lt;'Données projet'!$A$192,$EG$205^A100,IF(A100='Données projet'!$A$192,'Données projet'!$B$192,EJ99+EI100-ER99)))</f>
        <v>302.41524216524186</v>
      </c>
      <c r="EK100" s="17">
        <f>EJ100*VLOOKUP('Données projet'!$B$15,Paramètres!$A$1:$I$89,3,0)*VLOOKUP('Données projet'!$B$15,Paramètres!$A$1:$I$89,5,0)</f>
        <v>254.75459999999978</v>
      </c>
      <c r="EL100" s="13">
        <f t="shared" si="99"/>
        <v>61.602947844885598</v>
      </c>
      <c r="EM100" s="20">
        <f t="shared" si="73"/>
        <v>550.98939582984201</v>
      </c>
      <c r="EN100" s="59">
        <f t="shared" si="74"/>
        <v>844.32272916317538</v>
      </c>
      <c r="EO100" s="59">
        <f ca="1">AVERAGE(OFFSET($EN$3,0,0,'Données projet'!$E$15+1,1))-AVERAGE(OFFSET($H$3,0,0,'Données projet'!$E$15+1,1))</f>
        <v>312.48716825299158</v>
      </c>
      <c r="EP100" s="59">
        <f t="shared" si="100"/>
        <v>258.68277822755357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58.055559182549047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58.055559182549047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5.2583333333333373</v>
      </c>
      <c r="FE100" s="12">
        <f>IF('Données projet'!$A$218&gt;35,FE99+FD100-FM99,IF(A100&lt;'Données projet'!$A$218,$FB$205^A100,IF(A100='Données projet'!$A$218,'Données projet'!$B$218,FE99+FD100-FM99)))</f>
        <v>203.21923076923051</v>
      </c>
      <c r="FF100" s="17">
        <f>FE100*VLOOKUP('Données projet'!$B$16,Paramètres!$A$1:$I$89,3,0)*VLOOKUP('Données projet'!$B$16,Paramètres!$A$1:$I$89,5,0)</f>
        <v>218.74517999999969</v>
      </c>
      <c r="FG100" s="13">
        <f t="shared" si="101"/>
        <v>53.842066066416017</v>
      </c>
      <c r="FH100" s="20">
        <f t="shared" si="76"/>
        <v>474.75612023234066</v>
      </c>
      <c r="FI100" s="59">
        <f t="shared" si="77"/>
        <v>768.08945356567392</v>
      </c>
      <c r="FJ100" s="59">
        <f ca="1">AVERAGE(OFFSET($FI$3,0,0,'Données projet'!$E$16+1,1))-AVERAGE(OFFSET($H$3,0,0,'Données projet'!$E$16+1,1))</f>
        <v>403.23110963096246</v>
      </c>
      <c r="FK100" s="59">
        <f t="shared" si="102"/>
        <v>245.72000393124898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26.830249248099935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26.830249248099935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5.2583333333333373</v>
      </c>
      <c r="FZ100" s="12">
        <f>IF('Données projet'!$A$244&gt;35,FZ99+FY100-GH99,IF(A100&lt;'Données projet'!$A$244,$FW$205^A100,IF(A100='Données projet'!$A$244,'Données projet'!$B$244,FZ99+FY100-GH99)))</f>
        <v>203.21923076923051</v>
      </c>
      <c r="GA100" s="17">
        <f>FZ100*VLOOKUP('Données projet'!$B$17,Paramètres!$A$1:$I$89,3,0)*VLOOKUP('Données projet'!$B$17,Paramètres!$A$1:$I$89,5,0)</f>
        <v>196.55363999999975</v>
      </c>
      <c r="GB100" s="13">
        <f t="shared" si="103"/>
        <v>48.985997597412556</v>
      </c>
      <c r="GC100" s="20">
        <f t="shared" si="79"/>
        <v>427.64820214882644</v>
      </c>
      <c r="GD100" s="59">
        <f t="shared" si="80"/>
        <v>720.98153548215976</v>
      </c>
      <c r="GE100" s="59">
        <f ca="1">AVERAGE(OFFSET($GD$3,0,0,'Données projet'!$E$17+1,1))-AVERAGE(OFFSET($H$3,0,0,'Données projet'!$E$17+1,1))</f>
        <v>336.2911850338175</v>
      </c>
      <c r="GF100" s="59">
        <f t="shared" si="104"/>
        <v>225.01415116995503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24.10833990408981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24.10833990408981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5.2583333333333373</v>
      </c>
      <c r="GU100" s="12">
        <f>IF('Données projet'!$A$270&gt;35,GU99+GT100-HC99,IF(A100&lt;'Données projet'!$A$270,$GR$205^A100,IF(A100='Données projet'!$A$270,'Données projet'!$B$270,GU99+GT100-HC99)))</f>
        <v>203.21923076923051</v>
      </c>
      <c r="GV100" s="17">
        <f>GU100*VLOOKUP('Données projet'!$B$18,Paramètres!$A$1:$I$89,3,0)*VLOOKUP('Données projet'!$B$18,Paramètres!$A$1:$I$89,5,0)</f>
        <v>136.31945999999982</v>
      </c>
      <c r="GW100" s="13">
        <f t="shared" si="105"/>
        <v>35.45254258564028</v>
      </c>
      <c r="GX100" s="20">
        <f t="shared" si="82"/>
        <v>299.16957116998987</v>
      </c>
      <c r="GY100" s="59">
        <f t="shared" si="83"/>
        <v>592.50290450332318</v>
      </c>
      <c r="GZ100" s="59">
        <f ca="1">AVERAGE(OFFSET($GY$3,0,0,'Données projet'!$E$18+1,1))-AVERAGE(OFFSET($H$3,0,0,'Données projet'!$E$18+1,1))</f>
        <v>266.37807768393191</v>
      </c>
      <c r="HA100" s="59">
        <f t="shared" si="106"/>
        <v>168.52019826233425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20.608742176076763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84"/>
        <v>20.608742176076763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266.99999999999983</v>
      </c>
      <c r="O101" s="13">
        <f>N101*VLOOKUP('Données projet'!$B$9,Paramètres!$A$1:$I$89,3,0)*VLOOKUP('Données projet'!$B$9,Paramètres!$A$1:$I$89,5,0)</f>
        <v>233.2511999999999</v>
      </c>
      <c r="P101" s="13">
        <f t="shared" si="87"/>
        <v>56.985091661350864</v>
      </c>
      <c r="Q101" s="20">
        <f t="shared" si="107"/>
        <v>505.49487464351915</v>
      </c>
      <c r="R101" s="59">
        <f t="shared" si="55"/>
        <v>798.82820797685247</v>
      </c>
      <c r="S101" s="59">
        <f ca="1">AVERAGE(OFFSET($R$3,0,0,'Données projet'!$E$9+1,1))-AVERAGE(OFFSET($H$3,0,0,'Données projet'!$E$9+1,1))</f>
        <v>324.86930206492627</v>
      </c>
      <c r="T101" s="59">
        <f t="shared" si="88"/>
        <v>317.03005098025352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22.134210333361306</v>
      </c>
      <c r="AA101" s="21">
        <f>EXP(-LN(2)/25)*AA100+(1-EXP(-LN(2)/25))/(LN(2)/25)*Calculateur!V101*Calculateur!X101*VLOOKUP('Données projet'!$B$9,Paramètres!$A$1:$I$89,3,0)*0.475*44/12</f>
        <v>5.5521981350482621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27.686408468409567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7.1782051282051267</v>
      </c>
      <c r="AI101" s="13">
        <f>IF('Données projet'!$A$62&gt;35,AI100+AH101-AQ100,IF(A101&lt;'Données projet'!$A$62,$AF$205^A101,IF(A101='Données projet'!$A$62,'Données projet'!$B$62,AI100+AH101-AQ100)))</f>
        <v>311.07179487179536</v>
      </c>
      <c r="AJ101" s="13">
        <f>AI101*VLOOKUP('Données projet'!$B$10,Paramètres!$A$1:$I$89,3,0)*VLOOKUP('Données projet'!$B$10,Paramètres!$A$1:$I$89,5,0)</f>
        <v>296.01592000000051</v>
      </c>
      <c r="AK101" s="13">
        <f t="shared" si="89"/>
        <v>70.340598516343221</v>
      </c>
      <c r="AL101" s="20">
        <f t="shared" si="58"/>
        <v>638.07093641596532</v>
      </c>
      <c r="AM101" s="59">
        <f t="shared" si="59"/>
        <v>931.40426974929869</v>
      </c>
      <c r="AN101" s="59">
        <f ca="1">AVERAGE(OFFSET($AM$3,0,0,'Données projet'!$E$10+1,1))-AVERAGE(OFFSET($H$3,0,0,'Données projet'!$E$10+1,1))</f>
        <v>401.81944956556271</v>
      </c>
      <c r="AO101" s="59">
        <f t="shared" si="90"/>
        <v>292.20785523952651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37.211209637715669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37.211209637715669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1.7053025658242404E-13</v>
      </c>
      <c r="BE101" s="13">
        <f>BD101*VLOOKUP('Données projet'!$B$11,Paramètres!$A$1:$I$89,3,0)*VLOOKUP('Données projet'!$B$11,Paramètres!$A$1:$I$89,5,0)</f>
        <v>1.3301360013429075E-13</v>
      </c>
      <c r="BF101" s="13">
        <f t="shared" si="91"/>
        <v>1.9329766731057041E-12</v>
      </c>
      <c r="BG101" s="20">
        <f t="shared" si="61"/>
        <v>3.5982663925596575E-12</v>
      </c>
      <c r="BH101" s="59">
        <f t="shared" si="62"/>
        <v>293.3333333333369</v>
      </c>
      <c r="BI101" s="59">
        <f ca="1">AVERAGE(OFFSET($BH$3,0,0,'Données projet'!$E$11+1,1))-AVERAGE(OFFSET($H$3,0,0,'Données projet'!$E$11+1,1))</f>
        <v>288.80569134263209</v>
      </c>
      <c r="BJ101" s="59">
        <f t="shared" si="92"/>
        <v>283.48738729114024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45.685263401612744</v>
      </c>
      <c r="BQ101" s="21">
        <f>EXP(-LN(2)/25)*BQ100+(1-EXP(-LN(2)/25))/(LN(2)/25)*Calculateur!BL101*Calculateur!BN101*VLOOKUP('Données projet'!$B$11,Paramètres!$A$1:$I$89,3,0)*0.475*44/12</f>
        <v>30.524624433667736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76.209887835280483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</v>
      </c>
      <c r="BY101" s="12">
        <f>IF('Données projet'!$A$114&gt;35,BY100+BX101-CG100,IF(A101&lt;'Données projet'!$A$114,$BV$205^A101,IF(A101='Données projet'!$A$114,'Données projet'!$B$114,BY100+BX101-CG100)))</f>
        <v>217.00000000000009</v>
      </c>
      <c r="BZ101" s="13">
        <f>BY101*VLOOKUP('Données projet'!$B$12,Paramètres!$A$1:$I$89,3,0)*VLOOKUP('Données projet'!$B$12,Paramètres!$A$1:$I$89,5,0)</f>
        <v>226.80840000000012</v>
      </c>
      <c r="CA101" s="13">
        <f t="shared" si="93"/>
        <v>55.592022759242624</v>
      </c>
      <c r="CB101" s="20">
        <f t="shared" si="64"/>
        <v>491.84740297234777</v>
      </c>
      <c r="CC101" s="59">
        <f t="shared" si="65"/>
        <v>785.18073630568108</v>
      </c>
      <c r="CD101" s="59">
        <f ca="1">AVERAGE(OFFSET($CC$3,0,0,'Données projet'!$E$12+1,1))-AVERAGE(OFFSET($H$3,0,0,'Données projet'!$E$12+1,1))</f>
        <v>352.22281362023102</v>
      </c>
      <c r="CE101" s="59">
        <f t="shared" si="94"/>
        <v>310.2353747925161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15.747035090627261</v>
      </c>
      <c r="CL101" s="21">
        <f>EXP(-LN(2)/25)*CL100+(1-EXP(-LN(2)/25))/(LN(2)/25)*Calculateur!CG101*Calculateur!CI101*VLOOKUP('Données projet'!$B$12,Paramètres!$A$1:$I$89,3,0)*0.475*44/12</f>
        <v>15.387132553406481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31.134167644033742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5.2583333333333373</v>
      </c>
      <c r="CT101" s="12">
        <f>IF('Données projet'!$A$140&gt;35,CT100+CS101-DB100,IF(A101&lt;'Données projet'!$A$140,$CQ$205^A101,IF(A101='Données projet'!$A$140,'Données projet'!$B$140,CT100+CS101-DB100)))</f>
        <v>208.47756410256383</v>
      </c>
      <c r="CU101" s="17">
        <f>CT101*VLOOKUP('Données projet'!$B$13,Paramètres!$A$1:$I$89,3,0)*VLOOKUP('Données projet'!$B$13,Paramètres!$A$1:$I$89,5,0)</f>
        <v>188.63049999999973</v>
      </c>
      <c r="CV101" s="13">
        <f t="shared" si="95"/>
        <v>47.237048488890842</v>
      </c>
      <c r="CW101" s="20">
        <f t="shared" si="67"/>
        <v>410.80264695148441</v>
      </c>
      <c r="CX101" s="59">
        <f t="shared" si="68"/>
        <v>704.13598028481772</v>
      </c>
      <c r="CY101" s="59">
        <f ca="1">AVERAGE(OFFSET($CX$3,0,0,'Données projet'!$E$13+1,1))-AVERAGE(OFFSET($H$3,0,0,'Données projet'!$E$13+1,1))</f>
        <v>345.49688858037996</v>
      </c>
      <c r="CZ101" s="59">
        <f t="shared" si="96"/>
        <v>213.15872113755023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22.110713284934629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22.110713284934629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5.2583333333333373</v>
      </c>
      <c r="DO101" s="12">
        <f>IF('Données projet'!$A$166&gt;35,DO100+DN101-DW100,IF(A101&lt;'Données projet'!$A$166,$DL$205^A101,IF(A101='Données projet'!$A$166,'Données projet'!$B$166,DO100+DN101-DW100)))</f>
        <v>208.47756410256383</v>
      </c>
      <c r="DP101" s="17">
        <f>DO101*VLOOKUP('Données projet'!$B$14,Paramètres!$A$1:$I$89,3,0)*VLOOKUP('Données projet'!$B$14,Paramètres!$A$1:$I$89,5,0)</f>
        <v>211.39624999999972</v>
      </c>
      <c r="DQ101" s="13">
        <f t="shared" si="97"/>
        <v>52.240583675733987</v>
      </c>
      <c r="DR101" s="20">
        <f t="shared" si="70"/>
        <v>459.16748531856956</v>
      </c>
      <c r="DS101" s="59">
        <f t="shared" si="71"/>
        <v>752.50081865190282</v>
      </c>
      <c r="DT101" s="59">
        <f ca="1">AVERAGE(OFFSET($DS$3,0,0,'Données projet'!$E$14+1,1))-AVERAGE(OFFSET($H$3,0,0,'Données projet'!$E$14+1,1))</f>
        <v>382.26108489744581</v>
      </c>
      <c r="DU101" s="59">
        <f t="shared" si="98"/>
        <v>233.89423996158826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24.779247646909489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24.779247646909489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7.539173789173784</v>
      </c>
      <c r="EJ101" s="12">
        <f>IF('Données projet'!$A$192&gt;35,EJ100+EI101-ER100,IF(A101&lt;'Données projet'!$A$192,$EG$205^A101,IF(A101='Données projet'!$A$192,'Données projet'!$B$192,EJ100+EI101-ER100)))</f>
        <v>309.95441595441565</v>
      </c>
      <c r="EK101" s="17">
        <f>EJ101*VLOOKUP('Données projet'!$B$15,Paramètres!$A$1:$I$89,3,0)*VLOOKUP('Données projet'!$B$15,Paramètres!$A$1:$I$89,5,0)</f>
        <v>261.10559999999975</v>
      </c>
      <c r="EL101" s="13">
        <f t="shared" si="99"/>
        <v>62.9579889655027</v>
      </c>
      <c r="EM101" s="20">
        <f t="shared" si="73"/>
        <v>564.41075078158337</v>
      </c>
      <c r="EN101" s="59">
        <f t="shared" si="74"/>
        <v>857.74408411491663</v>
      </c>
      <c r="EO101" s="59">
        <f ca="1">AVERAGE(OFFSET($EN$3,0,0,'Données projet'!$E$15+1,1))-AVERAGE(OFFSET($H$3,0,0,'Données projet'!$E$15+1,1))</f>
        <v>312.48716825299158</v>
      </c>
      <c r="EP101" s="59">
        <f t="shared" si="100"/>
        <v>258.68277822755357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56.917125077373875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56.917125077373875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5.2583333333333373</v>
      </c>
      <c r="FE101" s="12">
        <f>IF('Données projet'!$A$218&gt;35,FE100+FD101-FM100,IF(A101&lt;'Données projet'!$A$218,$FB$205^A101,IF(A101='Données projet'!$A$218,'Données projet'!$B$218,FE100+FD101-FM100)))</f>
        <v>208.47756410256383</v>
      </c>
      <c r="FF101" s="17">
        <f>FE101*VLOOKUP('Données projet'!$B$16,Paramètres!$A$1:$I$89,3,0)*VLOOKUP('Données projet'!$B$16,Paramètres!$A$1:$I$89,5,0)</f>
        <v>224.40524999999971</v>
      </c>
      <c r="FG101" s="13">
        <f t="shared" si="101"/>
        <v>55.071237457703909</v>
      </c>
      <c r="FH101" s="20">
        <f t="shared" si="76"/>
        <v>486.75488232216713</v>
      </c>
      <c r="FI101" s="59">
        <f t="shared" si="77"/>
        <v>780.08821565550045</v>
      </c>
      <c r="FJ101" s="59">
        <f ca="1">AVERAGE(OFFSET($FI$3,0,0,'Données projet'!$E$16+1,1))-AVERAGE(OFFSET($H$3,0,0,'Données projet'!$E$16+1,1))</f>
        <v>403.23110963096246</v>
      </c>
      <c r="FK101" s="59">
        <f t="shared" si="102"/>
        <v>245.72000393124898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26.304124425180845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26.304124425180845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5.2583333333333373</v>
      </c>
      <c r="FZ101" s="12">
        <f>IF('Données projet'!$A$244&gt;35,FZ100+FY101-GH100,IF(A101&lt;'Données projet'!$A$244,$FW$205^A101,IF(A101='Données projet'!$A$244,'Données projet'!$B$244,FZ100+FY101-GH100)))</f>
        <v>208.47756410256383</v>
      </c>
      <c r="GA101" s="17">
        <f>FZ101*VLOOKUP('Données projet'!$B$17,Paramètres!$A$1:$I$89,3,0)*VLOOKUP('Données projet'!$B$17,Paramètres!$A$1:$I$89,5,0)</f>
        <v>201.63949999999974</v>
      </c>
      <c r="GB101" s="13">
        <f t="shared" si="103"/>
        <v>50.104308821691369</v>
      </c>
      <c r="GC101" s="20">
        <f t="shared" si="79"/>
        <v>438.45380036444539</v>
      </c>
      <c r="GD101" s="59">
        <f t="shared" si="80"/>
        <v>731.7871336977787</v>
      </c>
      <c r="GE101" s="59">
        <f ca="1">AVERAGE(OFFSET($GD$3,0,0,'Données projet'!$E$17+1,1))-AVERAGE(OFFSET($H$3,0,0,'Données projet'!$E$17+1,1))</f>
        <v>336.2911850338175</v>
      </c>
      <c r="GF101" s="59">
        <f t="shared" si="104"/>
        <v>225.01415116995503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23.635590063205989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23.635590063205989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5.2583333333333373</v>
      </c>
      <c r="GU101" s="12">
        <f>IF('Données projet'!$A$270&gt;35,GU100+GT101-HC100,IF(A101&lt;'Données projet'!$A$270,$GR$205^A101,IF(A101='Données projet'!$A$270,'Données projet'!$B$270,GU100+GT101-HC100)))</f>
        <v>208.47756410256383</v>
      </c>
      <c r="GV101" s="17">
        <f>GU101*VLOOKUP('Données projet'!$B$18,Paramètres!$A$1:$I$89,3,0)*VLOOKUP('Données projet'!$B$18,Paramètres!$A$1:$I$89,5,0)</f>
        <v>139.84674999999984</v>
      </c>
      <c r="GW101" s="13">
        <f t="shared" si="105"/>
        <v>36.261895834472348</v>
      </c>
      <c r="GX101" s="20">
        <f t="shared" si="82"/>
        <v>306.72255816170576</v>
      </c>
      <c r="GY101" s="59">
        <f t="shared" si="83"/>
        <v>600.05589149503908</v>
      </c>
      <c r="GZ101" s="59">
        <f ca="1">AVERAGE(OFFSET($GY$3,0,0,'Données projet'!$E$18+1,1))-AVERAGE(OFFSET($H$3,0,0,'Données projet'!$E$18+1,1))</f>
        <v>266.37807768393191</v>
      </c>
      <c r="HA101" s="59">
        <f t="shared" si="106"/>
        <v>168.52019826233425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20.204617312095433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84"/>
        <v>20.204617312095433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266.99999999999983</v>
      </c>
      <c r="O102" s="13">
        <f>N102*VLOOKUP('Données projet'!$B$9,Paramètres!$A$1:$I$89,3,0)*VLOOKUP('Données projet'!$B$9,Paramètres!$A$1:$I$89,5,0)</f>
        <v>233.2511999999999</v>
      </c>
      <c r="P102" s="13">
        <f t="shared" si="87"/>
        <v>56.985091661350864</v>
      </c>
      <c r="Q102" s="20">
        <f t="shared" si="107"/>
        <v>505.49487464351915</v>
      </c>
      <c r="R102" s="59">
        <f t="shared" si="55"/>
        <v>798.82820797685247</v>
      </c>
      <c r="S102" s="59">
        <f ca="1">AVERAGE(OFFSET($R$3,0,0,'Données projet'!$E$9+1,1))-AVERAGE(OFFSET($H$3,0,0,'Données projet'!$E$9+1,1))</f>
        <v>324.86930206492627</v>
      </c>
      <c r="T102" s="59">
        <f t="shared" si="88"/>
        <v>317.03005098025352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21.700171969259326</v>
      </c>
      <c r="AA102" s="21">
        <f>EXP(-LN(2)/25)*AA101+(1-EXP(-LN(2)/25))/(LN(2)/25)*Calculateur!V102*Calculateur!X102*VLOOKUP('Données projet'!$B$9,Paramètres!$A$1:$I$89,3,0)*0.475*44/12</f>
        <v>5.4003729850679569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27.100544954327283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318.25</v>
      </c>
      <c r="AG102" s="12">
        <f>VLOOKUP(A102,'Données projet'!$A$61:$I$81,9,0)</f>
        <v>7.1782051282051267</v>
      </c>
      <c r="AH102" s="12">
        <f t="array" ref="AH102">INDEX(AG:AG,MIN(IF(ISNUMBER(AG102:AG298),ROW(AG102:AG298),"")))</f>
        <v>7.1782051282051267</v>
      </c>
      <c r="AI102" s="13">
        <f>IF('Données projet'!$A$62&gt;35,AI101+AH102-AQ101,IF(A102&lt;'Données projet'!$A$62,$AF$205^A102,IF(A102='Données projet'!$A$62,'Données projet'!$B$62,AI101+AH102-AQ101)))</f>
        <v>318.25000000000051</v>
      </c>
      <c r="AJ102" s="13">
        <f>AI102*VLOOKUP('Données projet'!$B$10,Paramètres!$A$1:$I$89,3,0)*VLOOKUP('Données projet'!$B$10,Paramètres!$A$1:$I$89,5,0)</f>
        <v>302.84670000000051</v>
      </c>
      <c r="AK102" s="13">
        <f t="shared" si="89"/>
        <v>71.772912720311297</v>
      </c>
      <c r="AL102" s="20">
        <f t="shared" si="58"/>
        <v>652.46249215454304</v>
      </c>
      <c r="AM102" s="59">
        <f t="shared" si="59"/>
        <v>945.7958254878763</v>
      </c>
      <c r="AN102" s="59">
        <f ca="1">AVERAGE(OFFSET($AM$3,0,0,'Données projet'!$E$10+1,1))-AVERAGE(OFFSET($H$3,0,0,'Données projet'!$E$10+1,1))</f>
        <v>401.81944956556271</v>
      </c>
      <c r="AO102" s="59">
        <f t="shared" si="90"/>
        <v>292.20785523952651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48.019230769230766</v>
      </c>
      <c r="AR102" s="16">
        <f>IF(ISNA(VLOOKUP(A102,'Données projet'!$A$61:$I$81,5,0)),0%,VLOOKUP(A102,'Données projet'!$A$61:$I$81,5,0)*VLOOKUP('Données projet'!$B$10,Paramètres!$A$1:$I$89,7,0))</f>
        <v>0.30099999999999999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51.686408954795468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51.686408954795468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1.7053025658242404E-13</v>
      </c>
      <c r="BE102" s="13">
        <f>BD102*VLOOKUP('Données projet'!$B$11,Paramètres!$A$1:$I$89,3,0)*VLOOKUP('Données projet'!$B$11,Paramètres!$A$1:$I$89,5,0)</f>
        <v>1.3301360013429075E-13</v>
      </c>
      <c r="BF102" s="13">
        <f t="shared" si="91"/>
        <v>1.9329766731057041E-12</v>
      </c>
      <c r="BG102" s="20">
        <f t="shared" si="61"/>
        <v>3.5982663925596575E-12</v>
      </c>
      <c r="BH102" s="59">
        <f t="shared" si="62"/>
        <v>293.3333333333369</v>
      </c>
      <c r="BI102" s="59">
        <f ca="1">AVERAGE(OFFSET($BH$3,0,0,'Données projet'!$E$11+1,1))-AVERAGE(OFFSET($H$3,0,0,'Données projet'!$E$11+1,1))</f>
        <v>288.80569134263209</v>
      </c>
      <c r="BJ102" s="59">
        <f t="shared" si="92"/>
        <v>283.48738729114024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44.789403251566327</v>
      </c>
      <c r="BQ102" s="21">
        <f>EXP(-LN(2)/25)*BQ101+(1-EXP(-LN(2)/25))/(LN(2)/25)*Calculateur!BL102*Calculateur!BN102*VLOOKUP('Données projet'!$B$11,Paramètres!$A$1:$I$89,3,0)*0.475*44/12</f>
        <v>29.689926973308857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74.479330224875184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</v>
      </c>
      <c r="BY102" s="12">
        <f>IF('Données projet'!$A$114&gt;35,BY101+BX102-CG101,IF(A102&lt;'Données projet'!$A$114,$BV$205^A102,IF(A102='Données projet'!$A$114,'Données projet'!$B$114,BY101+BX102-CG101)))</f>
        <v>220.00000000000009</v>
      </c>
      <c r="BZ102" s="13">
        <f>BY102*VLOOKUP('Données projet'!$B$12,Paramètres!$A$1:$I$89,3,0)*VLOOKUP('Données projet'!$B$12,Paramètres!$A$1:$I$89,5,0)</f>
        <v>229.9440000000001</v>
      </c>
      <c r="CA102" s="13">
        <f t="shared" si="93"/>
        <v>56.270572850262418</v>
      </c>
      <c r="CB102" s="20">
        <f t="shared" si="64"/>
        <v>498.49038104754055</v>
      </c>
      <c r="CC102" s="59">
        <f t="shared" si="65"/>
        <v>791.82371438087387</v>
      </c>
      <c r="CD102" s="59">
        <f ca="1">AVERAGE(OFFSET($CC$3,0,0,'Données projet'!$E$12+1,1))-AVERAGE(OFFSET($H$3,0,0,'Données projet'!$E$12+1,1))</f>
        <v>352.22281362023102</v>
      </c>
      <c r="CE102" s="59">
        <f t="shared" si="94"/>
        <v>310.2353747925161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15.438245337243076</v>
      </c>
      <c r="CL102" s="21">
        <f>EXP(-LN(2)/25)*CL101+(1-EXP(-LN(2)/25))/(LN(2)/25)*Calculateur!CG102*Calculateur!CI102*VLOOKUP('Données projet'!$B$12,Paramètres!$A$1:$I$89,3,0)*0.475*44/12</f>
        <v>14.966370604559447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30.404615941802525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5.2583333333333373</v>
      </c>
      <c r="CT102" s="12">
        <f>IF('Données projet'!$A$140&gt;35,CT101+CS102-DB101,IF(A102&lt;'Données projet'!$A$140,$CQ$205^A102,IF(A102='Données projet'!$A$140,'Données projet'!$B$140,CT101+CS102-DB101)))</f>
        <v>213.73589743589716</v>
      </c>
      <c r="CU102" s="17">
        <f>CT102*VLOOKUP('Données projet'!$B$13,Paramètres!$A$1:$I$89,3,0)*VLOOKUP('Données projet'!$B$13,Paramètres!$A$1:$I$89,5,0)</f>
        <v>193.38823999999974</v>
      </c>
      <c r="CV102" s="13">
        <f t="shared" si="95"/>
        <v>48.288272258589146</v>
      </c>
      <c r="CW102" s="20">
        <f t="shared" si="67"/>
        <v>420.91992551704237</v>
      </c>
      <c r="CX102" s="59">
        <f t="shared" si="68"/>
        <v>714.25325885037569</v>
      </c>
      <c r="CY102" s="59">
        <f ca="1">AVERAGE(OFFSET($CX$3,0,0,'Données projet'!$E$13+1,1))-AVERAGE(OFFSET($H$3,0,0,'Données projet'!$E$13+1,1))</f>
        <v>345.49688858037996</v>
      </c>
      <c r="CZ102" s="59">
        <f t="shared" si="96"/>
        <v>213.15872113755023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21.677135683620513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21.677135683620513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5.2583333333333373</v>
      </c>
      <c r="DO102" s="12">
        <f>IF('Données projet'!$A$166&gt;35,DO101+DN102-DW101,IF(A102&lt;'Données projet'!$A$166,$DL$205^A102,IF(A102='Données projet'!$A$166,'Données projet'!$B$166,DO101+DN102-DW101)))</f>
        <v>213.73589743589716</v>
      </c>
      <c r="DP102" s="17">
        <f>DO102*VLOOKUP('Données projet'!$B$14,Paramètres!$A$1:$I$89,3,0)*VLOOKUP('Données projet'!$B$14,Paramètres!$A$1:$I$89,5,0)</f>
        <v>216.72819999999976</v>
      </c>
      <c r="DQ102" s="13">
        <f t="shared" si="97"/>
        <v>53.403157228900795</v>
      </c>
      <c r="DR102" s="20">
        <f t="shared" si="70"/>
        <v>470.47878050700183</v>
      </c>
      <c r="DS102" s="59">
        <f t="shared" si="71"/>
        <v>763.81211384033509</v>
      </c>
      <c r="DT102" s="59">
        <f ca="1">AVERAGE(OFFSET($DS$3,0,0,'Données projet'!$E$14+1,1))-AVERAGE(OFFSET($H$3,0,0,'Données projet'!$E$14+1,1))</f>
        <v>382.26108489744581</v>
      </c>
      <c r="DU102" s="59">
        <f t="shared" si="98"/>
        <v>233.89423996158826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24.293341714402292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24.293341714402292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>
        <f>VLOOKUP(A102,'Données projet'!$A$191:$I$211,2,0)</f>
        <v>317.49358974358972</v>
      </c>
      <c r="EH102" s="12">
        <f>VLOOKUP(A102,'Données projet'!$A$191:$I$211,9,0)</f>
        <v>7.539173789173784</v>
      </c>
      <c r="EI102" s="12">
        <f t="array" ref="EI102">INDEX(EH:EH,MIN(IF(ISNUMBER(EH102:EH298),ROW(EH102:EH298),"")))</f>
        <v>7.539173789173784</v>
      </c>
      <c r="EJ102" s="12">
        <f>IF('Données projet'!$A$192&gt;35,EJ101+EI102-ER101,IF(A102&lt;'Données projet'!$A$192,$EG$205^A102,IF(A102='Données projet'!$A$192,'Données projet'!$B$192,EJ101+EI102-ER101)))</f>
        <v>317.49358974358944</v>
      </c>
      <c r="EK102" s="17">
        <f>EJ102*VLOOKUP('Données projet'!$B$15,Paramètres!$A$1:$I$89,3,0)*VLOOKUP('Données projet'!$B$15,Paramètres!$A$1:$I$89,5,0)</f>
        <v>267.45659999999975</v>
      </c>
      <c r="EL102" s="13">
        <f t="shared" si="99"/>
        <v>64.309198646479345</v>
      </c>
      <c r="EM102" s="20">
        <f t="shared" si="73"/>
        <v>577.82543264261778</v>
      </c>
      <c r="EN102" s="59">
        <f t="shared" si="74"/>
        <v>871.15876597595116</v>
      </c>
      <c r="EO102" s="59">
        <f ca="1">AVERAGE(OFFSET($EN$3,0,0,'Données projet'!$E$15+1,1))-AVERAGE(OFFSET($H$3,0,0,'Données projet'!$E$15+1,1))</f>
        <v>312.48716825299158</v>
      </c>
      <c r="EP102" s="59">
        <f t="shared" si="100"/>
        <v>258.68277822755357</v>
      </c>
      <c r="EQ102" s="15">
        <f>IF(ISNA(VLOOKUP(A102,'Données projet'!$A$191:$I$211,3,0)),0,VLOOKUP(A102,'Données projet'!$A$191:$I$211,3,0))</f>
        <v>10</v>
      </c>
      <c r="ER102" s="15">
        <f>IF(ISNA(VLOOKUP(A102,'Données projet'!$A$191:$I$211,4,0)),0,VLOOKUP(A102,'Données projet'!$A$191:$I$211,4,0))</f>
        <v>154.53205128205127</v>
      </c>
      <c r="ES102" s="16">
        <f>IF(ISNA(VLOOKUP(A102,'Données projet'!$A$191:$I$211,5,0)),0%,VLOOKUP(A102,'Données projet'!$A$191:$I$211,5,0)*VLOOKUP('Données projet'!$B$15,Paramètres!$A$1:$I$89,7,0))</f>
        <v>0.38700000000000001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111.4932956340848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111.4932956340848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5.2583333333333373</v>
      </c>
      <c r="FE102" s="12">
        <f>IF('Données projet'!$A$218&gt;35,FE101+FD102-FM101,IF(A102&lt;'Données projet'!$A$218,$FB$205^A102,IF(A102='Données projet'!$A$218,'Données projet'!$B$218,FE101+FD102-FM101)))</f>
        <v>213.73589743589716</v>
      </c>
      <c r="FF102" s="17">
        <f>FE102*VLOOKUP('Données projet'!$B$16,Paramètres!$A$1:$I$89,3,0)*VLOOKUP('Données projet'!$B$16,Paramètres!$A$1:$I$89,5,0)</f>
        <v>230.0653199999997</v>
      </c>
      <c r="FG102" s="13">
        <f t="shared" si="101"/>
        <v>56.296805008899462</v>
      </c>
      <c r="FH102" s="20">
        <f t="shared" si="76"/>
        <v>498.74736772383267</v>
      </c>
      <c r="FI102" s="59">
        <f t="shared" si="77"/>
        <v>792.08070105716592</v>
      </c>
      <c r="FJ102" s="59">
        <f ca="1">AVERAGE(OFFSET($FI$3,0,0,'Données projet'!$E$16+1,1))-AVERAGE(OFFSET($H$3,0,0,'Données projet'!$E$16+1,1))</f>
        <v>403.23110963096246</v>
      </c>
      <c r="FK102" s="59">
        <f t="shared" si="102"/>
        <v>245.72000393124898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25.788316589134741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25.788316589134741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5.2583333333333373</v>
      </c>
      <c r="FZ102" s="12">
        <f>IF('Données projet'!$A$244&gt;35,FZ101+FY102-GH101,IF(A102&lt;'Données projet'!$A$244,$FW$205^A102,IF(A102='Données projet'!$A$244,'Données projet'!$B$244,FZ101+FY102-GH101)))</f>
        <v>213.73589743589716</v>
      </c>
      <c r="GA102" s="17">
        <f>FZ102*VLOOKUP('Données projet'!$B$17,Paramètres!$A$1:$I$89,3,0)*VLOOKUP('Données projet'!$B$17,Paramètres!$A$1:$I$89,5,0)</f>
        <v>206.72535999999974</v>
      </c>
      <c r="GB102" s="13">
        <f t="shared" si="103"/>
        <v>51.219341239731868</v>
      </c>
      <c r="GC102" s="20">
        <f t="shared" si="79"/>
        <v>449.25368799253255</v>
      </c>
      <c r="GD102" s="59">
        <f t="shared" si="80"/>
        <v>742.58702132586586</v>
      </c>
      <c r="GE102" s="59">
        <f ca="1">AVERAGE(OFFSET($GD$3,0,0,'Données projet'!$E$17+1,1))-AVERAGE(OFFSET($H$3,0,0,'Données projet'!$E$17+1,1))</f>
        <v>336.2911850338175</v>
      </c>
      <c r="GF102" s="59">
        <f t="shared" si="104"/>
        <v>225.01415116995503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23.172110558352969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23.172110558352969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5.2583333333333373</v>
      </c>
      <c r="GU102" s="12">
        <f>IF('Données projet'!$A$270&gt;35,GU101+GT102-HC101,IF(A102&lt;'Données projet'!$A$270,$GR$205^A102,IF(A102='Données projet'!$A$270,'Données projet'!$B$270,GU101+GT102-HC101)))</f>
        <v>213.73589743589716</v>
      </c>
      <c r="GV102" s="17">
        <f>GU102*VLOOKUP('Données projet'!$B$18,Paramètres!$A$1:$I$89,3,0)*VLOOKUP('Données projet'!$B$18,Paramètres!$A$1:$I$89,5,0)</f>
        <v>143.37403999999981</v>
      </c>
      <c r="GW102" s="13">
        <f t="shared" si="105"/>
        <v>37.068876119120837</v>
      </c>
      <c r="GX102" s="20">
        <f t="shared" si="82"/>
        <v>314.27141224080179</v>
      </c>
      <c r="GY102" s="59">
        <f t="shared" si="83"/>
        <v>607.60474557413511</v>
      </c>
      <c r="GZ102" s="59">
        <f ca="1">AVERAGE(OFFSET($GY$3,0,0,'Données projet'!$E$18+1,1))-AVERAGE(OFFSET($H$3,0,0,'Données projet'!$E$18+1,1))</f>
        <v>266.37807768393191</v>
      </c>
      <c r="HA102" s="59">
        <f t="shared" si="106"/>
        <v>168.52019826233425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19.808417090204948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84"/>
        <v>19.808417090204948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266.99999999999983</v>
      </c>
      <c r="O103" s="13">
        <f>N103*VLOOKUP('Données projet'!$B$9,Paramètres!$A$1:$I$89,3,0)*VLOOKUP('Données projet'!$B$9,Paramètres!$A$1:$I$89,5,0)</f>
        <v>233.2511999999999</v>
      </c>
      <c r="P103" s="13">
        <f t="shared" si="87"/>
        <v>56.985091661350864</v>
      </c>
      <c r="Q103" s="20">
        <f t="shared" si="107"/>
        <v>505.49487464351915</v>
      </c>
      <c r="R103" s="59">
        <f t="shared" si="55"/>
        <v>798.82820797685247</v>
      </c>
      <c r="S103" s="59">
        <f ca="1">AVERAGE(OFFSET($R$3,0,0,'Données projet'!$E$9+1,1))-AVERAGE(OFFSET($H$3,0,0,'Données projet'!$E$9+1,1))</f>
        <v>324.86930206492627</v>
      </c>
      <c r="T103" s="59">
        <f t="shared" si="88"/>
        <v>317.03005098025352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21.274644832740126</v>
      </c>
      <c r="AA103" s="21">
        <f>EXP(-LN(2)/25)*AA102+(1-EXP(-LN(2)/25))/(LN(2)/25)*Calculateur!V103*Calculateur!X103*VLOOKUP('Données projet'!$B$9,Paramètres!$A$1:$I$89,3,0)*0.475*44/12</f>
        <v>5.2526995017980012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26.527344334538128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6.9935897435897401</v>
      </c>
      <c r="AI103" s="13">
        <f>IF('Données projet'!$A$62&gt;35,AI102+AH103-AQ102,IF(A103&lt;'Données projet'!$A$62,$AF$205^A103,IF(A103='Données projet'!$A$62,'Données projet'!$B$62,AI102+AH103-AQ102)))</f>
        <v>277.22435897435946</v>
      </c>
      <c r="AJ103" s="13">
        <f>AI103*VLOOKUP('Données projet'!$B$10,Paramètres!$A$1:$I$89,3,0)*VLOOKUP('Données projet'!$B$10,Paramètres!$A$1:$I$89,5,0)</f>
        <v>263.80670000000043</v>
      </c>
      <c r="AK103" s="13">
        <f t="shared" si="89"/>
        <v>63.533124866547425</v>
      </c>
      <c r="AL103" s="20">
        <f t="shared" si="58"/>
        <v>570.11686164257083</v>
      </c>
      <c r="AM103" s="59">
        <f t="shared" si="59"/>
        <v>863.4501949759042</v>
      </c>
      <c r="AN103" s="59">
        <f ca="1">AVERAGE(OFFSET($AM$3,0,0,'Données projet'!$E$10+1,1))-AVERAGE(OFFSET($H$3,0,0,'Données projet'!$E$10+1,1))</f>
        <v>401.81944956556271</v>
      </c>
      <c r="AO103" s="59">
        <f t="shared" si="90"/>
        <v>292.20785523952651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50.6728700007885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50.6728700007885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1.7053025658242404E-13</v>
      </c>
      <c r="BE103" s="13">
        <f>BD103*VLOOKUP('Données projet'!$B$11,Paramètres!$A$1:$I$89,3,0)*VLOOKUP('Données projet'!$B$11,Paramètres!$A$1:$I$89,5,0)</f>
        <v>1.3301360013429075E-13</v>
      </c>
      <c r="BF103" s="13">
        <f t="shared" si="91"/>
        <v>1.9329766731057041E-12</v>
      </c>
      <c r="BG103" s="20">
        <f t="shared" si="61"/>
        <v>3.5982663925596575E-12</v>
      </c>
      <c r="BH103" s="59">
        <f t="shared" si="62"/>
        <v>293.3333333333369</v>
      </c>
      <c r="BI103" s="59">
        <f ca="1">AVERAGE(OFFSET($BH$3,0,0,'Données projet'!$E$11+1,1))-AVERAGE(OFFSET($H$3,0,0,'Données projet'!$E$11+1,1))</f>
        <v>288.80569134263209</v>
      </c>
      <c r="BJ103" s="59">
        <f t="shared" si="92"/>
        <v>283.48738729114024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43.911110372641581</v>
      </c>
      <c r="BQ103" s="21">
        <f>EXP(-LN(2)/25)*BQ102+(1-EXP(-LN(2)/25))/(LN(2)/25)*Calculateur!BL103*Calculateur!BN103*VLOOKUP('Données projet'!$B$11,Paramètres!$A$1:$I$89,3,0)*0.475*44/12</f>
        <v>28.878054358898325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72.789164731539898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223</v>
      </c>
      <c r="BW103" s="12">
        <f>VLOOKUP(A103,'Données projet'!$A$113:$I$133,9,0)</f>
        <v>3</v>
      </c>
      <c r="BX103" s="12">
        <f t="array" ref="BX103">INDEX(BW:BW,MIN(IF(ISNUMBER(BW103:BW299),ROW(BW103:BW299),"")))</f>
        <v>3</v>
      </c>
      <c r="BY103" s="12">
        <f>IF('Données projet'!$A$114&gt;35,BY102+BX103-CG102,IF(A103&lt;'Données projet'!$A$114,$BV$205^A103,IF(A103='Données projet'!$A$114,'Données projet'!$B$114,BY102+BX103-CG102)))</f>
        <v>223.00000000000009</v>
      </c>
      <c r="BZ103" s="13">
        <f>BY103*VLOOKUP('Données projet'!$B$12,Paramètres!$A$1:$I$89,3,0)*VLOOKUP('Données projet'!$B$12,Paramètres!$A$1:$I$89,5,0)</f>
        <v>233.07960000000008</v>
      </c>
      <c r="CA103" s="13">
        <f t="shared" si="93"/>
        <v>56.948046716289092</v>
      </c>
      <c r="CB103" s="20">
        <f t="shared" si="64"/>
        <v>505.13148469753696</v>
      </c>
      <c r="CC103" s="59">
        <f t="shared" si="65"/>
        <v>798.46481803087022</v>
      </c>
      <c r="CD103" s="59">
        <f ca="1">AVERAGE(OFFSET($CC$3,0,0,'Données projet'!$E$12+1,1))-AVERAGE(OFFSET($H$3,0,0,'Données projet'!$E$12+1,1))</f>
        <v>352.22281362023102</v>
      </c>
      <c r="CE103" s="59">
        <f t="shared" si="94"/>
        <v>310.2353747925161</v>
      </c>
      <c r="CF103" s="15">
        <f>IF(ISNA(VLOOKUP(A103,'Données projet'!$A$113:$I$133,3,0)),0,VLOOKUP(A103,'Données projet'!$A$113:$I$133,3,0))</f>
        <v>17</v>
      </c>
      <c r="CG103" s="15" t="str">
        <f>IF(ISNA(VLOOKUP(A103,'Données projet'!$A$113:$I$133,4,0)),0,VLOOKUP(A103,'Données projet'!$A$113:$I$133,4,0))</f>
        <v>11</v>
      </c>
      <c r="CH103" s="16">
        <f>IF(ISNA(VLOOKUP(A103,'Données projet'!$A$113:$I$133,5,0)),0%,VLOOKUP(A103,'Données projet'!$A$113:$I$133,5,0)*VLOOKUP('Données projet'!$B$12,Paramètres!$A$1:$I$89,7,0))</f>
        <v>0.215</v>
      </c>
      <c r="CI103" s="16">
        <f>IF(ISNA(VLOOKUP(A103,'Données projet'!$A$113:$I$133,6,0)),0%,VLOOKUP(A103,'Données projet'!$A$113:$I$133,6,0)*VLOOKUP('Données projet'!$B$12,Paramètres!$A$1:$I$89,7,0))</f>
        <v>0.17200000000000001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17.868120782806344</v>
      </c>
      <c r="CL103" s="21">
        <f>EXP(-LN(2)/25)*CL102+(1-EXP(-LN(2)/25))/(LN(2)/25)*Calculateur!CG103*Calculateur!CI103*VLOOKUP('Données projet'!$B$12,Paramètres!$A$1:$I$89,3,0)*0.475*44/12</f>
        <v>16.734594968027395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34.602715750833738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5.2583333333333373</v>
      </c>
      <c r="CT103" s="12">
        <f>IF('Données projet'!$A$140&gt;35,CT102+CS103-DB102,IF(A103&lt;'Données projet'!$A$140,$CQ$205^A103,IF(A103='Données projet'!$A$140,'Données projet'!$B$140,CT102+CS103-DB102)))</f>
        <v>218.99423076923048</v>
      </c>
      <c r="CU103" s="17">
        <f>CT103*VLOOKUP('Données projet'!$B$13,Paramètres!$A$1:$I$89,3,0)*VLOOKUP('Données projet'!$B$13,Paramètres!$A$1:$I$89,5,0)</f>
        <v>198.14597999999972</v>
      </c>
      <c r="CV103" s="13">
        <f t="shared" si="95"/>
        <v>49.336489651503598</v>
      </c>
      <c r="CW103" s="20">
        <f t="shared" si="67"/>
        <v>431.03196797636821</v>
      </c>
      <c r="CX103" s="59">
        <f t="shared" si="68"/>
        <v>724.36530130970152</v>
      </c>
      <c r="CY103" s="59">
        <f ca="1">AVERAGE(OFFSET($CX$3,0,0,'Données projet'!$E$13+1,1))-AVERAGE(OFFSET($H$3,0,0,'Données projet'!$E$13+1,1))</f>
        <v>345.49688858037996</v>
      </c>
      <c r="CZ103" s="59">
        <f t="shared" si="96"/>
        <v>213.15872113755023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21.252060274611942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21.252060274611942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5.2583333333333373</v>
      </c>
      <c r="DO103" s="12">
        <f>IF('Données projet'!$A$166&gt;35,DO102+DN103-DW102,IF(A103&lt;'Données projet'!$A$166,$DL$205^A103,IF(A103='Données projet'!$A$166,'Données projet'!$B$166,DO102+DN103-DW102)))</f>
        <v>218.99423076923048</v>
      </c>
      <c r="DP103" s="17">
        <f>DO103*VLOOKUP('Données projet'!$B$14,Paramètres!$A$1:$I$89,3,0)*VLOOKUP('Données projet'!$B$14,Paramètres!$A$1:$I$89,5,0)</f>
        <v>222.06014999999974</v>
      </c>
      <c r="DQ103" s="13">
        <f t="shared" si="97"/>
        <v>54.562405957952684</v>
      </c>
      <c r="DR103" s="20">
        <f t="shared" si="70"/>
        <v>481.78428496010048</v>
      </c>
      <c r="DS103" s="59">
        <f t="shared" si="71"/>
        <v>775.11761829343379</v>
      </c>
      <c r="DT103" s="59">
        <f ca="1">AVERAGE(OFFSET($DS$3,0,0,'Données projet'!$E$14+1,1))-AVERAGE(OFFSET($H$3,0,0,'Données projet'!$E$14+1,1))</f>
        <v>382.26108489744581</v>
      </c>
      <c r="DU103" s="59">
        <f t="shared" si="98"/>
        <v>233.89423996158826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23.816964100858204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23.816964100858204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4.7211538461538396</v>
      </c>
      <c r="EJ103" s="12">
        <f>IF('Données projet'!$A$192&gt;35,EJ102+EI103-ER102,IF(A103&lt;'Données projet'!$A$192,$EG$205^A103,IF(A103='Données projet'!$A$192,'Données projet'!$B$192,EJ102+EI103-ER102)))</f>
        <v>167.68269230769204</v>
      </c>
      <c r="EK103" s="17">
        <f>EJ103*VLOOKUP('Données projet'!$B$15,Paramètres!$A$1:$I$89,3,0)*VLOOKUP('Données projet'!$B$15,Paramètres!$A$1:$I$89,5,0)</f>
        <v>141.2558999999998</v>
      </c>
      <c r="EL103" s="13">
        <f t="shared" si="99"/>
        <v>36.584564836542413</v>
      </c>
      <c r="EM103" s="20">
        <f t="shared" si="73"/>
        <v>309.73880959031101</v>
      </c>
      <c r="EN103" s="59">
        <f t="shared" si="74"/>
        <v>603.07214292364438</v>
      </c>
      <c r="EO103" s="59">
        <f ca="1">AVERAGE(OFFSET($EN$3,0,0,'Données projet'!$E$15+1,1))-AVERAGE(OFFSET($H$3,0,0,'Données projet'!$E$15+1,1))</f>
        <v>312.48716825299158</v>
      </c>
      <c r="EP103" s="59">
        <f t="shared" si="100"/>
        <v>258.68277822755357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109.30698011089588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109.30698011089588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5.2583333333333373</v>
      </c>
      <c r="FE103" s="12">
        <f>IF('Données projet'!$A$218&gt;35,FE102+FD103-FM102,IF(A103&lt;'Données projet'!$A$218,$FB$205^A103,IF(A103='Données projet'!$A$218,'Données projet'!$B$218,FE102+FD103-FM102)))</f>
        <v>218.99423076923048</v>
      </c>
      <c r="FF103" s="17">
        <f>FE103*VLOOKUP('Données projet'!$B$16,Paramètres!$A$1:$I$89,3,0)*VLOOKUP('Données projet'!$B$16,Paramètres!$A$1:$I$89,5,0)</f>
        <v>235.72538999999969</v>
      </c>
      <c r="FG103" s="13">
        <f t="shared" si="101"/>
        <v>57.51886758052828</v>
      </c>
      <c r="FH103" s="20">
        <f t="shared" si="76"/>
        <v>510.73374861941949</v>
      </c>
      <c r="FI103" s="59">
        <f t="shared" si="77"/>
        <v>804.0670819527528</v>
      </c>
      <c r="FJ103" s="59">
        <f ca="1">AVERAGE(OFFSET($FI$3,0,0,'Données projet'!$E$16+1,1))-AVERAGE(OFFSET($H$3,0,0,'Données projet'!$E$16+1,1))</f>
        <v>403.23110963096246</v>
      </c>
      <c r="FK103" s="59">
        <f t="shared" si="102"/>
        <v>245.72000393124898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25.282623430141786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25.282623430141786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5.2583333333333373</v>
      </c>
      <c r="FZ103" s="12">
        <f>IF('Données projet'!$A$244&gt;35,FZ102+FY103-GH102,IF(A103&lt;'Données projet'!$A$244,$FW$205^A103,IF(A103='Données projet'!$A$244,'Données projet'!$B$244,FZ102+FY103-GH102)))</f>
        <v>218.99423076923048</v>
      </c>
      <c r="GA103" s="17">
        <f>FZ103*VLOOKUP('Données projet'!$B$17,Paramètres!$A$1:$I$89,3,0)*VLOOKUP('Données projet'!$B$17,Paramètres!$A$1:$I$89,5,0)</f>
        <v>211.81121999999974</v>
      </c>
      <c r="GB103" s="13">
        <f t="shared" si="103"/>
        <v>52.331184795732305</v>
      </c>
      <c r="GC103" s="20">
        <f t="shared" si="79"/>
        <v>460.04802168589998</v>
      </c>
      <c r="GD103" s="59">
        <f t="shared" si="80"/>
        <v>753.3813550192333</v>
      </c>
      <c r="GE103" s="59">
        <f ca="1">AVERAGE(OFFSET($GD$3,0,0,'Données projet'!$E$17+1,1))-AVERAGE(OFFSET($H$3,0,0,'Données projet'!$E$17+1,1))</f>
        <v>336.2911850338175</v>
      </c>
      <c r="GF103" s="59">
        <f t="shared" si="104"/>
        <v>225.01415116995503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22.717719603895532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22.717719603895532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5.2583333333333373</v>
      </c>
      <c r="GU103" s="12">
        <f>IF('Données projet'!$A$270&gt;35,GU102+GT103-HC102,IF(A103&lt;'Données projet'!$A$270,$GR$205^A103,IF(A103='Données projet'!$A$270,'Données projet'!$B$270,GU102+GT103-HC102)))</f>
        <v>218.99423076923048</v>
      </c>
      <c r="GV103" s="17">
        <f>GU103*VLOOKUP('Données projet'!$B$18,Paramètres!$A$1:$I$89,3,0)*VLOOKUP('Données projet'!$B$18,Paramètres!$A$1:$I$89,5,0)</f>
        <v>146.9013299999998</v>
      </c>
      <c r="GW103" s="13">
        <f t="shared" si="105"/>
        <v>37.873548534728791</v>
      </c>
      <c r="GX103" s="20">
        <f t="shared" si="82"/>
        <v>321.81624678131897</v>
      </c>
      <c r="GY103" s="59">
        <f t="shared" si="83"/>
        <v>615.14958011465228</v>
      </c>
      <c r="GZ103" s="59">
        <f ca="1">AVERAGE(OFFSET($GY$3,0,0,'Données projet'!$E$18+1,1))-AVERAGE(OFFSET($H$3,0,0,'Données projet'!$E$18+1,1))</f>
        <v>266.37807768393191</v>
      </c>
      <c r="HA103" s="59">
        <f t="shared" si="106"/>
        <v>168.52019826233425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19.419986113007461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84"/>
        <v>19.419986113007461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266.99999999999983</v>
      </c>
      <c r="O104" s="13">
        <f>N104*VLOOKUP('Données projet'!$B$9,Paramètres!$A$1:$I$89,3,0)*VLOOKUP('Données projet'!$B$9,Paramètres!$A$1:$I$89,5,0)</f>
        <v>233.2511999999999</v>
      </c>
      <c r="P104" s="13">
        <f t="shared" si="87"/>
        <v>56.985091661350864</v>
      </c>
      <c r="Q104" s="20">
        <f t="shared" si="107"/>
        <v>505.49487464351915</v>
      </c>
      <c r="R104" s="59">
        <f t="shared" si="55"/>
        <v>798.82820797685247</v>
      </c>
      <c r="S104" s="59">
        <f ca="1">AVERAGE(OFFSET($R$3,0,0,'Données projet'!$E$9+1,1))-AVERAGE(OFFSET($H$3,0,0,'Données projet'!$E$9+1,1))</f>
        <v>324.86930206492627</v>
      </c>
      <c r="T104" s="59">
        <f t="shared" si="88"/>
        <v>317.03005098025352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20.857462023822141</v>
      </c>
      <c r="AA104" s="21">
        <f>EXP(-LN(2)/25)*AA103+(1-EXP(-LN(2)/25))/(LN(2)/25)*Calculateur!V104*Calculateur!X104*VLOOKUP('Données projet'!$B$9,Paramètres!$A$1:$I$89,3,0)*0.475*44/12</f>
        <v>5.1090641576938731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25.966526181516013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6.9935897435897401</v>
      </c>
      <c r="AI104" s="13">
        <f>IF('Données projet'!$A$62&gt;35,AI103+AH104-AQ103,IF(A104&lt;'Données projet'!$A$62,$AF$205^A104,IF(A104='Données projet'!$A$62,'Données projet'!$B$62,AI103+AH104-AQ103)))</f>
        <v>284.21794871794918</v>
      </c>
      <c r="AJ104" s="13">
        <f>AI104*VLOOKUP('Données projet'!$B$10,Paramètres!$A$1:$I$89,3,0)*VLOOKUP('Données projet'!$B$10,Paramètres!$A$1:$I$89,5,0)</f>
        <v>270.46180000000044</v>
      </c>
      <c r="AK104" s="13">
        <f t="shared" si="89"/>
        <v>64.947265153265164</v>
      </c>
      <c r="AL104" s="20">
        <f t="shared" si="58"/>
        <v>584.17078847527091</v>
      </c>
      <c r="AM104" s="59">
        <f t="shared" si="59"/>
        <v>877.50412180860417</v>
      </c>
      <c r="AN104" s="59">
        <f ca="1">AVERAGE(OFFSET($AM$3,0,0,'Données projet'!$E$10+1,1))-AVERAGE(OFFSET($H$3,0,0,'Données projet'!$E$10+1,1))</f>
        <v>401.81944956556271</v>
      </c>
      <c r="AO104" s="59">
        <f t="shared" si="90"/>
        <v>292.20785523952651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49.679205927471884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49.679205927471884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1.7053025658242404E-13</v>
      </c>
      <c r="BE104" s="13">
        <f>BD104*VLOOKUP('Données projet'!$B$11,Paramètres!$A$1:$I$89,3,0)*VLOOKUP('Données projet'!$B$11,Paramètres!$A$1:$I$89,5,0)</f>
        <v>1.3301360013429075E-13</v>
      </c>
      <c r="BF104" s="13">
        <f t="shared" si="91"/>
        <v>1.9329766731057041E-12</v>
      </c>
      <c r="BG104" s="20">
        <f t="shared" si="61"/>
        <v>3.5982663925596575E-12</v>
      </c>
      <c r="BH104" s="59">
        <f t="shared" si="62"/>
        <v>293.3333333333369</v>
      </c>
      <c r="BI104" s="59">
        <f ca="1">AVERAGE(OFFSET($BH$3,0,0,'Données projet'!$E$11+1,1))-AVERAGE(OFFSET($H$3,0,0,'Données projet'!$E$11+1,1))</f>
        <v>288.80569134263209</v>
      </c>
      <c r="BJ104" s="59">
        <f t="shared" si="92"/>
        <v>283.48738729114024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43.05004028136679</v>
      </c>
      <c r="BQ104" s="21">
        <f>EXP(-LN(2)/25)*BQ103+(1-EXP(-LN(2)/25))/(LN(2)/25)*Calculateur!BL104*Calculateur!BN104*VLOOKUP('Données projet'!$B$11,Paramètres!$A$1:$I$89,3,0)*0.475*44/12</f>
        <v>28.088382443823374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71.138422725190168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212.00000000000009</v>
      </c>
      <c r="BZ104" s="13">
        <f>BY104*VLOOKUP('Données projet'!$B$12,Paramètres!$A$1:$I$89,3,0)*VLOOKUP('Données projet'!$B$12,Paramètres!$A$1:$I$89,5,0)</f>
        <v>221.58240000000012</v>
      </c>
      <c r="CA104" s="13">
        <f t="shared" si="93"/>
        <v>54.458668952651578</v>
      </c>
      <c r="CB104" s="20">
        <f t="shared" si="64"/>
        <v>480.77152842586838</v>
      </c>
      <c r="CC104" s="59">
        <f t="shared" si="65"/>
        <v>774.10486175920164</v>
      </c>
      <c r="CD104" s="59">
        <f ca="1">AVERAGE(OFFSET($CC$3,0,0,'Données projet'!$E$12+1,1))-AVERAGE(OFFSET($H$3,0,0,'Données projet'!$E$12+1,1))</f>
        <v>352.22281362023102</v>
      </c>
      <c r="CE104" s="59">
        <f t="shared" si="94"/>
        <v>310.2353747925161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17.517737832733054</v>
      </c>
      <c r="CL104" s="21">
        <f>EXP(-LN(2)/25)*CL103+(1-EXP(-LN(2)/25))/(LN(2)/25)*Calculateur!CG104*Calculateur!CI104*VLOOKUP('Données projet'!$B$12,Paramètres!$A$1:$I$89,3,0)*0.475*44/12</f>
        <v>16.276986588592585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33.79472442132564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5.2583333333333373</v>
      </c>
      <c r="CT104" s="12">
        <f>IF('Données projet'!$A$140&gt;35,CT103+CS104-DB103,IF(A104&lt;'Données projet'!$A$140,$CQ$205^A104,IF(A104='Données projet'!$A$140,'Données projet'!$B$140,CT103+CS104-DB103)))</f>
        <v>224.25256410256381</v>
      </c>
      <c r="CU104" s="17">
        <f>CT104*VLOOKUP('Données projet'!$B$13,Paramètres!$A$1:$I$89,3,0)*VLOOKUP('Données projet'!$B$13,Paramètres!$A$1:$I$89,5,0)</f>
        <v>202.90371999999974</v>
      </c>
      <c r="CV104" s="13">
        <f t="shared" si="95"/>
        <v>50.381781160298395</v>
      </c>
      <c r="CW104" s="20">
        <f t="shared" si="67"/>
        <v>441.13891452085255</v>
      </c>
      <c r="CX104" s="59">
        <f t="shared" si="68"/>
        <v>734.47224785418587</v>
      </c>
      <c r="CY104" s="59">
        <f ca="1">AVERAGE(OFFSET($CX$3,0,0,'Données projet'!$E$13+1,1))-AVERAGE(OFFSET($H$3,0,0,'Données projet'!$E$13+1,1))</f>
        <v>345.49688858037996</v>
      </c>
      <c r="CZ104" s="59">
        <f t="shared" si="96"/>
        <v>213.15872113755023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20.835320335103631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20.835320335103631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5.2583333333333373</v>
      </c>
      <c r="DO104" s="12">
        <f>IF('Données projet'!$A$166&gt;35,DO103+DN104-DW103,IF(A104&lt;'Données projet'!$A$166,$DL$205^A104,IF(A104='Données projet'!$A$166,'Données projet'!$B$166,DO103+DN104-DW103)))</f>
        <v>224.25256410256381</v>
      </c>
      <c r="DP104" s="17">
        <f>DO104*VLOOKUP('Données projet'!$B$14,Paramètres!$A$1:$I$89,3,0)*VLOOKUP('Données projet'!$B$14,Paramètres!$A$1:$I$89,5,0)</f>
        <v>227.39209999999972</v>
      </c>
      <c r="DQ104" s="13">
        <f t="shared" si="97"/>
        <v>55.718418881655332</v>
      </c>
      <c r="DR104" s="20">
        <f t="shared" si="70"/>
        <v>493.08415371888253</v>
      </c>
      <c r="DS104" s="59">
        <f t="shared" si="71"/>
        <v>786.41748705221585</v>
      </c>
      <c r="DT104" s="59">
        <f ca="1">AVERAGE(OFFSET($DS$3,0,0,'Données projet'!$E$14+1,1))-AVERAGE(OFFSET($H$3,0,0,'Données projet'!$E$14+1,1))</f>
        <v>382.26108489744581</v>
      </c>
      <c r="DU104" s="59">
        <f t="shared" si="98"/>
        <v>233.89423996158826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23.349927961754062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23.349927961754062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>
        <f>VLOOKUP(A104,'Données projet'!$A$191:$I$211,2,0)</f>
        <v>172.40384615384613</v>
      </c>
      <c r="EH104" s="12">
        <f>VLOOKUP(A104,'Données projet'!$A$191:$I$211,9,0)</f>
        <v>4.7211538461538396</v>
      </c>
      <c r="EI104" s="12">
        <f t="array" ref="EI104">INDEX(EH:EH,MIN(IF(ISNUMBER(EH104:EH300),ROW(EH104:EH300),"")))</f>
        <v>4.7211538461538396</v>
      </c>
      <c r="EJ104" s="12">
        <f>IF('Données projet'!$A$192&gt;35,EJ103+EI104-ER103,IF(A104&lt;'Données projet'!$A$192,$EG$205^A104,IF(A104='Données projet'!$A$192,'Données projet'!$B$192,EJ103+EI104-ER103)))</f>
        <v>172.40384615384588</v>
      </c>
      <c r="EK104" s="17">
        <f>EJ104*VLOOKUP('Données projet'!$B$15,Paramètres!$A$1:$I$89,3,0)*VLOOKUP('Données projet'!$B$15,Paramètres!$A$1:$I$89,5,0)</f>
        <v>145.23299999999978</v>
      </c>
      <c r="EL104" s="13">
        <f t="shared" si="99"/>
        <v>37.493239961671939</v>
      </c>
      <c r="EM104" s="20">
        <f t="shared" si="73"/>
        <v>318.24820126657823</v>
      </c>
      <c r="EN104" s="59">
        <f t="shared" si="74"/>
        <v>611.58153459991149</v>
      </c>
      <c r="EO104" s="59">
        <f ca="1">AVERAGE(OFFSET($EN$3,0,0,'Données projet'!$E$15+1,1))-AVERAGE(OFFSET($H$3,0,0,'Données projet'!$E$15+1,1))</f>
        <v>312.48716825299158</v>
      </c>
      <c r="EP104" s="59">
        <f t="shared" si="100"/>
        <v>258.68277822755357</v>
      </c>
      <c r="EQ104" s="15">
        <f>IF(ISNA(VLOOKUP(A104,'Données projet'!$A$191:$I$211,3,0)),0,VLOOKUP(A104,'Données projet'!$A$191:$I$211,3,0))</f>
        <v>11</v>
      </c>
      <c r="ER104" s="15">
        <f>IF(ISNA(VLOOKUP(A104,'Données projet'!$A$191:$I$211,4,0)),0,VLOOKUP(A104,'Données projet'!$A$191:$I$211,4,0))</f>
        <v>56.294871794871788</v>
      </c>
      <c r="ES104" s="16">
        <f>IF(ISNA(VLOOKUP(A104,'Données projet'!$A$191:$I$211,5,0)),0%,VLOOKUP(A104,'Données projet'!$A$191:$I$211,5,0)*VLOOKUP('Données projet'!$B$15,Paramètres!$A$1:$I$89,7,0))</f>
        <v>0.38700000000000001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127.45181867811327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127.45181867811327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5.2583333333333373</v>
      </c>
      <c r="FE104" s="12">
        <f>IF('Données projet'!$A$218&gt;35,FE103+FD104-FM103,IF(A104&lt;'Données projet'!$A$218,$FB$205^A104,IF(A104='Données projet'!$A$218,'Données projet'!$B$218,FE103+FD104-FM103)))</f>
        <v>224.25256410256381</v>
      </c>
      <c r="FF104" s="17">
        <f>FE104*VLOOKUP('Données projet'!$B$16,Paramètres!$A$1:$I$89,3,0)*VLOOKUP('Données projet'!$B$16,Paramètres!$A$1:$I$89,5,0)</f>
        <v>241.38545999999968</v>
      </c>
      <c r="FG104" s="13">
        <f t="shared" si="101"/>
        <v>58.737519014834092</v>
      </c>
      <c r="FH104" s="20">
        <f t="shared" si="76"/>
        <v>522.71418845083542</v>
      </c>
      <c r="FI104" s="59">
        <f t="shared" si="77"/>
        <v>816.04752178416879</v>
      </c>
      <c r="FJ104" s="59">
        <f ca="1">AVERAGE(OFFSET($FI$3,0,0,'Données projet'!$E$16+1,1))-AVERAGE(OFFSET($H$3,0,0,'Données projet'!$E$16+1,1))</f>
        <v>403.23110963096246</v>
      </c>
      <c r="FK104" s="59">
        <f t="shared" si="102"/>
        <v>245.72000393124898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24.786846605554313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24.786846605554313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5.2583333333333373</v>
      </c>
      <c r="FZ104" s="12">
        <f>IF('Données projet'!$A$244&gt;35,FZ103+FY104-GH103,IF(A104&lt;'Données projet'!$A$244,$FW$205^A104,IF(A104='Données projet'!$A$244,'Données projet'!$B$244,FZ103+FY104-GH103)))</f>
        <v>224.25256410256381</v>
      </c>
      <c r="GA104" s="17">
        <f>FZ104*VLOOKUP('Données projet'!$B$17,Paramètres!$A$1:$I$89,3,0)*VLOOKUP('Données projet'!$B$17,Paramètres!$A$1:$I$89,5,0)</f>
        <v>216.89707999999973</v>
      </c>
      <c r="GB104" s="13">
        <f t="shared" si="103"/>
        <v>53.439924868212991</v>
      </c>
      <c r="GC104" s="20">
        <f t="shared" si="79"/>
        <v>470.83695014547044</v>
      </c>
      <c r="GD104" s="59">
        <f t="shared" si="80"/>
        <v>764.17028347880375</v>
      </c>
      <c r="GE104" s="59">
        <f ca="1">AVERAGE(OFFSET($GD$3,0,0,'Données projet'!$E$17+1,1))-AVERAGE(OFFSET($H$3,0,0,'Données projet'!$E$17+1,1))</f>
        <v>336.2911850338175</v>
      </c>
      <c r="GF104" s="59">
        <f t="shared" si="104"/>
        <v>225.01415116995503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22.272238978903889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22.272238978903889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5.2583333333333373</v>
      </c>
      <c r="GU104" s="12">
        <f>IF('Données projet'!$A$270&gt;35,GU103+GT104-HC103,IF(A104&lt;'Données projet'!$A$270,$GR$205^A104,IF(A104='Données projet'!$A$270,'Données projet'!$B$270,GU103+GT104-HC103)))</f>
        <v>224.25256410256381</v>
      </c>
      <c r="GV104" s="17">
        <f>GU104*VLOOKUP('Données projet'!$B$18,Paramètres!$A$1:$I$89,3,0)*VLOOKUP('Données projet'!$B$18,Paramètres!$A$1:$I$89,5,0)</f>
        <v>150.4286199999998</v>
      </c>
      <c r="GW104" s="13">
        <f t="shared" si="105"/>
        <v>38.675974872129785</v>
      </c>
      <c r="GX104" s="20">
        <f t="shared" si="82"/>
        <v>329.35716940229236</v>
      </c>
      <c r="GY104" s="59">
        <f t="shared" si="83"/>
        <v>622.69050273562561</v>
      </c>
      <c r="GZ104" s="59">
        <f ca="1">AVERAGE(OFFSET($GY$3,0,0,'Données projet'!$E$18+1,1))-AVERAGE(OFFSET($H$3,0,0,'Données projet'!$E$18+1,1))</f>
        <v>266.37807768393191</v>
      </c>
      <c r="HA104" s="59">
        <f t="shared" si="106"/>
        <v>168.52019826233425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19.039172030353313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84"/>
        <v>19.039172030353313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266.99999999999983</v>
      </c>
      <c r="O105" s="13">
        <f>N105*VLOOKUP('Données projet'!$B$9,Paramètres!$A$1:$I$89,3,0)*VLOOKUP('Données projet'!$B$9,Paramètres!$A$1:$I$89,5,0)</f>
        <v>233.2511999999999</v>
      </c>
      <c r="P105" s="13">
        <f t="shared" si="87"/>
        <v>56.985091661350864</v>
      </c>
      <c r="Q105" s="20">
        <f t="shared" si="107"/>
        <v>505.49487464351915</v>
      </c>
      <c r="R105" s="59">
        <f t="shared" si="55"/>
        <v>798.82820797685247</v>
      </c>
      <c r="S105" s="59">
        <f ca="1">AVERAGE(OFFSET($R$3,0,0,'Données projet'!$E$9+1,1))-AVERAGE(OFFSET($H$3,0,0,'Données projet'!$E$9+1,1))</f>
        <v>324.86930206492627</v>
      </c>
      <c r="T105" s="59">
        <f t="shared" si="88"/>
        <v>317.03005098025352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20.448459915330648</v>
      </c>
      <c r="AA105" s="21">
        <f>EXP(-LN(2)/25)*AA104+(1-EXP(-LN(2)/25))/(LN(2)/25)*Calculateur!V105*Calculateur!X105*VLOOKUP('Données projet'!$B$9,Paramètres!$A$1:$I$89,3,0)*0.475*44/12</f>
        <v>4.9693565296277269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25.417816444958376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6.9935897435897401</v>
      </c>
      <c r="AI105" s="13">
        <f>IF('Données projet'!$A$62&gt;35,AI104+AH105-AQ104,IF(A105&lt;'Données projet'!$A$62,$AF$205^A105,IF(A105='Données projet'!$A$62,'Données projet'!$B$62,AI104+AH105-AQ104)))</f>
        <v>291.21153846153891</v>
      </c>
      <c r="AJ105" s="13">
        <f>AI105*VLOOKUP('Données projet'!$B$10,Paramètres!$A$1:$I$89,3,0)*VLOOKUP('Données projet'!$B$10,Paramètres!$A$1:$I$89,5,0)</f>
        <v>277.11690000000038</v>
      </c>
      <c r="AK105" s="13">
        <f t="shared" si="89"/>
        <v>66.357360438884669</v>
      </c>
      <c r="AL105" s="20">
        <f t="shared" si="58"/>
        <v>598.21767026439147</v>
      </c>
      <c r="AM105" s="59">
        <f t="shared" si="59"/>
        <v>891.55100359772473</v>
      </c>
      <c r="AN105" s="59">
        <f ca="1">AVERAGE(OFFSET($AM$3,0,0,'Données projet'!$E$10+1,1))-AVERAGE(OFFSET($H$3,0,0,'Données projet'!$E$10+1,1))</f>
        <v>401.81944956556271</v>
      </c>
      <c r="AO105" s="59">
        <f t="shared" si="90"/>
        <v>292.20785523952651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48.70502700055777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48.70502700055777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1.7053025658242404E-13</v>
      </c>
      <c r="BE105" s="13">
        <f>BD105*VLOOKUP('Données projet'!$B$11,Paramètres!$A$1:$I$89,3,0)*VLOOKUP('Données projet'!$B$11,Paramètres!$A$1:$I$89,5,0)</f>
        <v>1.3301360013429075E-13</v>
      </c>
      <c r="BF105" s="13">
        <f t="shared" si="91"/>
        <v>1.9329766731057041E-12</v>
      </c>
      <c r="BG105" s="20">
        <f t="shared" si="61"/>
        <v>3.5982663925596575E-12</v>
      </c>
      <c r="BH105" s="59">
        <f t="shared" si="62"/>
        <v>293.3333333333369</v>
      </c>
      <c r="BI105" s="59">
        <f ca="1">AVERAGE(OFFSET($BH$3,0,0,'Données projet'!$E$11+1,1))-AVERAGE(OFFSET($H$3,0,0,'Données projet'!$E$11+1,1))</f>
        <v>288.80569134263209</v>
      </c>
      <c r="BJ105" s="59">
        <f t="shared" si="92"/>
        <v>283.48738729114024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42.205855249381003</v>
      </c>
      <c r="BQ105" s="21">
        <f>EXP(-LN(2)/25)*BQ104+(1-EXP(-LN(2)/25))/(LN(2)/25)*Calculateur!BL105*Calculateur!BN105*VLOOKUP('Données projet'!$B$11,Paramètres!$A$1:$I$89,3,0)*0.475*44/12</f>
        <v>27.320304148793188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69.526159398174187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212.00000000000009</v>
      </c>
      <c r="BZ105" s="13">
        <f>BY105*VLOOKUP('Données projet'!$B$12,Paramètres!$A$1:$I$89,3,0)*VLOOKUP('Données projet'!$B$12,Paramètres!$A$1:$I$89,5,0)</f>
        <v>221.58240000000012</v>
      </c>
      <c r="CA105" s="13">
        <f t="shared" si="93"/>
        <v>54.458668952651578</v>
      </c>
      <c r="CB105" s="20">
        <f t="shared" si="64"/>
        <v>480.77152842586838</v>
      </c>
      <c r="CC105" s="59">
        <f t="shared" si="65"/>
        <v>774.10486175920164</v>
      </c>
      <c r="CD105" s="59">
        <f ca="1">AVERAGE(OFFSET($CC$3,0,0,'Données projet'!$E$12+1,1))-AVERAGE(OFFSET($H$3,0,0,'Données projet'!$E$12+1,1))</f>
        <v>352.22281362023102</v>
      </c>
      <c r="CE105" s="59">
        <f t="shared" si="94"/>
        <v>310.2353747925161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17.174225678598205</v>
      </c>
      <c r="CL105" s="21">
        <f>EXP(-LN(2)/25)*CL104+(1-EXP(-LN(2)/25))/(LN(2)/25)*Calculateur!CG105*Calculateur!CI105*VLOOKUP('Données projet'!$B$12,Paramètres!$A$1:$I$89,3,0)*0.475*44/12</f>
        <v>15.831891534357998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33.006117212956205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5.2583333333333373</v>
      </c>
      <c r="CT105" s="12">
        <f>IF('Données projet'!$A$140&gt;35,CT104+CS105-DB104,IF(A105&lt;'Données projet'!$A$140,$CQ$205^A105,IF(A105='Données projet'!$A$140,'Données projet'!$B$140,CT104+CS105-DB104)))</f>
        <v>229.51089743589714</v>
      </c>
      <c r="CU105" s="17">
        <f>CT105*VLOOKUP('Données projet'!$B$13,Paramètres!$A$1:$I$89,3,0)*VLOOKUP('Données projet'!$B$13,Paramètres!$A$1:$I$89,5,0)</f>
        <v>207.66145999999972</v>
      </c>
      <c r="CV105" s="13">
        <f t="shared" si="95"/>
        <v>51.424223287461992</v>
      </c>
      <c r="CW105" s="20">
        <f t="shared" si="67"/>
        <v>451.2408983923292</v>
      </c>
      <c r="CX105" s="59">
        <f t="shared" si="68"/>
        <v>744.57423172566246</v>
      </c>
      <c r="CY105" s="59">
        <f ca="1">AVERAGE(OFFSET($CX$3,0,0,'Données projet'!$E$13+1,1))-AVERAGE(OFFSET($H$3,0,0,'Données projet'!$E$13+1,1))</f>
        <v>345.49688858037996</v>
      </c>
      <c r="CZ105" s="59">
        <f t="shared" si="96"/>
        <v>213.15872113755023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20.426752411622815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20.426752411622815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5.2583333333333373</v>
      </c>
      <c r="DO105" s="12">
        <f>IF('Données projet'!$A$166&gt;35,DO104+DN105-DW104,IF(A105&lt;'Données projet'!$A$166,$DL$205^A105,IF(A105='Données projet'!$A$166,'Données projet'!$B$166,DO104+DN105-DW104)))</f>
        <v>229.51089743589714</v>
      </c>
      <c r="DP105" s="17">
        <f>DO105*VLOOKUP('Données projet'!$B$14,Paramètres!$A$1:$I$89,3,0)*VLOOKUP('Données projet'!$B$14,Paramètres!$A$1:$I$89,5,0)</f>
        <v>232.72404999999969</v>
      </c>
      <c r="DQ105" s="13">
        <f t="shared" si="97"/>
        <v>56.871280605943788</v>
      </c>
      <c r="DR105" s="20">
        <f t="shared" si="70"/>
        <v>504.37853413868493</v>
      </c>
      <c r="DS105" s="59">
        <f t="shared" si="71"/>
        <v>797.71186747201818</v>
      </c>
      <c r="DT105" s="59">
        <f ca="1">AVERAGE(OFFSET($DS$3,0,0,'Données projet'!$E$14+1,1))-AVERAGE(OFFSET($H$3,0,0,'Données projet'!$E$14+1,1))</f>
        <v>382.26108489744581</v>
      </c>
      <c r="DU105" s="59">
        <f t="shared" si="98"/>
        <v>233.89423996158826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22.892050116473836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22.892050116473836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3.2339743589743648</v>
      </c>
      <c r="EJ105" s="12">
        <f>IF('Données projet'!$A$192&gt;35,EJ104+EI105-ER104,IF(A105&lt;'Données projet'!$A$192,$EG$205^A105,IF(A105='Données projet'!$A$192,'Données projet'!$B$192,EJ104+EI105-ER104)))</f>
        <v>119.34294871794845</v>
      </c>
      <c r="EK105" s="17">
        <f>EJ105*VLOOKUP('Données projet'!$B$15,Paramètres!$A$1:$I$89,3,0)*VLOOKUP('Données projet'!$B$15,Paramètres!$A$1:$I$89,5,0)</f>
        <v>100.53449999999978</v>
      </c>
      <c r="EL105" s="13">
        <f t="shared" si="99"/>
        <v>27.089295269398566</v>
      </c>
      <c r="EM105" s="20">
        <f t="shared" si="73"/>
        <v>222.27811009420211</v>
      </c>
      <c r="EN105" s="59">
        <f t="shared" si="74"/>
        <v>515.61144342753539</v>
      </c>
      <c r="EO105" s="59">
        <f ca="1">AVERAGE(OFFSET($EN$3,0,0,'Données projet'!$E$15+1,1))-AVERAGE(OFFSET($H$3,0,0,'Données projet'!$E$15+1,1))</f>
        <v>312.48716825299158</v>
      </c>
      <c r="EP105" s="59">
        <f t="shared" si="100"/>
        <v>258.68277822755357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124.95256625176889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124.95256625176889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5.2583333333333373</v>
      </c>
      <c r="FE105" s="12">
        <f>IF('Données projet'!$A$218&gt;35,FE104+FD105-FM104,IF(A105&lt;'Données projet'!$A$218,$FB$205^A105,IF(A105='Données projet'!$A$218,'Données projet'!$B$218,FE104+FD105-FM104)))</f>
        <v>229.51089743589714</v>
      </c>
      <c r="FF105" s="17">
        <f>FE105*VLOOKUP('Données projet'!$B$16,Paramètres!$A$1:$I$89,3,0)*VLOOKUP('Données projet'!$B$16,Paramètres!$A$1:$I$89,5,0)</f>
        <v>247.04552999999967</v>
      </c>
      <c r="FG105" s="13">
        <f t="shared" si="101"/>
        <v>59.952848502120737</v>
      </c>
      <c r="FH105" s="20">
        <f t="shared" si="76"/>
        <v>534.68884255785974</v>
      </c>
      <c r="FI105" s="59">
        <f t="shared" si="77"/>
        <v>828.022175891193</v>
      </c>
      <c r="FJ105" s="59">
        <f ca="1">AVERAGE(OFFSET($FI$3,0,0,'Données projet'!$E$16+1,1))-AVERAGE(OFFSET($H$3,0,0,'Données projet'!$E$16+1,1))</f>
        <v>403.23110963096246</v>
      </c>
      <c r="FK105" s="59">
        <f t="shared" si="102"/>
        <v>245.72000393124898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24.300791662102995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24.300791662102995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5.2583333333333373</v>
      </c>
      <c r="FZ105" s="12">
        <f>IF('Données projet'!$A$244&gt;35,FZ104+FY105-GH104,IF(A105&lt;'Données projet'!$A$244,$FW$205^A105,IF(A105='Données projet'!$A$244,'Données projet'!$B$244,FZ104+FY105-GH104)))</f>
        <v>229.51089743589714</v>
      </c>
      <c r="GA105" s="17">
        <f>FZ105*VLOOKUP('Données projet'!$B$17,Paramètres!$A$1:$I$89,3,0)*VLOOKUP('Données projet'!$B$17,Paramètres!$A$1:$I$89,5,0)</f>
        <v>221.9829399999997</v>
      </c>
      <c r="GB105" s="13">
        <f t="shared" si="103"/>
        <v>54.545642603317233</v>
      </c>
      <c r="GC105" s="20">
        <f t="shared" si="79"/>
        <v>481.62061470077691</v>
      </c>
      <c r="GD105" s="59">
        <f t="shared" si="80"/>
        <v>774.95394803411023</v>
      </c>
      <c r="GE105" s="59">
        <f ca="1">AVERAGE(OFFSET($GD$3,0,0,'Données projet'!$E$17+1,1))-AVERAGE(OFFSET($H$3,0,0,'Données projet'!$E$17+1,1))</f>
        <v>336.2911850338175</v>
      </c>
      <c r="GF105" s="59">
        <f t="shared" si="104"/>
        <v>225.01415116995503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21.83549395725198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21.83549395725198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5.2583333333333373</v>
      </c>
      <c r="GU105" s="12">
        <f>IF('Données projet'!$A$270&gt;35,GU104+GT105-HC104,IF(A105&lt;'Données projet'!$A$270,$GR$205^A105,IF(A105='Données projet'!$A$270,'Données projet'!$B$270,GU104+GT105-HC104)))</f>
        <v>229.51089743589714</v>
      </c>
      <c r="GV105" s="17">
        <f>GU105*VLOOKUP('Données projet'!$B$18,Paramètres!$A$1:$I$89,3,0)*VLOOKUP('Données projet'!$B$18,Paramètres!$A$1:$I$89,5,0)</f>
        <v>153.95590999999979</v>
      </c>
      <c r="GW105" s="13">
        <f t="shared" si="105"/>
        <v>39.476213859067414</v>
      </c>
      <c r="GX105" s="20">
        <f t="shared" si="82"/>
        <v>336.89428238787536</v>
      </c>
      <c r="GY105" s="59">
        <f t="shared" si="83"/>
        <v>630.22761572120862</v>
      </c>
      <c r="GZ105" s="59">
        <f ca="1">AVERAGE(OFFSET($GY$3,0,0,'Données projet'!$E$18+1,1))-AVERAGE(OFFSET($H$3,0,0,'Données projet'!$E$18+1,1))</f>
        <v>266.37807768393191</v>
      </c>
      <c r="HA105" s="59">
        <f t="shared" si="106"/>
        <v>168.52019826233425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18.66582547958636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84"/>
        <v>18.66582547958636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266.99999999999983</v>
      </c>
      <c r="O106" s="13">
        <f>N106*VLOOKUP('Données projet'!$B$9,Paramètres!$A$1:$I$89,3,0)*VLOOKUP('Données projet'!$B$9,Paramètres!$A$1:$I$89,5,0)</f>
        <v>233.2511999999999</v>
      </c>
      <c r="P106" s="13">
        <f t="shared" si="87"/>
        <v>56.985091661350864</v>
      </c>
      <c r="Q106" s="20">
        <f t="shared" si="107"/>
        <v>505.49487464351915</v>
      </c>
      <c r="R106" s="59">
        <f t="shared" si="55"/>
        <v>798.82820797685247</v>
      </c>
      <c r="S106" s="59">
        <f ca="1">AVERAGE(OFFSET($R$3,0,0,'Données projet'!$E$9+1,1))-AVERAGE(OFFSET($H$3,0,0,'Données projet'!$E$9+1,1))</f>
        <v>324.86930206492627</v>
      </c>
      <c r="T106" s="59">
        <f t="shared" si="88"/>
        <v>317.03005098025352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20.047478088720023</v>
      </c>
      <c r="AA106" s="21">
        <f>EXP(-LN(2)/25)*AA105+(1-EXP(-LN(2)/25))/(LN(2)/25)*Calculateur!V106*Calculateur!X106*VLOOKUP('Données projet'!$B$9,Paramètres!$A$1:$I$89,3,0)*0.475*44/12</f>
        <v>4.8334692139979545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24.880947302717978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6.9935897435897401</v>
      </c>
      <c r="AI106" s="13">
        <f>IF('Données projet'!$A$62&gt;35,AI105+AH106-AQ105,IF(A106&lt;'Données projet'!$A$62,$AF$205^A106,IF(A106='Données projet'!$A$62,'Données projet'!$B$62,AI105+AH106-AQ105)))</f>
        <v>298.20512820512863</v>
      </c>
      <c r="AJ106" s="13">
        <f>AI106*VLOOKUP('Données projet'!$B$10,Paramètres!$A$1:$I$89,3,0)*VLOOKUP('Données projet'!$B$10,Paramètres!$A$1:$I$89,5,0)</f>
        <v>283.77200000000039</v>
      </c>
      <c r="AK106" s="13">
        <f t="shared" si="89"/>
        <v>67.763519043142281</v>
      </c>
      <c r="AL106" s="20">
        <f t="shared" si="58"/>
        <v>612.25769566680685</v>
      </c>
      <c r="AM106" s="59">
        <f t="shared" si="59"/>
        <v>905.59102900014022</v>
      </c>
      <c r="AN106" s="59">
        <f ca="1">AVERAGE(OFFSET($AM$3,0,0,'Données projet'!$E$10+1,1))-AVERAGE(OFFSET($H$3,0,0,'Données projet'!$E$10+1,1))</f>
        <v>401.81944956556271</v>
      </c>
      <c r="AO106" s="59">
        <f t="shared" si="90"/>
        <v>292.20785523952651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47.749951128209965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47.749951128209965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1.7053025658242404E-13</v>
      </c>
      <c r="BE106" s="13">
        <f>BD106*VLOOKUP('Données projet'!$B$11,Paramètres!$A$1:$I$89,3,0)*VLOOKUP('Données projet'!$B$11,Paramètres!$A$1:$I$89,5,0)</f>
        <v>1.3301360013429075E-13</v>
      </c>
      <c r="BF106" s="13">
        <f t="shared" si="91"/>
        <v>1.9329766731057041E-12</v>
      </c>
      <c r="BG106" s="20">
        <f t="shared" si="61"/>
        <v>3.5982663925596575E-12</v>
      </c>
      <c r="BH106" s="59">
        <f t="shared" si="62"/>
        <v>293.3333333333369</v>
      </c>
      <c r="BI106" s="59">
        <f ca="1">AVERAGE(OFFSET($BH$3,0,0,'Données projet'!$E$11+1,1))-AVERAGE(OFFSET($H$3,0,0,'Données projet'!$E$11+1,1))</f>
        <v>288.80569134263209</v>
      </c>
      <c r="BJ106" s="59">
        <f t="shared" si="92"/>
        <v>283.48738729114024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41.378224170970434</v>
      </c>
      <c r="BQ106" s="21">
        <f>EXP(-LN(2)/25)*BQ105+(1-EXP(-LN(2)/25))/(LN(2)/25)*Calculateur!BL106*Calculateur!BN106*VLOOKUP('Données projet'!$B$11,Paramètres!$A$1:$I$89,3,0)*0.475*44/12</f>
        <v>26.573228995132084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67.95145316610251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212.00000000000009</v>
      </c>
      <c r="BZ106" s="13">
        <f>BY106*VLOOKUP('Données projet'!$B$12,Paramètres!$A$1:$I$89,3,0)*VLOOKUP('Données projet'!$B$12,Paramètres!$A$1:$I$89,5,0)</f>
        <v>221.58240000000012</v>
      </c>
      <c r="CA106" s="13">
        <f t="shared" si="93"/>
        <v>54.458668952651578</v>
      </c>
      <c r="CB106" s="20">
        <f t="shared" si="64"/>
        <v>480.77152842586838</v>
      </c>
      <c r="CC106" s="59">
        <f t="shared" si="65"/>
        <v>774.10486175920164</v>
      </c>
      <c r="CD106" s="59">
        <f ca="1">AVERAGE(OFFSET($CC$3,0,0,'Données projet'!$E$12+1,1))-AVERAGE(OFFSET($H$3,0,0,'Données projet'!$E$12+1,1))</f>
        <v>352.22281362023102</v>
      </c>
      <c r="CE106" s="59">
        <f t="shared" si="94"/>
        <v>310.2353747925161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16.837449588284215</v>
      </c>
      <c r="CL106" s="21">
        <f>EXP(-LN(2)/25)*CL105+(1-EXP(-LN(2)/25))/(LN(2)/25)*Calculateur!CG106*Calculateur!CI106*VLOOKUP('Données projet'!$B$12,Paramètres!$A$1:$I$89,3,0)*0.475*44/12</f>
        <v>15.398967627787988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32.236417216072205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234.76923076923077</v>
      </c>
      <c r="CR106" s="12">
        <f>VLOOKUP(A106,'Données projet'!$A$139:$I$159,9,0)</f>
        <v>5.2583333333333373</v>
      </c>
      <c r="CS106" s="12">
        <f t="array" ref="CS106">INDEX(CR:CR,MIN(IF(ISNUMBER(CR106:CR302),ROW(CR106:CR302),"")))</f>
        <v>5.2583333333333373</v>
      </c>
      <c r="CT106" s="12">
        <f>IF('Données projet'!$A$140&gt;35,CT105+CS106-DB105,IF(A106&lt;'Données projet'!$A$140,$CQ$205^A106,IF(A106='Données projet'!$A$140,'Données projet'!$B$140,CT105+CS106-DB105)))</f>
        <v>234.76923076923046</v>
      </c>
      <c r="CU106" s="17">
        <f>CT106*VLOOKUP('Données projet'!$B$13,Paramètres!$A$1:$I$89,3,0)*VLOOKUP('Données projet'!$B$13,Paramètres!$A$1:$I$89,5,0)</f>
        <v>212.41919999999973</v>
      </c>
      <c r="CV106" s="13">
        <f t="shared" si="95"/>
        <v>52.463888829926184</v>
      </c>
      <c r="CW106" s="20">
        <f t="shared" si="67"/>
        <v>461.33804637878757</v>
      </c>
      <c r="CX106" s="59">
        <f t="shared" si="68"/>
        <v>754.67137971212082</v>
      </c>
      <c r="CY106" s="59">
        <f ca="1">AVERAGE(OFFSET($CX$3,0,0,'Données projet'!$E$13+1,1))-AVERAGE(OFFSET($H$3,0,0,'Données projet'!$E$13+1,1))</f>
        <v>345.49688858037996</v>
      </c>
      <c r="CZ106" s="59">
        <f t="shared" si="96"/>
        <v>213.15872113755023</v>
      </c>
      <c r="DA106" s="15">
        <f>IF(ISNA(VLOOKUP(A106,'Données projet'!$A$139:$I$159,3,0)),0,VLOOKUP(A106,'Données projet'!$A$139:$I$159,3,0))</f>
        <v>8</v>
      </c>
      <c r="DB106" s="15">
        <f>IF(ISNA(VLOOKUP(A106,'Données projet'!$A$139:$I$159,4,0)),0,VLOOKUP(A106,'Données projet'!$A$139:$I$159,4,0))</f>
        <v>39.512820512820511</v>
      </c>
      <c r="DC106" s="16">
        <f>IF(ISNA(VLOOKUP(A106,'Données projet'!$A$139:$I$159,5,0)),0%,VLOOKUP(A106,'Données projet'!$A$139:$I$159,5,0)*VLOOKUP('Données projet'!$B$13,Paramètres!$A$1:$I$89,7,0))</f>
        <v>0.30099999999999999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31.922285938379908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31.922285938379908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234.76923076923077</v>
      </c>
      <c r="DM106" s="12">
        <f>VLOOKUP(A106,'Données projet'!$A$165:$I$185,9,0)</f>
        <v>5.2583333333333373</v>
      </c>
      <c r="DN106" s="12">
        <f t="array" ref="DN106">INDEX(DM:DM,MIN(IF(ISNUMBER(DM106:DM302),ROW(DM106:DM302),"")))</f>
        <v>5.2583333333333373</v>
      </c>
      <c r="DO106" s="12">
        <f>IF('Données projet'!$A$166&gt;35,DO105+DN106-DW105,IF(A106&lt;'Données projet'!$A$166,$DL$205^A106,IF(A106='Données projet'!$A$166,'Données projet'!$B$166,DO105+DN106-DW105)))</f>
        <v>234.76923076923046</v>
      </c>
      <c r="DP106" s="17">
        <f>DO106*VLOOKUP('Données projet'!$B$14,Paramètres!$A$1:$I$89,3,0)*VLOOKUP('Données projet'!$B$14,Paramètres!$A$1:$I$89,5,0)</f>
        <v>238.0559999999997</v>
      </c>
      <c r="DQ106" s="13">
        <f t="shared" si="97"/>
        <v>58.021071638689058</v>
      </c>
      <c r="DR106" s="20">
        <f t="shared" si="70"/>
        <v>515.6675664373829</v>
      </c>
      <c r="DS106" s="59">
        <f t="shared" si="71"/>
        <v>809.00089977071616</v>
      </c>
      <c r="DT106" s="59">
        <f ca="1">AVERAGE(OFFSET($DS$3,0,0,'Données projet'!$E$14+1,1))-AVERAGE(OFFSET($H$3,0,0,'Données projet'!$E$14+1,1))</f>
        <v>382.26108489744581</v>
      </c>
      <c r="DU106" s="59">
        <f t="shared" si="98"/>
        <v>233.89423996158826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39.512820512820511</v>
      </c>
      <c r="DX106" s="16">
        <f>IF(ISNA(VLOOKUP(A106,'Données projet'!$A$165:$I$185,5,0)),0%,VLOOKUP(A106,'Données projet'!$A$165:$I$185,5,0)*VLOOKUP('Données projet'!$B$14,Paramètres!$A$1:$I$89,7,0))</f>
        <v>0.30099999999999999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35.774975620598163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35.774975620598163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>
        <f>VLOOKUP(A106,'Données projet'!$A$191:$I$211,2,0)</f>
        <v>122.57692307692307</v>
      </c>
      <c r="EH106" s="12">
        <f>VLOOKUP(A106,'Données projet'!$A$191:$I$211,9,0)</f>
        <v>3.2339743589743648</v>
      </c>
      <c r="EI106" s="12">
        <f t="array" ref="EI106">INDEX(EH:EH,MIN(IF(ISNUMBER(EH106:EH302),ROW(EH106:EH302),"")))</f>
        <v>3.2339743589743648</v>
      </c>
      <c r="EJ106" s="12">
        <f>IF('Données projet'!$A$192&gt;35,EJ105+EI106-ER105,IF(A106&lt;'Données projet'!$A$192,$EG$205^A106,IF(A106='Données projet'!$A$192,'Données projet'!$B$192,EJ105+EI106-ER105)))</f>
        <v>122.57692307692281</v>
      </c>
      <c r="EK106" s="17">
        <f>EJ106*VLOOKUP('Données projet'!$B$15,Paramètres!$A$1:$I$89,3,0)*VLOOKUP('Données projet'!$B$15,Paramètres!$A$1:$I$89,5,0)</f>
        <v>103.25879999999979</v>
      </c>
      <c r="EL106" s="13">
        <f t="shared" si="99"/>
        <v>27.736906796535244</v>
      </c>
      <c r="EM106" s="20">
        <f t="shared" si="73"/>
        <v>228.15085600396517</v>
      </c>
      <c r="EN106" s="59">
        <f t="shared" si="74"/>
        <v>521.48418933729852</v>
      </c>
      <c r="EO106" s="59">
        <f ca="1">AVERAGE(OFFSET($EN$3,0,0,'Données projet'!$E$15+1,1))-AVERAGE(OFFSET($H$3,0,0,'Données projet'!$E$15+1,1))</f>
        <v>312.48716825299158</v>
      </c>
      <c r="EP106" s="59">
        <f t="shared" si="100"/>
        <v>258.68277822755357</v>
      </c>
      <c r="EQ106" s="15">
        <f>IF(ISNA(VLOOKUP(A106,'Données projet'!$A$191:$I$211,3,0)),0,VLOOKUP(A106,'Données projet'!$A$191:$I$211,3,0))</f>
        <v>12</v>
      </c>
      <c r="ER106" s="15">
        <f>IF(ISNA(VLOOKUP(A106,'Données projet'!$A$191:$I$211,4,0)),0,VLOOKUP(A106,'Données projet'!$A$191:$I$211,4,0))</f>
        <v>39.92307692307692</v>
      </c>
      <c r="ES106" s="16">
        <f>IF(ISNA(VLOOKUP(A106,'Données projet'!$A$191:$I$211,5,0)),0%,VLOOKUP(A106,'Données projet'!$A$191:$I$211,5,0)*VLOOKUP('Données projet'!$B$15,Paramètres!$A$1:$I$89,7,0))</f>
        <v>0.38700000000000001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136.89032297180515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136.89032297180515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>
        <f>VLOOKUP(A106,'Données projet'!$A$217:$I$237,2,0)</f>
        <v>234.76923076923077</v>
      </c>
      <c r="FC106" s="12">
        <f>VLOOKUP(A106,'Données projet'!$A$217:$I$237,9,0)</f>
        <v>5.2583333333333373</v>
      </c>
      <c r="FD106" s="12">
        <f t="array" ref="FD106">INDEX(FC:FC,MIN(IF(ISNUMBER(FC106:FC302),ROW(FC106:FC302),"")))</f>
        <v>5.2583333333333373</v>
      </c>
      <c r="FE106" s="12">
        <f>IF('Données projet'!$A$218&gt;35,FE105+FD106-FM105,IF(A106&lt;'Données projet'!$A$218,$FB$205^A106,IF(A106='Données projet'!$A$218,'Données projet'!$B$218,FE105+FD106-FM105)))</f>
        <v>234.76923076923046</v>
      </c>
      <c r="FF106" s="17">
        <f>FE106*VLOOKUP('Données projet'!$B$16,Paramètres!$A$1:$I$89,3,0)*VLOOKUP('Données projet'!$B$16,Paramètres!$A$1:$I$89,5,0)</f>
        <v>252.70559999999969</v>
      </c>
      <c r="FG106" s="13">
        <f t="shared" si="101"/>
        <v>61.164940912574906</v>
      </c>
      <c r="FH106" s="20">
        <f t="shared" si="76"/>
        <v>546.65785875606741</v>
      </c>
      <c r="FI106" s="59">
        <f t="shared" si="77"/>
        <v>839.99119208940078</v>
      </c>
      <c r="FJ106" s="59">
        <f ca="1">AVERAGE(OFFSET($FI$3,0,0,'Données projet'!$E$16+1,1))-AVERAGE(OFFSET($H$3,0,0,'Données projet'!$E$16+1,1))</f>
        <v>403.23110963096246</v>
      </c>
      <c r="FK106" s="59">
        <f t="shared" si="102"/>
        <v>245.72000393124898</v>
      </c>
      <c r="FL106" s="15">
        <f>IF(ISNA(VLOOKUP(A106,'Données projet'!$A$217:$I$237,3,0)),0,VLOOKUP(A106,'Données projet'!$A$217:$I$237,3,0))</f>
        <v>8</v>
      </c>
      <c r="FM106" s="15">
        <f>IF(ISNA(VLOOKUP(A106,'Données projet'!$A$217:$I$237,4,0)),0,VLOOKUP(A106,'Données projet'!$A$217:$I$237,4,0))</f>
        <v>39.512820512820511</v>
      </c>
      <c r="FN106" s="16">
        <f>IF(ISNA(VLOOKUP(A106,'Données projet'!$A$217:$I$237,5,0)),0%,VLOOKUP(A106,'Données projet'!$A$217:$I$237,5,0)*VLOOKUP('Données projet'!$B$16,Paramètres!$A$1:$I$89,7,0))</f>
        <v>0.30099999999999999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37.976512581865748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37.976512581865748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>
        <f>VLOOKUP(A106,'Données projet'!$A$243:$I$263,2,0)</f>
        <v>234.76923076923077</v>
      </c>
      <c r="FX106" s="12">
        <f>VLOOKUP(A106,'Données projet'!$A$243:$I$263,9,0)</f>
        <v>5.2583333333333373</v>
      </c>
      <c r="FY106" s="12">
        <f t="array" ref="FY106">INDEX(FX:FX,MIN(IF(ISNUMBER(FX106:FX302),ROW(FX106:FX302),"")))</f>
        <v>5.2583333333333373</v>
      </c>
      <c r="FZ106" s="12">
        <f>IF('Données projet'!$A$244&gt;35,FZ105+FY106-GH105,IF(A106&lt;'Données projet'!$A$244,$FW$205^A106,IF(A106='Données projet'!$A$244,'Données projet'!$B$244,FZ105+FY106-GH105)))</f>
        <v>234.76923076923046</v>
      </c>
      <c r="GA106" s="17">
        <f>FZ106*VLOOKUP('Données projet'!$B$17,Paramètres!$A$1:$I$89,3,0)*VLOOKUP('Données projet'!$B$17,Paramètres!$A$1:$I$89,5,0)</f>
        <v>227.0687999999997</v>
      </c>
      <c r="GB106" s="13">
        <f t="shared" si="103"/>
        <v>55.648415216706702</v>
      </c>
      <c r="GC106" s="20">
        <f t="shared" si="79"/>
        <v>492.39914983576364</v>
      </c>
      <c r="GD106" s="59">
        <f t="shared" si="80"/>
        <v>785.73248316909689</v>
      </c>
      <c r="GE106" s="59">
        <f ca="1">AVERAGE(OFFSET($GD$3,0,0,'Données projet'!$E$17+1,1))-AVERAGE(OFFSET($H$3,0,0,'Données projet'!$E$17+1,1))</f>
        <v>336.2911850338175</v>
      </c>
      <c r="GF106" s="59">
        <f t="shared" si="104"/>
        <v>225.01415116995503</v>
      </c>
      <c r="GG106" s="15">
        <f>IF(ISNA(VLOOKUP(A106,'Données projet'!$A$243:$I$263,3,0)),0,VLOOKUP(A106,'Données projet'!$A$243:$I$263,3,0))</f>
        <v>8</v>
      </c>
      <c r="GH106" s="15">
        <f>IF(ISNA(VLOOKUP(A106,'Données projet'!$A$243:$I$263,4,0)),0,VLOOKUP(A106,'Données projet'!$A$243:$I$263,4,0))</f>
        <v>39.512820512820511</v>
      </c>
      <c r="GI106" s="16">
        <f>IF(ISNA(VLOOKUP(A106,'Données projet'!$A$243:$I$263,5,0)),0%,VLOOKUP(A106,'Données projet'!$A$243:$I$263,5,0)*VLOOKUP('Données projet'!$B$17,Paramètres!$A$1:$I$89,7,0))</f>
        <v>0.30099999999999999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34.123822899647493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34.123822899647493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>
        <f>VLOOKUP(A106,'Données projet'!$A$269:$I$289,2,0)</f>
        <v>234.76923076923077</v>
      </c>
      <c r="GS106" s="12">
        <f>VLOOKUP(A106,'Données projet'!$A$269:$I$289,9,0)</f>
        <v>5.2583333333333373</v>
      </c>
      <c r="GT106" s="12">
        <f t="array" ref="GT106">INDEX(GS:GS,MIN(IF(ISNUMBER(GS106:GS302),ROW(GS106:GS302),"")))</f>
        <v>5.2583333333333373</v>
      </c>
      <c r="GU106" s="12">
        <f>IF('Données projet'!$A$270&gt;35,GU105+GT106-HC105,IF(A106&lt;'Données projet'!$A$270,$GR$205^A106,IF(A106='Données projet'!$A$270,'Données projet'!$B$270,GU105+GT106-HC105)))</f>
        <v>234.76923076923046</v>
      </c>
      <c r="GV106" s="17">
        <f>GU106*VLOOKUP('Données projet'!$B$18,Paramètres!$A$1:$I$89,3,0)*VLOOKUP('Données projet'!$B$18,Paramètres!$A$1:$I$89,5,0)</f>
        <v>157.48319999999978</v>
      </c>
      <c r="GW106" s="13">
        <f t="shared" si="105"/>
        <v>40.274321378685052</v>
      </c>
      <c r="GX106" s="20">
        <f t="shared" si="82"/>
        <v>344.4276830678761</v>
      </c>
      <c r="GY106" s="59">
        <f t="shared" si="83"/>
        <v>637.76101640120942</v>
      </c>
      <c r="GZ106" s="59">
        <f ca="1">AVERAGE(OFFSET($GY$3,0,0,'Données projet'!$E$18+1,1))-AVERAGE(OFFSET($H$3,0,0,'Données projet'!$E$18+1,1))</f>
        <v>266.37807768393191</v>
      </c>
      <c r="HA106" s="59">
        <f t="shared" si="106"/>
        <v>168.52019826233425</v>
      </c>
      <c r="HB106" s="15">
        <f>IF(ISNA(VLOOKUP(A106,'Données projet'!$A$269:$I$289,3,0)),0,VLOOKUP(A106,'Données projet'!$A$269:$I$289,3,0))</f>
        <v>8</v>
      </c>
      <c r="HC106" s="15">
        <f>IF(ISNA(VLOOKUP(A106,'Données projet'!$A$269:$I$289,4,0)),0,VLOOKUP(A106,'Données projet'!$A$269:$I$289,4,0))</f>
        <v>39.512820512820511</v>
      </c>
      <c r="HD106" s="16">
        <f>IF(ISNA(VLOOKUP(A106,'Données projet'!$A$269:$I$289,5,0)),0%,VLOOKUP(A106,'Données projet'!$A$269:$I$289,5,0)*VLOOKUP('Données projet'!$B$18,Paramètres!$A$1:$I$89,7,0))</f>
        <v>0.371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29.170364736795435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84"/>
        <v>29.170364736795435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266.99999999999983</v>
      </c>
      <c r="O107" s="13">
        <f>N107*VLOOKUP('Données projet'!$B$9,Paramètres!$A$1:$I$89,3,0)*VLOOKUP('Données projet'!$B$9,Paramètres!$A$1:$I$89,5,0)</f>
        <v>233.2511999999999</v>
      </c>
      <c r="P107" s="13">
        <f t="shared" si="87"/>
        <v>56.985091661350864</v>
      </c>
      <c r="Q107" s="20">
        <f t="shared" si="107"/>
        <v>505.49487464351915</v>
      </c>
      <c r="R107" s="59">
        <f t="shared" si="55"/>
        <v>798.82820797685247</v>
      </c>
      <c r="S107" s="59">
        <f ca="1">AVERAGE(OFFSET($R$3,0,0,'Données projet'!$E$9+1,1))-AVERAGE(OFFSET($H$3,0,0,'Données projet'!$E$9+1,1))</f>
        <v>324.86930206492627</v>
      </c>
      <c r="T107" s="59">
        <f t="shared" si="88"/>
        <v>317.03005098025352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19.654359271154469</v>
      </c>
      <c r="AA107" s="21">
        <f>EXP(-LN(2)/25)*AA106+(1-EXP(-LN(2)/25))/(LN(2)/25)*Calculateur!V107*Calculateur!X107*VLOOKUP('Données projet'!$B$9,Paramètres!$A$1:$I$89,3,0)*0.475*44/12</f>
        <v>4.7012977441600814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24.355657015314549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6.9935897435897401</v>
      </c>
      <c r="AI107" s="13">
        <f>IF('Données projet'!$A$62&gt;35,AI106+AH107-AQ106,IF(A107&lt;'Données projet'!$A$62,$AF$205^A107,IF(A107='Données projet'!$A$62,'Données projet'!$B$62,AI106+AH107-AQ106)))</f>
        <v>305.19871794871835</v>
      </c>
      <c r="AJ107" s="13">
        <f>AI107*VLOOKUP('Données projet'!$B$10,Paramètres!$A$1:$I$89,3,0)*VLOOKUP('Données projet'!$B$10,Paramètres!$A$1:$I$89,5,0)</f>
        <v>290.42710000000039</v>
      </c>
      <c r="AK107" s="13">
        <f t="shared" si="89"/>
        <v>69.165843915238824</v>
      </c>
      <c r="AL107" s="20">
        <f t="shared" si="58"/>
        <v>626.29104398570837</v>
      </c>
      <c r="AM107" s="59">
        <f t="shared" si="59"/>
        <v>919.62437731904174</v>
      </c>
      <c r="AN107" s="59">
        <f ca="1">AVERAGE(OFFSET($AM$3,0,0,'Données projet'!$E$10+1,1))-AVERAGE(OFFSET($H$3,0,0,'Données projet'!$E$10+1,1))</f>
        <v>401.81944956556271</v>
      </c>
      <c r="AO107" s="59">
        <f t="shared" si="90"/>
        <v>292.20785523952651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46.813603711180143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46.813603711180143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1.7053025658242404E-13</v>
      </c>
      <c r="BE107" s="13">
        <f>BD107*VLOOKUP('Données projet'!$B$11,Paramètres!$A$1:$I$89,3,0)*VLOOKUP('Données projet'!$B$11,Paramètres!$A$1:$I$89,5,0)</f>
        <v>1.3301360013429075E-13</v>
      </c>
      <c r="BF107" s="13">
        <f t="shared" si="91"/>
        <v>1.9329766731057041E-12</v>
      </c>
      <c r="BG107" s="20">
        <f t="shared" si="61"/>
        <v>3.5982663925596575E-12</v>
      </c>
      <c r="BH107" s="59">
        <f t="shared" si="62"/>
        <v>293.3333333333369</v>
      </c>
      <c r="BI107" s="59">
        <f ca="1">AVERAGE(OFFSET($BH$3,0,0,'Données projet'!$E$11+1,1))-AVERAGE(OFFSET($H$3,0,0,'Données projet'!$E$11+1,1))</f>
        <v>288.80569134263209</v>
      </c>
      <c r="BJ107" s="59">
        <f t="shared" si="92"/>
        <v>283.48738729114024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40.566822433202383</v>
      </c>
      <c r="BQ107" s="21">
        <f>EXP(-LN(2)/25)*BQ106+(1-EXP(-LN(2)/25))/(LN(2)/25)*Calculateur!BL107*Calculateur!BN107*VLOOKUP('Données projet'!$B$11,Paramètres!$A$1:$I$89,3,0)*0.475*44/12</f>
        <v>25.846582650834819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66.413405084037208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212.00000000000009</v>
      </c>
      <c r="BZ107" s="13">
        <f>BY107*VLOOKUP('Données projet'!$B$12,Paramètres!$A$1:$I$89,3,0)*VLOOKUP('Données projet'!$B$12,Paramètres!$A$1:$I$89,5,0)</f>
        <v>221.58240000000012</v>
      </c>
      <c r="CA107" s="13">
        <f t="shared" si="93"/>
        <v>54.458668952651578</v>
      </c>
      <c r="CB107" s="20">
        <f t="shared" si="64"/>
        <v>480.77152842586838</v>
      </c>
      <c r="CC107" s="59">
        <f t="shared" si="65"/>
        <v>774.10486175920164</v>
      </c>
      <c r="CD107" s="59">
        <f ca="1">AVERAGE(OFFSET($CC$3,0,0,'Données projet'!$E$12+1,1))-AVERAGE(OFFSET($H$3,0,0,'Données projet'!$E$12+1,1))</f>
        <v>352.22281362023102</v>
      </c>
      <c r="CE107" s="59">
        <f t="shared" si="94"/>
        <v>310.2353747925161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16.507277471688148</v>
      </c>
      <c r="CL107" s="21">
        <f>EXP(-LN(2)/25)*CL106+(1-EXP(-LN(2)/25))/(LN(2)/25)*Calculateur!CG107*Calculateur!CI107*VLOOKUP('Données projet'!$B$12,Paramètres!$A$1:$I$89,3,0)*0.475*44/12</f>
        <v>14.977882048209612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31.48515951989776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5.0961538461538449</v>
      </c>
      <c r="CT107" s="12">
        <f>IF('Données projet'!$A$140&gt;35,CT106+CS107-DB106,IF(A107&lt;'Données projet'!$A$140,$CQ$205^A107,IF(A107='Données projet'!$A$140,'Données projet'!$B$140,CT106+CS107-DB106)))</f>
        <v>200.3525641025638</v>
      </c>
      <c r="CU107" s="17">
        <f>CT107*VLOOKUP('Données projet'!$B$13,Paramètres!$A$1:$I$89,3,0)*VLOOKUP('Données projet'!$B$13,Paramètres!$A$1:$I$89,5,0)</f>
        <v>181.27899999999974</v>
      </c>
      <c r="CV107" s="13">
        <f t="shared" si="95"/>
        <v>45.606622736998297</v>
      </c>
      <c r="CW107" s="20">
        <f t="shared" si="67"/>
        <v>395.15912626693824</v>
      </c>
      <c r="CX107" s="59">
        <f t="shared" si="68"/>
        <v>688.49245960027156</v>
      </c>
      <c r="CY107" s="59">
        <f ca="1">AVERAGE(OFFSET($CX$3,0,0,'Données projet'!$E$13+1,1))-AVERAGE(OFFSET($H$3,0,0,'Données projet'!$E$13+1,1))</f>
        <v>345.49688858037996</v>
      </c>
      <c r="CZ107" s="59">
        <f t="shared" si="96"/>
        <v>213.15872113755023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31.296309381800132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31.296309381800132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5.0961538461538449</v>
      </c>
      <c r="DO107" s="12">
        <f>IF('Données projet'!$A$166&gt;35,DO106+DN107-DW106,IF(A107&lt;'Données projet'!$A$166,$DL$205^A107,IF(A107='Données projet'!$A$166,'Données projet'!$B$166,DO106+DN107-DW106)))</f>
        <v>200.3525641025638</v>
      </c>
      <c r="DP107" s="17">
        <f>DO107*VLOOKUP('Données projet'!$B$14,Paramètres!$A$1:$I$89,3,0)*VLOOKUP('Données projet'!$B$14,Paramètres!$A$1:$I$89,5,0)</f>
        <v>203.15749999999971</v>
      </c>
      <c r="DQ107" s="13">
        <f t="shared" si="97"/>
        <v>50.437456773365234</v>
      </c>
      <c r="DR107" s="20">
        <f t="shared" si="70"/>
        <v>441.67788304694392</v>
      </c>
      <c r="DS107" s="59">
        <f t="shared" si="71"/>
        <v>735.01121638027723</v>
      </c>
      <c r="DT107" s="59">
        <f ca="1">AVERAGE(OFFSET($DS$3,0,0,'Données projet'!$E$14+1,1))-AVERAGE(OFFSET($H$3,0,0,'Données projet'!$E$14+1,1))</f>
        <v>382.26108489744581</v>
      </c>
      <c r="DU107" s="59">
        <f t="shared" si="98"/>
        <v>233.89423996158826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35.073450169258756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35.073450169258756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2.2585470085470072</v>
      </c>
      <c r="EJ107" s="12">
        <f>IF('Données projet'!$A$192&gt;35,EJ106+EI107-ER106,IF(A107&lt;'Données projet'!$A$192,$EG$205^A107,IF(A107='Données projet'!$A$192,'Données projet'!$B$192,EJ106+EI107-ER106)))</f>
        <v>84.912393162392902</v>
      </c>
      <c r="EK107" s="17">
        <f>EJ107*VLOOKUP('Données projet'!$B$15,Paramètres!$A$1:$I$89,3,0)*VLOOKUP('Données projet'!$B$15,Paramètres!$A$1:$I$89,5,0)</f>
        <v>71.530199999999795</v>
      </c>
      <c r="EL107" s="13">
        <f t="shared" si="99"/>
        <v>20.052980591330837</v>
      </c>
      <c r="EM107" s="20">
        <f t="shared" si="73"/>
        <v>159.50737286323417</v>
      </c>
      <c r="EN107" s="59">
        <f t="shared" si="74"/>
        <v>452.84070619656745</v>
      </c>
      <c r="EO107" s="59">
        <f ca="1">AVERAGE(OFFSET($EN$3,0,0,'Données projet'!$E$15+1,1))-AVERAGE(OFFSET($H$3,0,0,'Données projet'!$E$15+1,1))</f>
        <v>312.48716825299158</v>
      </c>
      <c r="EP107" s="59">
        <f t="shared" si="100"/>
        <v>258.68277822755357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134.20598723318062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134.20598723318062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5.0961538461538449</v>
      </c>
      <c r="FE107" s="12">
        <f>IF('Données projet'!$A$218&gt;35,FE106+FD107-FM106,IF(A107&lt;'Données projet'!$A$218,$FB$205^A107,IF(A107='Données projet'!$A$218,'Données projet'!$B$218,FE106+FD107-FM106)))</f>
        <v>200.3525641025638</v>
      </c>
      <c r="FF107" s="17">
        <f>FE107*VLOOKUP('Données projet'!$B$16,Paramètres!$A$1:$I$89,3,0)*VLOOKUP('Données projet'!$B$16,Paramètres!$A$1:$I$89,5,0)</f>
        <v>215.65949999999967</v>
      </c>
      <c r="FG107" s="13">
        <f t="shared" si="101"/>
        <v>53.17040820160107</v>
      </c>
      <c r="FH107" s="20">
        <f t="shared" si="76"/>
        <v>468.21209011778797</v>
      </c>
      <c r="FI107" s="59">
        <f t="shared" si="77"/>
        <v>761.54542345112122</v>
      </c>
      <c r="FJ107" s="59">
        <f ca="1">AVERAGE(OFFSET($FI$3,0,0,'Données projet'!$E$16+1,1))-AVERAGE(OFFSET($H$3,0,0,'Données projet'!$E$16+1,1))</f>
        <v>403.23110963096246</v>
      </c>
      <c r="FK107" s="59">
        <f t="shared" si="102"/>
        <v>245.72000393124898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37.23181633352084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37.23181633352084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5.0961538461538449</v>
      </c>
      <c r="FZ107" s="12">
        <f>IF('Données projet'!$A$244&gt;35,FZ106+FY107-GH106,IF(A107&lt;'Données projet'!$A$244,$FW$205^A107,IF(A107='Données projet'!$A$244,'Données projet'!$B$244,FZ106+FY107-GH106)))</f>
        <v>200.3525641025638</v>
      </c>
      <c r="GA107" s="17">
        <f>FZ107*VLOOKUP('Données projet'!$B$17,Paramètres!$A$1:$I$89,3,0)*VLOOKUP('Données projet'!$B$17,Paramètres!$A$1:$I$89,5,0)</f>
        <v>193.78099999999972</v>
      </c>
      <c r="GB107" s="13">
        <f t="shared" si="103"/>
        <v>48.374917210721456</v>
      </c>
      <c r="GC107" s="20">
        <f t="shared" si="79"/>
        <v>421.75488914200605</v>
      </c>
      <c r="GD107" s="59">
        <f t="shared" si="80"/>
        <v>715.08822247533931</v>
      </c>
      <c r="GE107" s="59">
        <f ca="1">AVERAGE(OFFSET($GD$3,0,0,'Données projet'!$E$17+1,1))-AVERAGE(OFFSET($H$3,0,0,'Données projet'!$E$17+1,1))</f>
        <v>336.2911850338175</v>
      </c>
      <c r="GF107" s="59">
        <f t="shared" si="104"/>
        <v>225.01415116995503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33.454675546062212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33.454675546062212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5.0961538461538449</v>
      </c>
      <c r="GU107" s="12">
        <f>IF('Données projet'!$A$270&gt;35,GU106+GT107-HC106,IF(A107&lt;'Données projet'!$A$270,$GR$205^A107,IF(A107='Données projet'!$A$270,'Données projet'!$B$270,GU106+GT107-HC106)))</f>
        <v>200.3525641025638</v>
      </c>
      <c r="GV107" s="17">
        <f>GU107*VLOOKUP('Données projet'!$B$18,Paramètres!$A$1:$I$89,3,0)*VLOOKUP('Données projet'!$B$18,Paramètres!$A$1:$I$89,5,0)</f>
        <v>134.3964999999998</v>
      </c>
      <c r="GW107" s="13">
        <f t="shared" si="105"/>
        <v>35.010286543200138</v>
      </c>
      <c r="GX107" s="20">
        <f t="shared" si="82"/>
        <v>295.05015322940653</v>
      </c>
      <c r="GY107" s="59">
        <f t="shared" si="83"/>
        <v>588.38348656273979</v>
      </c>
      <c r="GZ107" s="59">
        <f ca="1">AVERAGE(OFFSET($GY$3,0,0,'Données projet'!$E$18+1,1))-AVERAGE(OFFSET($H$3,0,0,'Données projet'!$E$18+1,1))</f>
        <v>266.37807768393191</v>
      </c>
      <c r="HA107" s="59">
        <f t="shared" si="106"/>
        <v>168.52019826233425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28.598351676472536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84"/>
        <v>28.598351676472536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266.99999999999983</v>
      </c>
      <c r="O108" s="13">
        <f>N108*VLOOKUP('Données projet'!$B$9,Paramètres!$A$1:$I$89,3,0)*VLOOKUP('Données projet'!$B$9,Paramètres!$A$1:$I$89,5,0)</f>
        <v>233.2511999999999</v>
      </c>
      <c r="P108" s="13">
        <f t="shared" si="87"/>
        <v>56.985091661350864</v>
      </c>
      <c r="Q108" s="20">
        <f t="shared" si="107"/>
        <v>505.49487464351915</v>
      </c>
      <c r="R108" s="59">
        <f t="shared" si="55"/>
        <v>798.82820797685247</v>
      </c>
      <c r="S108" s="59">
        <f ca="1">AVERAGE(OFFSET($R$3,0,0,'Données projet'!$E$9+1,1))-AVERAGE(OFFSET($H$3,0,0,'Données projet'!$E$9+1,1))</f>
        <v>324.86930206492627</v>
      </c>
      <c r="T108" s="59">
        <f t="shared" si="88"/>
        <v>317.03005098025352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19.268949273822571</v>
      </c>
      <c r="AA108" s="21">
        <f>EXP(-LN(2)/25)*AA107+(1-EXP(-LN(2)/25))/(LN(2)/25)*Calculateur!V108*Calculateur!X108*VLOOKUP('Données projet'!$B$9,Paramètres!$A$1:$I$89,3,0)*0.475*44/12</f>
        <v>4.572740510115521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23.841689783938094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6.9935897435897401</v>
      </c>
      <c r="AI108" s="13">
        <f>IF('Données projet'!$A$62&gt;35,AI107+AH108-AQ107,IF(A108&lt;'Données projet'!$A$62,$AF$205^A108,IF(A108='Données projet'!$A$62,'Données projet'!$B$62,AI107+AH108-AQ107)))</f>
        <v>312.19230769230808</v>
      </c>
      <c r="AJ108" s="13">
        <f>AI108*VLOOKUP('Données projet'!$B$10,Paramètres!$A$1:$I$89,3,0)*VLOOKUP('Données projet'!$B$10,Paramètres!$A$1:$I$89,5,0)</f>
        <v>297.08220000000034</v>
      </c>
      <c r="AK108" s="13">
        <f t="shared" si="89"/>
        <v>70.564433016983557</v>
      </c>
      <c r="AL108" s="20">
        <f t="shared" si="58"/>
        <v>640.31788583791365</v>
      </c>
      <c r="AM108" s="59">
        <f t="shared" si="59"/>
        <v>933.65121917124702</v>
      </c>
      <c r="AN108" s="59">
        <f ca="1">AVERAGE(OFFSET($AM$3,0,0,'Données projet'!$E$10+1,1))-AVERAGE(OFFSET($H$3,0,0,'Données projet'!$E$10+1,1))</f>
        <v>401.81944956556271</v>
      </c>
      <c r="AO108" s="59">
        <f t="shared" si="90"/>
        <v>292.20785523952651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45.895617495882739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45.895617495882739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1.7053025658242404E-13</v>
      </c>
      <c r="BE108" s="13">
        <f>BD108*VLOOKUP('Données projet'!$B$11,Paramètres!$A$1:$I$89,3,0)*VLOOKUP('Données projet'!$B$11,Paramètres!$A$1:$I$89,5,0)</f>
        <v>1.3301360013429075E-13</v>
      </c>
      <c r="BF108" s="13">
        <f t="shared" si="91"/>
        <v>1.9329766731057041E-12</v>
      </c>
      <c r="BG108" s="20">
        <f t="shared" si="61"/>
        <v>3.5982663925596575E-12</v>
      </c>
      <c r="BH108" s="59">
        <f t="shared" si="62"/>
        <v>293.3333333333369</v>
      </c>
      <c r="BI108" s="59">
        <f ca="1">AVERAGE(OFFSET($BH$3,0,0,'Données projet'!$E$11+1,1))-AVERAGE(OFFSET($H$3,0,0,'Données projet'!$E$11+1,1))</f>
        <v>288.80569134263209</v>
      </c>
      <c r="BJ108" s="59">
        <f t="shared" si="92"/>
        <v>283.48738729114024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39.771331788605771</v>
      </c>
      <c r="BQ108" s="21">
        <f>EXP(-LN(2)/25)*BQ107+(1-EXP(-LN(2)/25))/(LN(2)/25)*Calculateur!BL108*Calculateur!BN108*VLOOKUP('Données projet'!$B$11,Paramètres!$A$1:$I$89,3,0)*0.475*44/12</f>
        <v>25.139806489035031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64.911138277640802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212.00000000000009</v>
      </c>
      <c r="BZ108" s="13">
        <f>BY108*VLOOKUP('Données projet'!$B$12,Paramètres!$A$1:$I$89,3,0)*VLOOKUP('Données projet'!$B$12,Paramètres!$A$1:$I$89,5,0)</f>
        <v>221.58240000000012</v>
      </c>
      <c r="CA108" s="13">
        <f t="shared" si="93"/>
        <v>54.458668952651578</v>
      </c>
      <c r="CB108" s="20">
        <f t="shared" si="64"/>
        <v>480.77152842586838</v>
      </c>
      <c r="CC108" s="59">
        <f t="shared" si="65"/>
        <v>774.10486175920164</v>
      </c>
      <c r="CD108" s="59">
        <f ca="1">AVERAGE(OFFSET($CC$3,0,0,'Données projet'!$E$12+1,1))-AVERAGE(OFFSET($H$3,0,0,'Données projet'!$E$12+1,1))</f>
        <v>352.22281362023102</v>
      </c>
      <c r="CE108" s="59">
        <f t="shared" si="94"/>
        <v>310.2353747925161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16.183579828913427</v>
      </c>
      <c r="CL108" s="21">
        <f>EXP(-LN(2)/25)*CL107+(1-EXP(-LN(2)/25))/(LN(2)/25)*Calculateur!CG108*Calculateur!CI108*VLOOKUP('Données projet'!$B$12,Paramètres!$A$1:$I$89,3,0)*0.475*44/12</f>
        <v>14.568311075948735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30.751890904862162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5.0961538461538449</v>
      </c>
      <c r="CT108" s="12">
        <f>IF('Données projet'!$A$140&gt;35,CT107+CS108-DB107,IF(A108&lt;'Données projet'!$A$140,$CQ$205^A108,IF(A108='Données projet'!$A$140,'Données projet'!$B$140,CT107+CS108-DB107)))</f>
        <v>205.44871794871764</v>
      </c>
      <c r="CU108" s="17">
        <f>CT108*VLOOKUP('Données projet'!$B$13,Paramètres!$A$1:$I$89,3,0)*VLOOKUP('Données projet'!$B$13,Paramètres!$A$1:$I$89,5,0)</f>
        <v>185.8899999999997</v>
      </c>
      <c r="CV108" s="13">
        <f t="shared" si="95"/>
        <v>46.630136922287527</v>
      </c>
      <c r="CW108" s="20">
        <f t="shared" si="67"/>
        <v>404.97257180631692</v>
      </c>
      <c r="CX108" s="59">
        <f t="shared" si="68"/>
        <v>698.30590513965024</v>
      </c>
      <c r="CY108" s="59">
        <f ca="1">AVERAGE(OFFSET($CX$3,0,0,'Données projet'!$E$13+1,1))-AVERAGE(OFFSET($H$3,0,0,'Données projet'!$E$13+1,1))</f>
        <v>345.49688858037996</v>
      </c>
      <c r="CZ108" s="59">
        <f t="shared" si="96"/>
        <v>213.15872113755023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30.682607843686885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30.682607843686885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5.0961538461538449</v>
      </c>
      <c r="DO108" s="12">
        <f>IF('Données projet'!$A$166&gt;35,DO107+DN108-DW107,IF(A108&lt;'Données projet'!$A$166,$DL$205^A108,IF(A108='Données projet'!$A$166,'Données projet'!$B$166,DO107+DN108-DW107)))</f>
        <v>205.44871794871764</v>
      </c>
      <c r="DP108" s="17">
        <f>DO108*VLOOKUP('Données projet'!$B$14,Paramètres!$A$1:$I$89,3,0)*VLOOKUP('Données projet'!$B$14,Paramètres!$A$1:$I$89,5,0)</f>
        <v>208.32499999999973</v>
      </c>
      <c r="DQ108" s="13">
        <f t="shared" si="97"/>
        <v>51.569385633240543</v>
      </c>
      <c r="DR108" s="20">
        <f t="shared" si="70"/>
        <v>452.64938831122686</v>
      </c>
      <c r="DS108" s="59">
        <f t="shared" si="71"/>
        <v>745.98272164456012</v>
      </c>
      <c r="DT108" s="59">
        <f ca="1">AVERAGE(OFFSET($DS$3,0,0,'Données projet'!$E$14+1,1))-AVERAGE(OFFSET($H$3,0,0,'Données projet'!$E$14+1,1))</f>
        <v>382.26108489744581</v>
      </c>
      <c r="DU108" s="59">
        <f t="shared" si="98"/>
        <v>233.89423996158826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34.385681204131842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34.385681204131842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2.2585470085470072</v>
      </c>
      <c r="EJ108" s="12">
        <f>IF('Données projet'!$A$192&gt;35,EJ107+EI108-ER107,IF(A108&lt;'Données projet'!$A$192,$EG$205^A108,IF(A108='Données projet'!$A$192,'Données projet'!$B$192,EJ107+EI108-ER107)))</f>
        <v>87.170940170939915</v>
      </c>
      <c r="EK108" s="17">
        <f>EJ108*VLOOKUP('Données projet'!$B$15,Paramètres!$A$1:$I$89,3,0)*VLOOKUP('Données projet'!$B$15,Paramètres!$A$1:$I$89,5,0)</f>
        <v>73.432799999999787</v>
      </c>
      <c r="EL108" s="13">
        <f t="shared" si="99"/>
        <v>20.523552981148718</v>
      </c>
      <c r="EM108" s="20">
        <f t="shared" si="73"/>
        <v>163.64064810883366</v>
      </c>
      <c r="EN108" s="59">
        <f t="shared" si="74"/>
        <v>456.97398144216697</v>
      </c>
      <c r="EO108" s="59">
        <f ca="1">AVERAGE(OFFSET($EN$3,0,0,'Données projet'!$E$15+1,1))-AVERAGE(OFFSET($H$3,0,0,'Données projet'!$E$15+1,1))</f>
        <v>312.48716825299158</v>
      </c>
      <c r="EP108" s="59">
        <f t="shared" si="100"/>
        <v>258.68277822755357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131.57428968110739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131.57428968110739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5.0961538461538449</v>
      </c>
      <c r="FE108" s="12">
        <f>IF('Données projet'!$A$218&gt;35,FE107+FD108-FM107,IF(A108&lt;'Données projet'!$A$218,$FB$205^A108,IF(A108='Données projet'!$A$218,'Données projet'!$B$218,FE107+FD108-FM107)))</f>
        <v>205.44871794871764</v>
      </c>
      <c r="FF108" s="17">
        <f>FE108*VLOOKUP('Données projet'!$B$16,Paramètres!$A$1:$I$89,3,0)*VLOOKUP('Données projet'!$B$16,Paramètres!$A$1:$I$89,5,0)</f>
        <v>221.14499999999967</v>
      </c>
      <c r="FG108" s="13">
        <f t="shared" si="101"/>
        <v>54.363670578115759</v>
      </c>
      <c r="FH108" s="20">
        <f t="shared" si="76"/>
        <v>479.84426792355094</v>
      </c>
      <c r="FI108" s="59">
        <f t="shared" si="77"/>
        <v>773.17760125688426</v>
      </c>
      <c r="FJ108" s="59">
        <f ca="1">AVERAGE(OFFSET($FI$3,0,0,'Données projet'!$E$16+1,1))-AVERAGE(OFFSET($H$3,0,0,'Données projet'!$E$16+1,1))</f>
        <v>403.23110963096246</v>
      </c>
      <c r="FK108" s="59">
        <f t="shared" si="102"/>
        <v>245.72000393124898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36.501723124386118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36.501723124386118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5.0961538461538449</v>
      </c>
      <c r="FZ108" s="12">
        <f>IF('Données projet'!$A$244&gt;35,FZ107+FY108-GH107,IF(A108&lt;'Données projet'!$A$244,$FW$205^A108,IF(A108='Données projet'!$A$244,'Données projet'!$B$244,FZ107+FY108-GH107)))</f>
        <v>205.44871794871764</v>
      </c>
      <c r="GA108" s="17">
        <f>FZ108*VLOOKUP('Données projet'!$B$17,Paramètres!$A$1:$I$89,3,0)*VLOOKUP('Données projet'!$B$17,Paramètres!$A$1:$I$89,5,0)</f>
        <v>198.70999999999972</v>
      </c>
      <c r="GB108" s="13">
        <f t="shared" si="103"/>
        <v>49.460558089303781</v>
      </c>
      <c r="GC108" s="20">
        <f t="shared" si="79"/>
        <v>432.23038867220362</v>
      </c>
      <c r="GD108" s="59">
        <f t="shared" si="80"/>
        <v>725.56372200553687</v>
      </c>
      <c r="GE108" s="59">
        <f ca="1">AVERAGE(OFFSET($GD$3,0,0,'Données projet'!$E$17+1,1))-AVERAGE(OFFSET($H$3,0,0,'Données projet'!$E$17+1,1))</f>
        <v>336.2911850338175</v>
      </c>
      <c r="GF108" s="59">
        <f t="shared" si="104"/>
        <v>225.01415116995503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32.798649763941157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32.798649763941157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5.0961538461538449</v>
      </c>
      <c r="GU108" s="12">
        <f>IF('Données projet'!$A$270&gt;35,GU107+GT108-HC107,IF(A108&lt;'Données projet'!$A$270,$GR$205^A108,IF(A108='Données projet'!$A$270,'Données projet'!$B$270,GU107+GT108-HC107)))</f>
        <v>205.44871794871764</v>
      </c>
      <c r="GV108" s="17">
        <f>GU108*VLOOKUP('Données projet'!$B$18,Paramètres!$A$1:$I$89,3,0)*VLOOKUP('Données projet'!$B$18,Paramètres!$A$1:$I$89,5,0)</f>
        <v>137.8149999999998</v>
      </c>
      <c r="GW108" s="13">
        <f t="shared" si="105"/>
        <v>35.79599534506977</v>
      </c>
      <c r="GX108" s="20">
        <f t="shared" si="82"/>
        <v>302.37248355932945</v>
      </c>
      <c r="GY108" s="59">
        <f t="shared" si="83"/>
        <v>595.70581689266282</v>
      </c>
      <c r="GZ108" s="59">
        <f ca="1">AVERAGE(OFFSET($GY$3,0,0,'Données projet'!$E$18+1,1))-AVERAGE(OFFSET($H$3,0,0,'Données projet'!$E$18+1,1))</f>
        <v>266.37807768393191</v>
      </c>
      <c r="HA108" s="59">
        <f t="shared" si="106"/>
        <v>168.52019826233425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28.037555443369051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84"/>
        <v>28.037555443369051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266.99999999999983</v>
      </c>
      <c r="O109" s="13">
        <f>N109*VLOOKUP('Données projet'!$B$9,Paramètres!$A$1:$I$89,3,0)*VLOOKUP('Données projet'!$B$9,Paramètres!$A$1:$I$89,5,0)</f>
        <v>233.2511999999999</v>
      </c>
      <c r="P109" s="13">
        <f t="shared" si="87"/>
        <v>56.985091661350864</v>
      </c>
      <c r="Q109" s="20">
        <f t="shared" si="107"/>
        <v>505.49487464351915</v>
      </c>
      <c r="R109" s="59">
        <f t="shared" si="55"/>
        <v>798.82820797685247</v>
      </c>
      <c r="S109" s="59">
        <f ca="1">AVERAGE(OFFSET($R$3,0,0,'Données projet'!$E$9+1,1))-AVERAGE(OFFSET($H$3,0,0,'Données projet'!$E$9+1,1))</f>
        <v>324.86930206492627</v>
      </c>
      <c r="T109" s="59">
        <f t="shared" si="88"/>
        <v>317.03005098025352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18.891096931461465</v>
      </c>
      <c r="AA109" s="21">
        <f>EXP(-LN(2)/25)*AA108+(1-EXP(-LN(2)/25))/(LN(2)/25)*Calculateur!V109*Calculateur!X109*VLOOKUP('Données projet'!$B$9,Paramètres!$A$1:$I$89,3,0)*0.475*44/12</f>
        <v>4.4476986803964396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23.338795611857904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6.9935897435897401</v>
      </c>
      <c r="AI109" s="13">
        <f>IF('Données projet'!$A$62&gt;35,AI108+AH109-AQ108,IF(A109&lt;'Données projet'!$A$62,$AF$205^A109,IF(A109='Données projet'!$A$62,'Données projet'!$B$62,AI108+AH109-AQ108)))</f>
        <v>319.1858974358978</v>
      </c>
      <c r="AJ109" s="13">
        <f>AI109*VLOOKUP('Données projet'!$B$10,Paramètres!$A$1:$I$89,3,0)*VLOOKUP('Données projet'!$B$10,Paramètres!$A$1:$I$89,5,0)</f>
        <v>303.73730000000035</v>
      </c>
      <c r="AK109" s="13">
        <f t="shared" si="89"/>
        <v>71.959379670638114</v>
      </c>
      <c r="AL109" s="20">
        <f t="shared" si="58"/>
        <v>654.33838375969526</v>
      </c>
      <c r="AM109" s="59">
        <f t="shared" si="59"/>
        <v>947.67171709302852</v>
      </c>
      <c r="AN109" s="59">
        <f ca="1">AVERAGE(OFFSET($AM$3,0,0,'Données projet'!$E$10+1,1))-AVERAGE(OFFSET($H$3,0,0,'Données projet'!$E$10+1,1))</f>
        <v>401.81944956556271</v>
      </c>
      <c r="AO109" s="59">
        <f t="shared" si="90"/>
        <v>292.20785523952651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44.995632430351016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44.995632430351016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1.7053025658242404E-13</v>
      </c>
      <c r="BE109" s="13">
        <f>BD109*VLOOKUP('Données projet'!$B$11,Paramètres!$A$1:$I$89,3,0)*VLOOKUP('Données projet'!$B$11,Paramètres!$A$1:$I$89,5,0)</f>
        <v>1.3301360013429075E-13</v>
      </c>
      <c r="BF109" s="13">
        <f t="shared" si="91"/>
        <v>1.9329766731057041E-12</v>
      </c>
      <c r="BG109" s="20">
        <f t="shared" si="61"/>
        <v>3.5982663925596575E-12</v>
      </c>
      <c r="BH109" s="59">
        <f t="shared" si="62"/>
        <v>293.3333333333369</v>
      </c>
      <c r="BI109" s="59">
        <f ca="1">AVERAGE(OFFSET($BH$3,0,0,'Données projet'!$E$11+1,1))-AVERAGE(OFFSET($H$3,0,0,'Données projet'!$E$11+1,1))</f>
        <v>288.80569134263209</v>
      </c>
      <c r="BJ109" s="59">
        <f t="shared" si="92"/>
        <v>283.48738729114024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38.99144023034831</v>
      </c>
      <c r="BQ109" s="21">
        <f>EXP(-LN(2)/25)*BQ108+(1-EXP(-LN(2)/25))/(LN(2)/25)*Calculateur!BL109*Calculateur!BN109*VLOOKUP('Données projet'!$B$11,Paramètres!$A$1:$I$89,3,0)*0.475*44/12</f>
        <v>24.452357158547404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63.443797388895717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212.00000000000009</v>
      </c>
      <c r="BZ109" s="13">
        <f>BY109*VLOOKUP('Données projet'!$B$12,Paramètres!$A$1:$I$89,3,0)*VLOOKUP('Données projet'!$B$12,Paramètres!$A$1:$I$89,5,0)</f>
        <v>221.58240000000012</v>
      </c>
      <c r="CA109" s="13">
        <f t="shared" si="93"/>
        <v>54.458668952651578</v>
      </c>
      <c r="CB109" s="20">
        <f t="shared" si="64"/>
        <v>480.77152842586838</v>
      </c>
      <c r="CC109" s="59">
        <f t="shared" si="65"/>
        <v>774.10486175920164</v>
      </c>
      <c r="CD109" s="59">
        <f ca="1">AVERAGE(OFFSET($CC$3,0,0,'Données projet'!$E$12+1,1))-AVERAGE(OFFSET($H$3,0,0,'Données projet'!$E$12+1,1))</f>
        <v>352.22281362023102</v>
      </c>
      <c r="CE109" s="59">
        <f t="shared" si="94"/>
        <v>310.2353747925161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15.866229699477449</v>
      </c>
      <c r="CL109" s="21">
        <f>EXP(-LN(2)/25)*CL108+(1-EXP(-LN(2)/25))/(LN(2)/25)*Calculateur!CG109*Calculateur!CI109*VLOOKUP('Données projet'!$B$12,Paramètres!$A$1:$I$89,3,0)*0.475*44/12</f>
        <v>14.169939843462734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30.036169542940183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5.0961538461538449</v>
      </c>
      <c r="CT109" s="12">
        <f>IF('Données projet'!$A$140&gt;35,CT108+CS109-DB108,IF(A109&lt;'Données projet'!$A$140,$CQ$205^A109,IF(A109='Données projet'!$A$140,'Données projet'!$B$140,CT108+CS109-DB108)))</f>
        <v>210.54487179487148</v>
      </c>
      <c r="CU109" s="17">
        <f>CT109*VLOOKUP('Données projet'!$B$13,Paramètres!$A$1:$I$89,3,0)*VLOOKUP('Données projet'!$B$13,Paramètres!$A$1:$I$89,5,0)</f>
        <v>190.50099999999969</v>
      </c>
      <c r="CV109" s="13">
        <f t="shared" si="95"/>
        <v>47.65069985627148</v>
      </c>
      <c r="CW109" s="20">
        <f t="shared" si="67"/>
        <v>414.78087724967219</v>
      </c>
      <c r="CX109" s="59">
        <f t="shared" si="68"/>
        <v>708.1142105830055</v>
      </c>
      <c r="CY109" s="59">
        <f ca="1">AVERAGE(OFFSET($CX$3,0,0,'Données projet'!$E$13+1,1))-AVERAGE(OFFSET($H$3,0,0,'Données projet'!$E$13+1,1))</f>
        <v>345.49688858037996</v>
      </c>
      <c r="CZ109" s="59">
        <f t="shared" si="96"/>
        <v>213.15872113755023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30.080940618415063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30.080940618415063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5.0961538461538449</v>
      </c>
      <c r="DO109" s="12">
        <f>IF('Données projet'!$A$166&gt;35,DO108+DN109-DW108,IF(A109&lt;'Données projet'!$A$166,$DL$205^A109,IF(A109='Données projet'!$A$166,'Données projet'!$B$166,DO108+DN109-DW108)))</f>
        <v>210.54487179487148</v>
      </c>
      <c r="DP109" s="17">
        <f>DO109*VLOOKUP('Données projet'!$B$14,Paramètres!$A$1:$I$89,3,0)*VLOOKUP('Données projet'!$B$14,Paramètres!$A$1:$I$89,5,0)</f>
        <v>213.49249999999969</v>
      </c>
      <c r="DQ109" s="13">
        <f t="shared" si="97"/>
        <v>52.698050633588259</v>
      </c>
      <c r="DR109" s="20">
        <f t="shared" si="70"/>
        <v>463.61520902016565</v>
      </c>
      <c r="DS109" s="59">
        <f t="shared" si="71"/>
        <v>756.94854235349896</v>
      </c>
      <c r="DT109" s="59">
        <f ca="1">AVERAGE(OFFSET($DS$3,0,0,'Données projet'!$E$14+1,1))-AVERAGE(OFFSET($H$3,0,0,'Données projet'!$E$14+1,1))</f>
        <v>382.26108489744581</v>
      </c>
      <c r="DU109" s="59">
        <f t="shared" si="98"/>
        <v>233.89423996158826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33.711398968913421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33.711398968913421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>
        <f>VLOOKUP(A109,'Données projet'!$A$191:$I$211,2,0)</f>
        <v>89.429487179487168</v>
      </c>
      <c r="EH109" s="12">
        <f>VLOOKUP(A109,'Données projet'!$A$191:$I$211,9,0)</f>
        <v>2.2585470085470072</v>
      </c>
      <c r="EI109" s="12">
        <f t="array" ref="EI109">INDEX(EH:EH,MIN(IF(ISNUMBER(EH109:EH305),ROW(EH109:EH305),"")))</f>
        <v>2.2585470085470072</v>
      </c>
      <c r="EJ109" s="12">
        <f>IF('Données projet'!$A$192&gt;35,EJ108+EI109-ER108,IF(A109&lt;'Données projet'!$A$192,$EG$205^A109,IF(A109='Données projet'!$A$192,'Données projet'!$B$192,EJ108+EI109-ER108)))</f>
        <v>89.429487179486927</v>
      </c>
      <c r="EK109" s="17">
        <f>EJ109*VLOOKUP('Données projet'!$B$15,Paramètres!$A$1:$I$89,3,0)*VLOOKUP('Données projet'!$B$15,Paramètres!$A$1:$I$89,5,0)</f>
        <v>75.335399999999794</v>
      </c>
      <c r="EL109" s="13">
        <f t="shared" si="99"/>
        <v>20.992708163412662</v>
      </c>
      <c r="EM109" s="20">
        <f t="shared" si="73"/>
        <v>167.77145505127669</v>
      </c>
      <c r="EN109" s="59">
        <f t="shared" si="74"/>
        <v>461.10478838461</v>
      </c>
      <c r="EO109" s="59">
        <f ca="1">AVERAGE(OFFSET($EN$3,0,0,'Données projet'!$E$15+1,1))-AVERAGE(OFFSET($H$3,0,0,'Données projet'!$E$15+1,1))</f>
        <v>312.48716825299158</v>
      </c>
      <c r="EP109" s="59">
        <f t="shared" si="100"/>
        <v>258.68277822755357</v>
      </c>
      <c r="EQ109" s="15">
        <f>IF(ISNA(VLOOKUP(A109,'Données projet'!$A$191:$I$211,3,0)),0,VLOOKUP(A109,'Données projet'!$A$191:$I$211,3,0))</f>
        <v>13</v>
      </c>
      <c r="ER109" s="15">
        <f>IF(ISNA(VLOOKUP(A109,'Données projet'!$A$191:$I$211,4,0)),0,VLOOKUP(A109,'Données projet'!$A$191:$I$211,4,0))</f>
        <v>89.429487179487168</v>
      </c>
      <c r="ES109" s="16">
        <f>IF(ISNA(VLOOKUP(A109,'Données projet'!$A$191:$I$211,5,0)),0%,VLOOKUP(A109,'Données projet'!$A$191:$I$211,5,0)*VLOOKUP('Données projet'!$B$15,Paramètres!$A$1:$I$89,7,0))</f>
        <v>0.38700000000000001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161.2239657129665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161.2239657129665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5.0961538461538449</v>
      </c>
      <c r="FE109" s="12">
        <f>IF('Données projet'!$A$218&gt;35,FE108+FD109-FM108,IF(A109&lt;'Données projet'!$A$218,$FB$205^A109,IF(A109='Données projet'!$A$218,'Données projet'!$B$218,FE108+FD109-FM108)))</f>
        <v>210.54487179487148</v>
      </c>
      <c r="FF109" s="17">
        <f>FE109*VLOOKUP('Données projet'!$B$16,Paramètres!$A$1:$I$89,3,0)*VLOOKUP('Données projet'!$B$16,Paramètres!$A$1:$I$89,5,0)</f>
        <v>226.63049999999964</v>
      </c>
      <c r="FG109" s="13">
        <f t="shared" si="101"/>
        <v>55.553492243014645</v>
      </c>
      <c r="FH109" s="20">
        <f t="shared" si="76"/>
        <v>491.47045315658323</v>
      </c>
      <c r="FI109" s="59">
        <f t="shared" si="77"/>
        <v>784.80378648991655</v>
      </c>
      <c r="FJ109" s="59">
        <f ca="1">AVERAGE(OFFSET($FI$3,0,0,'Données projet'!$E$16+1,1))-AVERAGE(OFFSET($H$3,0,0,'Données projet'!$E$16+1,1))</f>
        <v>403.23110963096246</v>
      </c>
      <c r="FK109" s="59">
        <f t="shared" si="102"/>
        <v>245.72000393124898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35.785946597769637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35.785946597769637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5.0961538461538449</v>
      </c>
      <c r="FZ109" s="12">
        <f>IF('Données projet'!$A$244&gt;35,FZ108+FY109-GH108,IF(A109&lt;'Données projet'!$A$244,$FW$205^A109,IF(A109='Données projet'!$A$244,'Données projet'!$B$244,FZ108+FY109-GH108)))</f>
        <v>210.54487179487148</v>
      </c>
      <c r="GA109" s="17">
        <f>FZ109*VLOOKUP('Données projet'!$B$17,Paramètres!$A$1:$I$89,3,0)*VLOOKUP('Données projet'!$B$17,Paramètres!$A$1:$I$89,5,0)</f>
        <v>203.63899999999973</v>
      </c>
      <c r="GB109" s="13">
        <f t="shared" si="103"/>
        <v>50.543068577407823</v>
      </c>
      <c r="GC109" s="20">
        <f t="shared" si="79"/>
        <v>442.70043610565153</v>
      </c>
      <c r="GD109" s="59">
        <f t="shared" si="80"/>
        <v>736.03376943898479</v>
      </c>
      <c r="GE109" s="59">
        <f ca="1">AVERAGE(OFFSET($GD$3,0,0,'Données projet'!$E$17+1,1))-AVERAGE(OFFSET($H$3,0,0,'Données projet'!$E$17+1,1))</f>
        <v>336.2911850338175</v>
      </c>
      <c r="GF109" s="59">
        <f t="shared" si="104"/>
        <v>225.01415116995503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32.155488247271279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32.155488247271279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5.0961538461538449</v>
      </c>
      <c r="GU109" s="12">
        <f>IF('Données projet'!$A$270&gt;35,GU108+GT109-HC108,IF(A109&lt;'Données projet'!$A$270,$GR$205^A109,IF(A109='Données projet'!$A$270,'Données projet'!$B$270,GU108+GT109-HC108)))</f>
        <v>210.54487179487148</v>
      </c>
      <c r="GV109" s="17">
        <f>GU109*VLOOKUP('Données projet'!$B$18,Paramètres!$A$1:$I$89,3,0)*VLOOKUP('Données projet'!$B$18,Paramètres!$A$1:$I$89,5,0)</f>
        <v>141.23349999999979</v>
      </c>
      <c r="GW109" s="13">
        <f t="shared" si="105"/>
        <v>36.579438595410721</v>
      </c>
      <c r="GX109" s="20">
        <f t="shared" si="82"/>
        <v>309.69086805367334</v>
      </c>
      <c r="GY109" s="59">
        <f t="shared" si="83"/>
        <v>603.02420138700666</v>
      </c>
      <c r="GZ109" s="59">
        <f ca="1">AVERAGE(OFFSET($GY$3,0,0,'Données projet'!$E$18+1,1))-AVERAGE(OFFSET($H$3,0,0,'Données projet'!$E$18+1,1))</f>
        <v>266.37807768393191</v>
      </c>
      <c r="HA109" s="59">
        <f t="shared" si="106"/>
        <v>168.52019826233425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27.487756082344799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84"/>
        <v>27.487756082344799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266.99999999999983</v>
      </c>
      <c r="O110" s="13">
        <f>N110*VLOOKUP('Données projet'!$B$9,Paramètres!$A$1:$I$89,3,0)*VLOOKUP('Données projet'!$B$9,Paramètres!$A$1:$I$89,5,0)</f>
        <v>233.2511999999999</v>
      </c>
      <c r="P110" s="13">
        <f t="shared" si="87"/>
        <v>56.985091661350864</v>
      </c>
      <c r="Q110" s="20">
        <f t="shared" si="107"/>
        <v>505.49487464351915</v>
      </c>
      <c r="R110" s="59">
        <f t="shared" si="55"/>
        <v>798.82820797685247</v>
      </c>
      <c r="S110" s="59">
        <f ca="1">AVERAGE(OFFSET($R$3,0,0,'Données projet'!$E$9+1,1))-AVERAGE(OFFSET($H$3,0,0,'Données projet'!$E$9+1,1))</f>
        <v>324.86930206492627</v>
      </c>
      <c r="T110" s="59">
        <f t="shared" si="88"/>
        <v>317.03005098025352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18.520654043066887</v>
      </c>
      <c r="AA110" s="21">
        <f>EXP(-LN(2)/25)*AA109+(1-EXP(-LN(2)/25))/(LN(2)/25)*Calculateur!V110*Calculateur!X110*VLOOKUP('Données projet'!$B$9,Paramètres!$A$1:$I$89,3,0)*0.475*44/12</f>
        <v>4.3260761260866909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22.846730169153577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6.9935897435897401</v>
      </c>
      <c r="AI110" s="13">
        <f>IF('Données projet'!$A$62&gt;35,AI109+AH110-AQ109,IF(A110&lt;'Données projet'!$A$62,$AF$205^A110,IF(A110='Données projet'!$A$62,'Données projet'!$B$62,AI109+AH110-AQ109)))</f>
        <v>326.17948717948752</v>
      </c>
      <c r="AJ110" s="13">
        <f>AI110*VLOOKUP('Données projet'!$B$10,Paramètres!$A$1:$I$89,3,0)*VLOOKUP('Données projet'!$B$10,Paramètres!$A$1:$I$89,5,0)</f>
        <v>310.39240000000029</v>
      </c>
      <c r="AK110" s="13">
        <f t="shared" si="89"/>
        <v>73.350772875414592</v>
      </c>
      <c r="AL110" s="20">
        <f t="shared" si="58"/>
        <v>668.3526927580142</v>
      </c>
      <c r="AM110" s="59">
        <f t="shared" si="59"/>
        <v>961.68602609134746</v>
      </c>
      <c r="AN110" s="59">
        <f ca="1">AVERAGE(OFFSET($AM$3,0,0,'Données projet'!$E$10+1,1))-AVERAGE(OFFSET($H$3,0,0,'Données projet'!$E$10+1,1))</f>
        <v>401.81944956556271</v>
      </c>
      <c r="AO110" s="59">
        <f t="shared" si="90"/>
        <v>292.20785523952651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44.113295523017683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44.113295523017683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1.7053025658242404E-13</v>
      </c>
      <c r="BE110" s="13">
        <f>BD110*VLOOKUP('Données projet'!$B$11,Paramètres!$A$1:$I$89,3,0)*VLOOKUP('Données projet'!$B$11,Paramètres!$A$1:$I$89,5,0)</f>
        <v>1.3301360013429075E-13</v>
      </c>
      <c r="BF110" s="13">
        <f t="shared" si="91"/>
        <v>1.9329766731057041E-12</v>
      </c>
      <c r="BG110" s="20">
        <f t="shared" si="61"/>
        <v>3.5982663925596575E-12</v>
      </c>
      <c r="BH110" s="59">
        <f t="shared" si="62"/>
        <v>293.3333333333369</v>
      </c>
      <c r="BI110" s="59">
        <f ca="1">AVERAGE(OFFSET($BH$3,0,0,'Données projet'!$E$11+1,1))-AVERAGE(OFFSET($H$3,0,0,'Données projet'!$E$11+1,1))</f>
        <v>288.80569134263209</v>
      </c>
      <c r="BJ110" s="59">
        <f t="shared" si="92"/>
        <v>283.48738729114024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38.226841869861403</v>
      </c>
      <c r="BQ110" s="21">
        <f>EXP(-LN(2)/25)*BQ109+(1-EXP(-LN(2)/25))/(LN(2)/25)*Calculateur!BL110*Calculateur!BN110*VLOOKUP('Données projet'!$B$11,Paramètres!$A$1:$I$89,3,0)*0.475*44/12</f>
        <v>23.783706166153348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62.010548036014754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212.00000000000009</v>
      </c>
      <c r="BZ110" s="13">
        <f>BY110*VLOOKUP('Données projet'!$B$12,Paramètres!$A$1:$I$89,3,0)*VLOOKUP('Données projet'!$B$12,Paramètres!$A$1:$I$89,5,0)</f>
        <v>221.58240000000012</v>
      </c>
      <c r="CA110" s="13">
        <f t="shared" si="93"/>
        <v>54.458668952651578</v>
      </c>
      <c r="CB110" s="20">
        <f t="shared" si="64"/>
        <v>480.77152842586838</v>
      </c>
      <c r="CC110" s="59">
        <f t="shared" si="65"/>
        <v>774.10486175920164</v>
      </c>
      <c r="CD110" s="59">
        <f ca="1">AVERAGE(OFFSET($CC$3,0,0,'Données projet'!$E$12+1,1))-AVERAGE(OFFSET($H$3,0,0,'Données projet'!$E$12+1,1))</f>
        <v>352.22281362023102</v>
      </c>
      <c r="CE110" s="59">
        <f t="shared" si="94"/>
        <v>310.2353747925161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15.555102612515245</v>
      </c>
      <c r="CL110" s="21">
        <f>EXP(-LN(2)/25)*CL109+(1-EXP(-LN(2)/25))/(LN(2)/25)*Calculateur!CG110*Calculateur!CI110*VLOOKUP('Données projet'!$B$12,Paramètres!$A$1:$I$89,3,0)*0.475*44/12</f>
        <v>13.782462093278495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29.337564705793739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5.0961538461538449</v>
      </c>
      <c r="CT110" s="12">
        <f>IF('Données projet'!$A$140&gt;35,CT109+CS110-DB109,IF(A110&lt;'Données projet'!$A$140,$CQ$205^A110,IF(A110='Données projet'!$A$140,'Données projet'!$B$140,CT109+CS110-DB109)))</f>
        <v>215.64102564102532</v>
      </c>
      <c r="CU110" s="17">
        <f>CT110*VLOOKUP('Données projet'!$B$13,Paramètres!$A$1:$I$89,3,0)*VLOOKUP('Données projet'!$B$13,Paramètres!$A$1:$I$89,5,0)</f>
        <v>195.11199999999971</v>
      </c>
      <c r="CV110" s="13">
        <f t="shared" si="95"/>
        <v>48.668391191190658</v>
      </c>
      <c r="CW110" s="20">
        <f t="shared" si="67"/>
        <v>424.58418132465653</v>
      </c>
      <c r="CX110" s="59">
        <f t="shared" si="68"/>
        <v>717.91751465798984</v>
      </c>
      <c r="CY110" s="59">
        <f ca="1">AVERAGE(OFFSET($CX$3,0,0,'Données projet'!$E$13+1,1))-AVERAGE(OFFSET($H$3,0,0,'Données projet'!$E$13+1,1))</f>
        <v>345.49688858037996</v>
      </c>
      <c r="CZ110" s="59">
        <f t="shared" si="96"/>
        <v>213.15872113755023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29.491071720450051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29.491071720450051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5.0961538461538449</v>
      </c>
      <c r="DO110" s="12">
        <f>IF('Données projet'!$A$166&gt;35,DO109+DN110-DW109,IF(A110&lt;'Données projet'!$A$166,$DL$205^A110,IF(A110='Données projet'!$A$166,'Données projet'!$B$166,DO109+DN110-DW109)))</f>
        <v>215.64102564102532</v>
      </c>
      <c r="DP110" s="17">
        <f>DO110*VLOOKUP('Données projet'!$B$14,Paramètres!$A$1:$I$89,3,0)*VLOOKUP('Données projet'!$B$14,Paramètres!$A$1:$I$89,5,0)</f>
        <v>218.65999999999968</v>
      </c>
      <c r="DQ110" s="13">
        <f t="shared" si="97"/>
        <v>53.823539863729678</v>
      </c>
      <c r="DR110" s="20">
        <f t="shared" si="70"/>
        <v>474.57549859599521</v>
      </c>
      <c r="DS110" s="59">
        <f t="shared" si="71"/>
        <v>767.90883192932847</v>
      </c>
      <c r="DT110" s="59">
        <f ca="1">AVERAGE(OFFSET($DS$3,0,0,'Données projet'!$E$14+1,1))-AVERAGE(OFFSET($H$3,0,0,'Données projet'!$E$14+1,1))</f>
        <v>382.26108489744581</v>
      </c>
      <c r="DU110" s="59">
        <f t="shared" si="98"/>
        <v>233.89423996158826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33.05033899705608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33.05033899705608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-2.4158453015843406E-13</v>
      </c>
      <c r="EK110" s="17">
        <f>EJ110*VLOOKUP('Données projet'!$B$15,Paramètres!$A$1:$I$89,3,0)*VLOOKUP('Données projet'!$B$15,Paramètres!$A$1:$I$89,5,0)</f>
        <v>-2.0351080820546486E-13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312.48716825299158</v>
      </c>
      <c r="EP110" s="59">
        <f t="shared" si="100"/>
        <v>258.68277822755357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158.06246208224437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158.06246208224437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5.0961538461538449</v>
      </c>
      <c r="FE110" s="12">
        <f>IF('Données projet'!$A$218&gt;35,FE109+FD110-FM109,IF(A110&lt;'Données projet'!$A$218,$FB$205^A110,IF(A110='Données projet'!$A$218,'Données projet'!$B$218,FE109+FD110-FM109)))</f>
        <v>215.64102564102532</v>
      </c>
      <c r="FF110" s="17">
        <f>FE110*VLOOKUP('Données projet'!$B$16,Paramètres!$A$1:$I$89,3,0)*VLOOKUP('Données projet'!$B$16,Paramètres!$A$1:$I$89,5,0)</f>
        <v>232.11599999999967</v>
      </c>
      <c r="FG110" s="13">
        <f t="shared" si="101"/>
        <v>56.739966058734943</v>
      </c>
      <c r="FH110" s="20">
        <f t="shared" si="76"/>
        <v>503.0908075522961</v>
      </c>
      <c r="FI110" s="59">
        <f t="shared" si="77"/>
        <v>796.42414088562941</v>
      </c>
      <c r="FJ110" s="59">
        <f ca="1">AVERAGE(OFFSET($FI$3,0,0,'Données projet'!$E$16+1,1))-AVERAGE(OFFSET($H$3,0,0,'Données projet'!$E$16+1,1))</f>
        <v>403.23110963096246</v>
      </c>
      <c r="FK110" s="59">
        <f t="shared" si="102"/>
        <v>245.72000393124898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35.084206012259536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35.084206012259536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5.0961538461538449</v>
      </c>
      <c r="FZ110" s="12">
        <f>IF('Données projet'!$A$244&gt;35,FZ109+FY110-GH109,IF(A110&lt;'Données projet'!$A$244,$FW$205^A110,IF(A110='Données projet'!$A$244,'Données projet'!$B$244,FZ109+FY110-GH109)))</f>
        <v>215.64102564102532</v>
      </c>
      <c r="GA110" s="17">
        <f>FZ110*VLOOKUP('Données projet'!$B$17,Paramètres!$A$1:$I$89,3,0)*VLOOKUP('Données projet'!$B$17,Paramètres!$A$1:$I$89,5,0)</f>
        <v>208.5679999999997</v>
      </c>
      <c r="GB110" s="13">
        <f t="shared" si="103"/>
        <v>51.622533162117087</v>
      </c>
      <c r="GC110" s="20">
        <f t="shared" si="79"/>
        <v>453.16517859068671</v>
      </c>
      <c r="GD110" s="59">
        <f t="shared" si="80"/>
        <v>746.49851192402002</v>
      </c>
      <c r="GE110" s="59">
        <f ca="1">AVERAGE(OFFSET($GD$3,0,0,'Données projet'!$E$17+1,1))-AVERAGE(OFFSET($H$3,0,0,'Données projet'!$E$17+1,1))</f>
        <v>336.2911850338175</v>
      </c>
      <c r="GF110" s="59">
        <f t="shared" si="104"/>
        <v>225.01415116995503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31.524938735653507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31.524938735653507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5.0961538461538449</v>
      </c>
      <c r="GU110" s="12">
        <f>IF('Données projet'!$A$270&gt;35,GU109+GT110-HC109,IF(A110&lt;'Données projet'!$A$270,$GR$205^A110,IF(A110='Données projet'!$A$270,'Données projet'!$B$270,GU109+GT110-HC109)))</f>
        <v>215.64102564102532</v>
      </c>
      <c r="GV110" s="17">
        <f>GU110*VLOOKUP('Données projet'!$B$18,Paramètres!$A$1:$I$89,3,0)*VLOOKUP('Données projet'!$B$18,Paramètres!$A$1:$I$89,5,0)</f>
        <v>144.65199999999979</v>
      </c>
      <c r="GW110" s="13">
        <f t="shared" si="105"/>
        <v>37.360677439898708</v>
      </c>
      <c r="GX110" s="20">
        <f t="shared" si="82"/>
        <v>317.00541320782315</v>
      </c>
      <c r="GY110" s="59">
        <f t="shared" si="83"/>
        <v>610.33874654115652</v>
      </c>
      <c r="GZ110" s="59">
        <f ca="1">AVERAGE(OFFSET($GY$3,0,0,'Données projet'!$E$18+1,1))-AVERAGE(OFFSET($H$3,0,0,'Données projet'!$E$18+1,1))</f>
        <v>266.37807768393191</v>
      </c>
      <c r="HA110" s="59">
        <f t="shared" si="106"/>
        <v>168.52019826233425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26.948737951445736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84"/>
        <v>26.948737951445736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266.99999999999983</v>
      </c>
      <c r="O111" s="13">
        <f>N111*VLOOKUP('Données projet'!$B$9,Paramètres!$A$1:$I$89,3,0)*VLOOKUP('Données projet'!$B$9,Paramètres!$A$1:$I$89,5,0)</f>
        <v>233.2511999999999</v>
      </c>
      <c r="P111" s="13">
        <f t="shared" si="87"/>
        <v>56.985091661350864</v>
      </c>
      <c r="Q111" s="20">
        <f t="shared" si="107"/>
        <v>505.49487464351915</v>
      </c>
      <c r="R111" s="59">
        <f t="shared" si="55"/>
        <v>798.82820797685247</v>
      </c>
      <c r="S111" s="59">
        <f ca="1">AVERAGE(OFFSET($R$3,0,0,'Données projet'!$E$9+1,1))-AVERAGE(OFFSET($H$3,0,0,'Données projet'!$E$9+1,1))</f>
        <v>324.86930206492627</v>
      </c>
      <c r="T111" s="59">
        <f t="shared" si="88"/>
        <v>317.03005098025352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18.157475313765875</v>
      </c>
      <c r="AA111" s="21">
        <f>EXP(-LN(2)/25)*AA110+(1-EXP(-LN(2)/25))/(LN(2)/25)*Calculateur!V111*Calculateur!X111*VLOOKUP('Données projet'!$B$9,Paramètres!$A$1:$I$89,3,0)*0.475*44/12</f>
        <v>4.2077793469203941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22.365254660686269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6.9935897435897401</v>
      </c>
      <c r="AI111" s="13">
        <f>IF('Données projet'!$A$62&gt;35,AI110+AH111-AQ110,IF(A111&lt;'Données projet'!$A$62,$AF$205^A111,IF(A111='Données projet'!$A$62,'Données projet'!$B$62,AI110+AH111-AQ110)))</f>
        <v>333.17307692307725</v>
      </c>
      <c r="AJ111" s="13">
        <f>AI111*VLOOKUP('Données projet'!$B$10,Paramètres!$A$1:$I$89,3,0)*VLOOKUP('Données projet'!$B$10,Paramètres!$A$1:$I$89,5,0)</f>
        <v>317.0475000000003</v>
      </c>
      <c r="AK111" s="13">
        <f t="shared" si="89"/>
        <v>74.738697596063702</v>
      </c>
      <c r="AL111" s="20">
        <f t="shared" si="58"/>
        <v>682.36096081314474</v>
      </c>
      <c r="AM111" s="59">
        <f t="shared" si="59"/>
        <v>975.69429414647811</v>
      </c>
      <c r="AN111" s="59">
        <f ca="1">AVERAGE(OFFSET($AM$3,0,0,'Données projet'!$E$10+1,1))-AVERAGE(OFFSET($H$3,0,0,'Données projet'!$E$10+1,1))</f>
        <v>401.81944956556271</v>
      </c>
      <c r="AO111" s="59">
        <f t="shared" si="90"/>
        <v>292.20785523952651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43.248260704264787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43.248260704264787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1.7053025658242404E-13</v>
      </c>
      <c r="BE111" s="13">
        <f>BD111*VLOOKUP('Données projet'!$B$11,Paramètres!$A$1:$I$89,3,0)*VLOOKUP('Données projet'!$B$11,Paramètres!$A$1:$I$89,5,0)</f>
        <v>1.3301360013429075E-13</v>
      </c>
      <c r="BF111" s="13">
        <f t="shared" si="91"/>
        <v>1.9329766731057041E-12</v>
      </c>
      <c r="BG111" s="20">
        <f t="shared" si="61"/>
        <v>3.5982663925596575E-12</v>
      </c>
      <c r="BH111" s="59">
        <f t="shared" si="62"/>
        <v>293.3333333333369</v>
      </c>
      <c r="BI111" s="59">
        <f ca="1">AVERAGE(OFFSET($BH$3,0,0,'Données projet'!$E$11+1,1))-AVERAGE(OFFSET($H$3,0,0,'Données projet'!$E$11+1,1))</f>
        <v>288.80569134263209</v>
      </c>
      <c r="BJ111" s="59">
        <f t="shared" si="92"/>
        <v>283.48738729114024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37.477236816864689</v>
      </c>
      <c r="BQ111" s="21">
        <f>EXP(-LN(2)/25)*BQ110+(1-EXP(-LN(2)/25))/(LN(2)/25)*Calculateur!BL111*Calculateur!BN111*VLOOKUP('Données projet'!$B$11,Paramètres!$A$1:$I$89,3,0)*0.475*44/12</f>
        <v>23.133339470309135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60.610576287173828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212.00000000000009</v>
      </c>
      <c r="BZ111" s="13">
        <f>BY111*VLOOKUP('Données projet'!$B$12,Paramètres!$A$1:$I$89,3,0)*VLOOKUP('Données projet'!$B$12,Paramètres!$A$1:$I$89,5,0)</f>
        <v>221.58240000000012</v>
      </c>
      <c r="CA111" s="13">
        <f t="shared" si="93"/>
        <v>54.458668952651578</v>
      </c>
      <c r="CB111" s="20">
        <f t="shared" si="64"/>
        <v>480.77152842586838</v>
      </c>
      <c r="CC111" s="59">
        <f t="shared" si="65"/>
        <v>774.10486175920164</v>
      </c>
      <c r="CD111" s="59">
        <f ca="1">AVERAGE(OFFSET($CC$3,0,0,'Données projet'!$E$12+1,1))-AVERAGE(OFFSET($H$3,0,0,'Données projet'!$E$12+1,1))</f>
        <v>352.22281362023102</v>
      </c>
      <c r="CE111" s="59">
        <f t="shared" si="94"/>
        <v>310.2353747925161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15.250076537959584</v>
      </c>
      <c r="CL111" s="21">
        <f>EXP(-LN(2)/25)*CL110+(1-EXP(-LN(2)/25))/(LN(2)/25)*Calculateur!CG111*Calculateur!CI111*VLOOKUP('Données projet'!$B$12,Paramètres!$A$1:$I$89,3,0)*0.475*44/12</f>
        <v>13.405579942549613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28.655656480509197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5.0961538461538449</v>
      </c>
      <c r="CT111" s="12">
        <f>IF('Données projet'!$A$140&gt;35,CT110+CS111-DB110,IF(A111&lt;'Données projet'!$A$140,$CQ$205^A111,IF(A111='Données projet'!$A$140,'Données projet'!$B$140,CT110+CS111-DB110)))</f>
        <v>220.73717948717916</v>
      </c>
      <c r="CU111" s="17">
        <f>CT111*VLOOKUP('Données projet'!$B$13,Paramètres!$A$1:$I$89,3,0)*VLOOKUP('Données projet'!$B$13,Paramètres!$A$1:$I$89,5,0)</f>
        <v>199.7229999999997</v>
      </c>
      <c r="CV111" s="13">
        <f t="shared" si="95"/>
        <v>49.683286599758986</v>
      </c>
      <c r="CW111" s="20">
        <f t="shared" si="67"/>
        <v>434.38261582791301</v>
      </c>
      <c r="CX111" s="59">
        <f t="shared" si="68"/>
        <v>727.71594916124627</v>
      </c>
      <c r="CY111" s="59">
        <f ca="1">AVERAGE(OFFSET($CX$3,0,0,'Données projet'!$E$13+1,1))-AVERAGE(OFFSET($H$3,0,0,'Données projet'!$E$13+1,1))</f>
        <v>345.49688858037996</v>
      </c>
      <c r="CZ111" s="59">
        <f t="shared" si="96"/>
        <v>213.15872113755023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28.912769791789628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28.912769791789628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5.0961538461538449</v>
      </c>
      <c r="DO111" s="12">
        <f>IF('Données projet'!$A$166&gt;35,DO110+DN111-DW110,IF(A111&lt;'Données projet'!$A$166,$DL$205^A111,IF(A111='Données projet'!$A$166,'Données projet'!$B$166,DO110+DN111-DW110)))</f>
        <v>220.73717948717916</v>
      </c>
      <c r="DP111" s="17">
        <f>DO111*VLOOKUP('Données projet'!$B$14,Paramètres!$A$1:$I$89,3,0)*VLOOKUP('Données projet'!$B$14,Paramètres!$A$1:$I$89,5,0)</f>
        <v>223.82749999999967</v>
      </c>
      <c r="DQ111" s="13">
        <f t="shared" si="97"/>
        <v>54.94593701193218</v>
      </c>
      <c r="DR111" s="20">
        <f t="shared" si="70"/>
        <v>485.53040279578119</v>
      </c>
      <c r="DS111" s="59">
        <f t="shared" si="71"/>
        <v>778.8637361291145</v>
      </c>
      <c r="DT111" s="59">
        <f ca="1">AVERAGE(OFFSET($DS$3,0,0,'Données projet'!$E$14+1,1))-AVERAGE(OFFSET($H$3,0,0,'Données projet'!$E$14+1,1))</f>
        <v>382.26108489744581</v>
      </c>
      <c r="DU111" s="59">
        <f t="shared" si="98"/>
        <v>233.89423996158826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32.402242008040091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32.402242008040091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-2.4158453015843406E-13</v>
      </c>
      <c r="EK111" s="17">
        <f>EJ111*VLOOKUP('Données projet'!$B$15,Paramètres!$A$1:$I$89,3,0)*VLOOKUP('Données projet'!$B$15,Paramètres!$A$1:$I$89,5,0)</f>
        <v>-2.0351080820546486E-13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312.48716825299158</v>
      </c>
      <c r="EP111" s="59">
        <f t="shared" si="100"/>
        <v>258.68277822755357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154.96295360939388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154.96295360939388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5.0961538461538449</v>
      </c>
      <c r="FE111" s="12">
        <f>IF('Données projet'!$A$218&gt;35,FE110+FD111-FM110,IF(A111&lt;'Données projet'!$A$218,$FB$205^A111,IF(A111='Données projet'!$A$218,'Données projet'!$B$218,FE110+FD111-FM110)))</f>
        <v>220.73717948717916</v>
      </c>
      <c r="FF111" s="17">
        <f>FE111*VLOOKUP('Données projet'!$B$16,Paramètres!$A$1:$I$89,3,0)*VLOOKUP('Données projet'!$B$16,Paramètres!$A$1:$I$89,5,0)</f>
        <v>237.60149999999965</v>
      </c>
      <c r="FG111" s="13">
        <f t="shared" si="101"/>
        <v>57.923180248189368</v>
      </c>
      <c r="FH111" s="20">
        <f t="shared" si="76"/>
        <v>514.70548476559588</v>
      </c>
      <c r="FI111" s="59">
        <f t="shared" si="77"/>
        <v>808.03881809892914</v>
      </c>
      <c r="FJ111" s="59">
        <f ca="1">AVERAGE(OFFSET($FI$3,0,0,'Données projet'!$E$16+1,1))-AVERAGE(OFFSET($H$3,0,0,'Données projet'!$E$16+1,1))</f>
        <v>403.23110963096246</v>
      </c>
      <c r="FK111" s="59">
        <f t="shared" si="102"/>
        <v>245.72000393124898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34.39622613161179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34.39622613161179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5.0961538461538449</v>
      </c>
      <c r="FZ111" s="12">
        <f>IF('Données projet'!$A$244&gt;35,FZ110+FY111-GH110,IF(A111&lt;'Données projet'!$A$244,$FW$205^A111,IF(A111='Données projet'!$A$244,'Données projet'!$B$244,FZ110+FY111-GH110)))</f>
        <v>220.73717948717916</v>
      </c>
      <c r="GA111" s="17">
        <f>FZ111*VLOOKUP('Données projet'!$B$17,Paramètres!$A$1:$I$89,3,0)*VLOOKUP('Données projet'!$B$17,Paramètres!$A$1:$I$89,5,0)</f>
        <v>213.4969999999997</v>
      </c>
      <c r="GB111" s="13">
        <f t="shared" si="103"/>
        <v>52.699032109433475</v>
      </c>
      <c r="GC111" s="20">
        <f t="shared" si="79"/>
        <v>463.6247559239294</v>
      </c>
      <c r="GD111" s="59">
        <f t="shared" si="80"/>
        <v>756.95808925726271</v>
      </c>
      <c r="GE111" s="59">
        <f ca="1">AVERAGE(OFFSET($GD$3,0,0,'Données projet'!$E$17+1,1))-AVERAGE(OFFSET($H$3,0,0,'Données projet'!$E$17+1,1))</f>
        <v>336.2911850338175</v>
      </c>
      <c r="GF111" s="59">
        <f t="shared" si="104"/>
        <v>225.01415116995503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30.906753915361332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30.906753915361332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5.0961538461538449</v>
      </c>
      <c r="GU111" s="12">
        <f>IF('Données projet'!$A$270&gt;35,GU110+GT111-HC110,IF(A111&lt;'Données projet'!$A$270,$GR$205^A111,IF(A111='Données projet'!$A$270,'Données projet'!$B$270,GU110+GT111-HC110)))</f>
        <v>220.73717948717916</v>
      </c>
      <c r="GV111" s="17">
        <f>GU111*VLOOKUP('Données projet'!$B$18,Paramètres!$A$1:$I$89,3,0)*VLOOKUP('Données projet'!$B$18,Paramètres!$A$1:$I$89,5,0)</f>
        <v>148.07049999999978</v>
      </c>
      <c r="GW111" s="13">
        <f t="shared" si="105"/>
        <v>38.139769969294271</v>
      </c>
      <c r="GX111" s="20">
        <f t="shared" si="82"/>
        <v>324.31622019652048</v>
      </c>
      <c r="GY111" s="59">
        <f t="shared" si="83"/>
        <v>617.64955352985385</v>
      </c>
      <c r="GZ111" s="59">
        <f ca="1">AVERAGE(OFFSET($GY$3,0,0,'Données projet'!$E$18+1,1))-AVERAGE(OFFSET($H$3,0,0,'Données projet'!$E$18+1,1))</f>
        <v>266.37807768393191</v>
      </c>
      <c r="HA111" s="59">
        <f t="shared" si="106"/>
        <v>168.52019826233425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26.420289637325006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84"/>
        <v>26.420289637325006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266.99999999999983</v>
      </c>
      <c r="O112" s="13">
        <f>N112*VLOOKUP('Données projet'!$B$9,Paramètres!$A$1:$I$89,3,0)*VLOOKUP('Données projet'!$B$9,Paramètres!$A$1:$I$89,5,0)</f>
        <v>233.2511999999999</v>
      </c>
      <c r="P112" s="13">
        <f t="shared" si="87"/>
        <v>56.985091661350864</v>
      </c>
      <c r="Q112" s="20">
        <f t="shared" si="107"/>
        <v>505.49487464351915</v>
      </c>
      <c r="R112" s="59">
        <f t="shared" si="55"/>
        <v>798.82820797685247</v>
      </c>
      <c r="S112" s="59">
        <f ca="1">AVERAGE(OFFSET($R$3,0,0,'Données projet'!$E$9+1,1))-AVERAGE(OFFSET($H$3,0,0,'Données projet'!$E$9+1,1))</f>
        <v>324.86930206492627</v>
      </c>
      <c r="T112" s="59">
        <f t="shared" si="88"/>
        <v>317.03005098025352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17.801418297829304</v>
      </c>
      <c r="AA112" s="21">
        <f>EXP(-LN(2)/25)*AA111+(1-EXP(-LN(2)/25))/(LN(2)/25)*Calculateur!V112*Calculateur!X112*VLOOKUP('Données projet'!$B$9,Paramètres!$A$1:$I$89,3,0)*0.475*44/12</f>
        <v>4.0927173994013568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21.894135697230659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340.16666666666663</v>
      </c>
      <c r="AG112" s="12">
        <f>VLOOKUP(A112,'Données projet'!$A$61:$I$81,9,0)</f>
        <v>6.9935897435897401</v>
      </c>
      <c r="AH112" s="12">
        <f t="array" ref="AH112">INDEX(AG:AG,MIN(IF(ISNUMBER(AG112:AG308),ROW(AG112:AG308),"")))</f>
        <v>6.9935897435897401</v>
      </c>
      <c r="AI112" s="13">
        <f>IF('Données projet'!$A$62&gt;35,AI111+AH112-AQ111,IF(A112&lt;'Données projet'!$A$62,$AF$205^A112,IF(A112='Données projet'!$A$62,'Données projet'!$B$62,AI111+AH112-AQ111)))</f>
        <v>340.16666666666697</v>
      </c>
      <c r="AJ112" s="13">
        <f>AI112*VLOOKUP('Données projet'!$B$10,Paramètres!$A$1:$I$89,3,0)*VLOOKUP('Données projet'!$B$10,Paramètres!$A$1:$I$89,5,0)</f>
        <v>323.7026000000003</v>
      </c>
      <c r="AK112" s="13">
        <f t="shared" si="89"/>
        <v>76.123235026548272</v>
      </c>
      <c r="AL112" s="20">
        <f t="shared" si="58"/>
        <v>696.36332933790538</v>
      </c>
      <c r="AM112" s="59">
        <f t="shared" si="59"/>
        <v>989.69666267123876</v>
      </c>
      <c r="AN112" s="59">
        <f ca="1">AVERAGE(OFFSET($AM$3,0,0,'Données projet'!$E$10+1,1))-AVERAGE(OFFSET($H$3,0,0,'Données projet'!$E$10+1,1))</f>
        <v>401.81944956556271</v>
      </c>
      <c r="AO112" s="59">
        <f t="shared" si="90"/>
        <v>292.20785523952651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51.28846153846154</v>
      </c>
      <c r="AR112" s="16">
        <f>IF(ISNA(VLOOKUP(A112,'Données projet'!$A$61:$I$81,5,0)),0%,VLOOKUP(A112,'Données projet'!$A$61:$I$81,5,0)*VLOOKUP('Données projet'!$B$10,Paramètres!$A$1:$I$89,7,0))</f>
        <v>0.38700000000000001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63.280269774320935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63.280269774320935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1.7053025658242404E-13</v>
      </c>
      <c r="BE112" s="13">
        <f>BD112*VLOOKUP('Données projet'!$B$11,Paramètres!$A$1:$I$89,3,0)*VLOOKUP('Données projet'!$B$11,Paramètres!$A$1:$I$89,5,0)</f>
        <v>1.3301360013429075E-13</v>
      </c>
      <c r="BF112" s="13">
        <f t="shared" si="91"/>
        <v>1.9329766731057041E-12</v>
      </c>
      <c r="BG112" s="20">
        <f t="shared" si="61"/>
        <v>3.5982663925596575E-12</v>
      </c>
      <c r="BH112" s="59">
        <f t="shared" si="62"/>
        <v>293.3333333333369</v>
      </c>
      <c r="BI112" s="59">
        <f ca="1">AVERAGE(OFFSET($BH$3,0,0,'Données projet'!$E$11+1,1))-AVERAGE(OFFSET($H$3,0,0,'Données projet'!$E$11+1,1))</f>
        <v>288.80569134263209</v>
      </c>
      <c r="BJ112" s="59">
        <f t="shared" si="92"/>
        <v>283.48738729114024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36.742331061743307</v>
      </c>
      <c r="BQ112" s="21">
        <f>EXP(-LN(2)/25)*BQ111+(1-EXP(-LN(2)/25))/(LN(2)/25)*Calculateur!BL112*Calculateur!BN112*VLOOKUP('Données projet'!$B$11,Paramètres!$A$1:$I$89,3,0)*0.475*44/12</f>
        <v>22.500757085964082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59.24308814770739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212.00000000000009</v>
      </c>
      <c r="BZ112" s="13">
        <f>BY112*VLOOKUP('Données projet'!$B$12,Paramètres!$A$1:$I$89,3,0)*VLOOKUP('Données projet'!$B$12,Paramètres!$A$1:$I$89,5,0)</f>
        <v>221.58240000000012</v>
      </c>
      <c r="CA112" s="13">
        <f t="shared" si="93"/>
        <v>54.458668952651578</v>
      </c>
      <c r="CB112" s="20">
        <f t="shared" si="64"/>
        <v>480.77152842586838</v>
      </c>
      <c r="CC112" s="59">
        <f t="shared" si="65"/>
        <v>774.10486175920164</v>
      </c>
      <c r="CD112" s="59">
        <f ca="1">AVERAGE(OFFSET($CC$3,0,0,'Données projet'!$E$12+1,1))-AVERAGE(OFFSET($H$3,0,0,'Données projet'!$E$12+1,1))</f>
        <v>352.22281362023102</v>
      </c>
      <c r="CE112" s="59">
        <f t="shared" si="94"/>
        <v>310.2353747925161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14.951031838678425</v>
      </c>
      <c r="CL112" s="21">
        <f>EXP(-LN(2)/25)*CL111+(1-EXP(-LN(2)/25))/(LN(2)/25)*Calculateur!CG112*Calculateur!CI112*VLOOKUP('Données projet'!$B$12,Paramètres!$A$1:$I$89,3,0)*0.475*44/12</f>
        <v>13.039003654051783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27.990035492730208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5.0961538461538449</v>
      </c>
      <c r="CT112" s="12">
        <f>IF('Données projet'!$A$140&gt;35,CT111+CS112-DB111,IF(A112&lt;'Données projet'!$A$140,$CQ$205^A112,IF(A112='Données projet'!$A$140,'Données projet'!$B$140,CT111+CS112-DB111)))</f>
        <v>225.833333333333</v>
      </c>
      <c r="CU112" s="17">
        <f>CT112*VLOOKUP('Données projet'!$B$13,Paramètres!$A$1:$I$89,3,0)*VLOOKUP('Données projet'!$B$13,Paramètres!$A$1:$I$89,5,0)</f>
        <v>204.33399999999966</v>
      </c>
      <c r="CV112" s="13">
        <f t="shared" si="95"/>
        <v>50.695458061201691</v>
      </c>
      <c r="CW112" s="20">
        <f t="shared" si="67"/>
        <v>444.17630612325894</v>
      </c>
      <c r="CX112" s="59">
        <f t="shared" si="68"/>
        <v>737.50963945659225</v>
      </c>
      <c r="CY112" s="59">
        <f ca="1">AVERAGE(OFFSET($CX$3,0,0,'Données projet'!$E$13+1,1))-AVERAGE(OFFSET($H$3,0,0,'Données projet'!$E$13+1,1))</f>
        <v>345.49688858037996</v>
      </c>
      <c r="CZ112" s="59">
        <f t="shared" si="96"/>
        <v>213.15872113755023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28.345808011220889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28.345808011220889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5.0961538461538449</v>
      </c>
      <c r="DO112" s="12">
        <f>IF('Données projet'!$A$166&gt;35,DO111+DN112-DW111,IF(A112&lt;'Données projet'!$A$166,$DL$205^A112,IF(A112='Données projet'!$A$166,'Données projet'!$B$166,DO111+DN112-DW111)))</f>
        <v>225.833333333333</v>
      </c>
      <c r="DP112" s="17">
        <f>DO112*VLOOKUP('Données projet'!$B$14,Paramètres!$A$1:$I$89,3,0)*VLOOKUP('Données projet'!$B$14,Paramètres!$A$1:$I$89,5,0)</f>
        <v>228.99499999999969</v>
      </c>
      <c r="DQ112" s="13">
        <f t="shared" si="97"/>
        <v>56.065321681745388</v>
      </c>
      <c r="DR112" s="20">
        <f t="shared" si="70"/>
        <v>496.48006026237272</v>
      </c>
      <c r="DS112" s="59">
        <f t="shared" si="71"/>
        <v>789.81339359570597</v>
      </c>
      <c r="DT112" s="59">
        <f ca="1">AVERAGE(OFFSET($DS$3,0,0,'Données projet'!$E$14+1,1))-AVERAGE(OFFSET($H$3,0,0,'Données projet'!$E$14+1,1))</f>
        <v>382.26108489744581</v>
      </c>
      <c r="DU112" s="59">
        <f t="shared" si="98"/>
        <v>233.89423996158826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31.766853805678576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31.766853805678576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-2.4158453015843406E-13</v>
      </c>
      <c r="EK112" s="17">
        <f>EJ112*VLOOKUP('Données projet'!$B$15,Paramètres!$A$1:$I$89,3,0)*VLOOKUP('Données projet'!$B$15,Paramètres!$A$1:$I$89,5,0)</f>
        <v>-2.0351080820546486E-13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312.48716825299158</v>
      </c>
      <c r="EP112" s="59">
        <f t="shared" si="100"/>
        <v>258.68277822755357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151.92422460718248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151.92422460718248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5.0961538461538449</v>
      </c>
      <c r="FE112" s="12">
        <f>IF('Données projet'!$A$218&gt;35,FE111+FD112-FM111,IF(A112&lt;'Données projet'!$A$218,$FB$205^A112,IF(A112='Données projet'!$A$218,'Données projet'!$B$218,FE111+FD112-FM111)))</f>
        <v>225.833333333333</v>
      </c>
      <c r="FF112" s="17">
        <f>FE112*VLOOKUP('Données projet'!$B$16,Paramètres!$A$1:$I$89,3,0)*VLOOKUP('Données projet'!$B$16,Paramètres!$A$1:$I$89,5,0)</f>
        <v>243.08699999999965</v>
      </c>
      <c r="FG112" s="13">
        <f t="shared" si="101"/>
        <v>59.10321872824241</v>
      </c>
      <c r="FH112" s="20">
        <f t="shared" si="76"/>
        <v>526.31463095168817</v>
      </c>
      <c r="FI112" s="59">
        <f t="shared" si="77"/>
        <v>819.64796428502154</v>
      </c>
      <c r="FJ112" s="59">
        <f ca="1">AVERAGE(OFFSET($FI$3,0,0,'Données projet'!$E$16+1,1))-AVERAGE(OFFSET($H$3,0,0,'Données projet'!$E$16+1,1))</f>
        <v>403.23110963096246</v>
      </c>
      <c r="FK112" s="59">
        <f t="shared" si="102"/>
        <v>245.72000393124898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33.721737116797257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33.721737116797257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5.0961538461538449</v>
      </c>
      <c r="FZ112" s="12">
        <f>IF('Données projet'!$A$244&gt;35,FZ111+FY112-GH111,IF(A112&lt;'Données projet'!$A$244,$FW$205^A112,IF(A112='Données projet'!$A$244,'Données projet'!$B$244,FZ111+FY112-GH111)))</f>
        <v>225.833333333333</v>
      </c>
      <c r="GA112" s="17">
        <f>FZ112*VLOOKUP('Données projet'!$B$17,Paramètres!$A$1:$I$89,3,0)*VLOOKUP('Données projet'!$B$17,Paramètres!$A$1:$I$89,5,0)</f>
        <v>218.42599999999968</v>
      </c>
      <c r="GB112" s="13">
        <f t="shared" si="103"/>
        <v>53.772641767677783</v>
      </c>
      <c r="GC112" s="20">
        <f t="shared" si="79"/>
        <v>474.07930107870487</v>
      </c>
      <c r="GD112" s="59">
        <f t="shared" si="80"/>
        <v>767.41263441203819</v>
      </c>
      <c r="GE112" s="59">
        <f ca="1">AVERAGE(OFFSET($GD$3,0,0,'Données projet'!$E$17+1,1))-AVERAGE(OFFSET($H$3,0,0,'Données projet'!$E$17+1,1))</f>
        <v>336.2911850338175</v>
      </c>
      <c r="GF112" s="59">
        <f t="shared" si="104"/>
        <v>225.01415116995503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30.300691322339578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30.300691322339578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5.0961538461538449</v>
      </c>
      <c r="GU112" s="12">
        <f>IF('Données projet'!$A$270&gt;35,GU111+GT112-HC111,IF(A112&lt;'Données projet'!$A$270,$GR$205^A112,IF(A112='Données projet'!$A$270,'Données projet'!$B$270,GU111+GT112-HC111)))</f>
        <v>225.833333333333</v>
      </c>
      <c r="GV112" s="17">
        <f>GU112*VLOOKUP('Données projet'!$B$18,Paramètres!$A$1:$I$89,3,0)*VLOOKUP('Données projet'!$B$18,Paramètres!$A$1:$I$89,5,0)</f>
        <v>151.48899999999978</v>
      </c>
      <c r="GW112" s="13">
        <f t="shared" si="105"/>
        <v>38.916771439021808</v>
      </c>
      <c r="GX112" s="20">
        <f t="shared" si="82"/>
        <v>331.62338525629588</v>
      </c>
      <c r="GY112" s="59">
        <f t="shared" si="83"/>
        <v>624.95671858962919</v>
      </c>
      <c r="GZ112" s="59">
        <f ca="1">AVERAGE(OFFSET($GY$3,0,0,'Données projet'!$E$18+1,1))-AVERAGE(OFFSET($H$3,0,0,'Données projet'!$E$18+1,1))</f>
        <v>266.37807768393191</v>
      </c>
      <c r="HA112" s="59">
        <f t="shared" si="106"/>
        <v>168.52019826233425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25.902203872322538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84"/>
        <v>25.902203872322538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266.99999999999983</v>
      </c>
      <c r="O113" s="13">
        <f>N113*VLOOKUP('Données projet'!$B$9,Paramètres!$A$1:$I$89,3,0)*VLOOKUP('Données projet'!$B$9,Paramètres!$A$1:$I$89,5,0)</f>
        <v>233.2511999999999</v>
      </c>
      <c r="P113" s="13">
        <f t="shared" si="87"/>
        <v>56.985091661350864</v>
      </c>
      <c r="Q113" s="20">
        <f t="shared" si="107"/>
        <v>505.49487464351915</v>
      </c>
      <c r="R113" s="59">
        <f t="shared" si="55"/>
        <v>798.82820797685247</v>
      </c>
      <c r="S113" s="59">
        <f ca="1">AVERAGE(OFFSET($R$3,0,0,'Données projet'!$E$9+1,1))-AVERAGE(OFFSET($H$3,0,0,'Données projet'!$E$9+1,1))</f>
        <v>324.86930206492627</v>
      </c>
      <c r="T113" s="59">
        <f t="shared" si="88"/>
        <v>317.03005098025352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17.452343342801914</v>
      </c>
      <c r="AA113" s="21">
        <f>EXP(-LN(2)/25)*AA112+(1-EXP(-LN(2)/25))/(LN(2)/25)*Calculateur!V113*Calculateur!X113*VLOOKUP('Données projet'!$B$9,Paramètres!$A$1:$I$89,3,0)*0.475*44/12</f>
        <v>3.9808018268880727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21.433145169689986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6.8461538461538511</v>
      </c>
      <c r="AI113" s="13">
        <f>IF('Données projet'!$A$62&gt;35,AI112+AH113-AQ112,IF(A113&lt;'Données projet'!$A$62,$AF$205^A113,IF(A113='Données projet'!$A$62,'Données projet'!$B$62,AI112+AH113-AQ112)))</f>
        <v>295.72435897435929</v>
      </c>
      <c r="AJ113" s="13">
        <f>AI113*VLOOKUP('Données projet'!$B$10,Paramètres!$A$1:$I$89,3,0)*VLOOKUP('Données projet'!$B$10,Paramètres!$A$1:$I$89,5,0)</f>
        <v>281.41130000000032</v>
      </c>
      <c r="AK113" s="13">
        <f t="shared" si="89"/>
        <v>67.265169814085198</v>
      </c>
      <c r="AL113" s="20">
        <f t="shared" si="58"/>
        <v>607.27818492619883</v>
      </c>
      <c r="AM113" s="59">
        <f t="shared" si="59"/>
        <v>900.6115182595322</v>
      </c>
      <c r="AN113" s="59">
        <f ca="1">AVERAGE(OFFSET($AM$3,0,0,'Données projet'!$E$10+1,1))-AVERAGE(OFFSET($H$3,0,0,'Données projet'!$E$10+1,1))</f>
        <v>401.81944956556271</v>
      </c>
      <c r="AO113" s="59">
        <f t="shared" si="90"/>
        <v>292.20785523952651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62.039382281199913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62.039382281199913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1.7053025658242404E-13</v>
      </c>
      <c r="BE113" s="13">
        <f>BD113*VLOOKUP('Données projet'!$B$11,Paramètres!$A$1:$I$89,3,0)*VLOOKUP('Données projet'!$B$11,Paramètres!$A$1:$I$89,5,0)</f>
        <v>1.3301360013429075E-13</v>
      </c>
      <c r="BF113" s="13">
        <f t="shared" si="91"/>
        <v>1.9329766731057041E-12</v>
      </c>
      <c r="BG113" s="20">
        <f t="shared" si="61"/>
        <v>3.5982663925596575E-12</v>
      </c>
      <c r="BH113" s="59">
        <f t="shared" si="62"/>
        <v>293.3333333333369</v>
      </c>
      <c r="BI113" s="59">
        <f ca="1">AVERAGE(OFFSET($BH$3,0,0,'Données projet'!$E$11+1,1))-AVERAGE(OFFSET($H$3,0,0,'Données projet'!$E$11+1,1))</f>
        <v>288.80569134263209</v>
      </c>
      <c r="BJ113" s="59">
        <f t="shared" si="92"/>
        <v>283.48738729114024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36.021836360231603</v>
      </c>
      <c r="BQ113" s="21">
        <f>EXP(-LN(2)/25)*BQ112+(1-EXP(-LN(2)/25))/(LN(2)/25)*Calculateur!BL113*Calculateur!BN113*VLOOKUP('Données projet'!$B$11,Paramètres!$A$1:$I$89,3,0)*0.475*44/12</f>
        <v>21.885472700185005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57.907309060416608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212.00000000000009</v>
      </c>
      <c r="BZ113" s="13">
        <f>BY113*VLOOKUP('Données projet'!$B$12,Paramètres!$A$1:$I$89,3,0)*VLOOKUP('Données projet'!$B$12,Paramètres!$A$1:$I$89,5,0)</f>
        <v>221.58240000000012</v>
      </c>
      <c r="CA113" s="13">
        <f t="shared" si="93"/>
        <v>54.458668952651578</v>
      </c>
      <c r="CB113" s="20">
        <f t="shared" si="64"/>
        <v>480.77152842586838</v>
      </c>
      <c r="CC113" s="59">
        <f t="shared" si="65"/>
        <v>774.10486175920164</v>
      </c>
      <c r="CD113" s="59">
        <f ca="1">AVERAGE(OFFSET($CC$3,0,0,'Données projet'!$E$12+1,1))-AVERAGE(OFFSET($H$3,0,0,'Données projet'!$E$12+1,1))</f>
        <v>352.22281362023102</v>
      </c>
      <c r="CE113" s="59">
        <f t="shared" si="94"/>
        <v>310.2353747925161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14.657851223550914</v>
      </c>
      <c r="CL113" s="21">
        <f>EXP(-LN(2)/25)*CL112+(1-EXP(-LN(2)/25))/(LN(2)/25)*Calculateur!CG113*Calculateur!CI113*VLOOKUP('Données projet'!$B$12,Paramètres!$A$1:$I$89,3,0)*0.475*44/12</f>
        <v>12.682451413440335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27.340302636991247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5.0961538461538449</v>
      </c>
      <c r="CT113" s="12">
        <f>IF('Données projet'!$A$140&gt;35,CT112+CS113-DB112,IF(A113&lt;'Données projet'!$A$140,$CQ$205^A113,IF(A113='Données projet'!$A$140,'Données projet'!$B$140,CT112+CS113-DB112)))</f>
        <v>230.92948717948684</v>
      </c>
      <c r="CU113" s="17">
        <f>CT113*VLOOKUP('Données projet'!$B$13,Paramètres!$A$1:$I$89,3,0)*VLOOKUP('Données projet'!$B$13,Paramètres!$A$1:$I$89,5,0)</f>
        <v>208.94499999999971</v>
      </c>
      <c r="CV113" s="13">
        <f t="shared" si="95"/>
        <v>51.704974120746144</v>
      </c>
      <c r="CW113" s="20">
        <f t="shared" si="67"/>
        <v>453.96537159363237</v>
      </c>
      <c r="CX113" s="59">
        <f t="shared" si="68"/>
        <v>747.29870492696568</v>
      </c>
      <c r="CY113" s="59">
        <f ca="1">AVERAGE(OFFSET($CX$3,0,0,'Données projet'!$E$13+1,1))-AVERAGE(OFFSET($H$3,0,0,'Données projet'!$E$13+1,1))</f>
        <v>345.49688858037996</v>
      </c>
      <c r="CZ113" s="59">
        <f t="shared" si="96"/>
        <v>213.15872113755023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27.789964005356563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27.789964005356563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5.0961538461538449</v>
      </c>
      <c r="DO113" s="12">
        <f>IF('Données projet'!$A$166&gt;35,DO112+DN113-DW112,IF(A113&lt;'Données projet'!$A$166,$DL$205^A113,IF(A113='Données projet'!$A$166,'Données projet'!$B$166,DO112+DN113-DW112)))</f>
        <v>230.92948717948684</v>
      </c>
      <c r="DP113" s="17">
        <f>DO113*VLOOKUP('Données projet'!$B$14,Paramètres!$A$1:$I$89,3,0)*VLOOKUP('Données projet'!$B$14,Paramètres!$A$1:$I$89,5,0)</f>
        <v>234.16249999999968</v>
      </c>
      <c r="DQ113" s="13">
        <f t="shared" si="97"/>
        <v>57.181769678978526</v>
      </c>
      <c r="DR113" s="20">
        <f t="shared" si="70"/>
        <v>507.42460302422029</v>
      </c>
      <c r="DS113" s="59">
        <f t="shared" si="71"/>
        <v>800.7579363575536</v>
      </c>
      <c r="DT113" s="59">
        <f ca="1">AVERAGE(OFFSET($DS$3,0,0,'Données projet'!$E$14+1,1))-AVERAGE(OFFSET($H$3,0,0,'Données projet'!$E$14+1,1))</f>
        <v>382.26108489744581</v>
      </c>
      <c r="DU113" s="59">
        <f t="shared" si="98"/>
        <v>233.89423996158826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31.143925178416833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31.143925178416833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-2.4158453015843406E-13</v>
      </c>
      <c r="EK113" s="17">
        <f>EJ113*VLOOKUP('Données projet'!$B$15,Paramètres!$A$1:$I$89,3,0)*VLOOKUP('Données projet'!$B$15,Paramètres!$A$1:$I$89,5,0)</f>
        <v>-2.0351080820546486E-13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312.48716825299158</v>
      </c>
      <c r="EP113" s="59">
        <f t="shared" si="100"/>
        <v>258.68277822755357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148.94508322726278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148.94508322726278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5.0961538461538449</v>
      </c>
      <c r="FE113" s="12">
        <f>IF('Données projet'!$A$218&gt;35,FE112+FD113-FM112,IF(A113&lt;'Données projet'!$A$218,$FB$205^A113,IF(A113='Données projet'!$A$218,'Données projet'!$B$218,FE112+FD113-FM112)))</f>
        <v>230.92948717948684</v>
      </c>
      <c r="FF113" s="17">
        <f>FE113*VLOOKUP('Données projet'!$B$16,Paramètres!$A$1:$I$89,3,0)*VLOOKUP('Données projet'!$B$16,Paramètres!$A$1:$I$89,5,0)</f>
        <v>248.57249999999962</v>
      </c>
      <c r="FG113" s="13">
        <f t="shared" si="101"/>
        <v>60.280161412237796</v>
      </c>
      <c r="FH113" s="20">
        <f t="shared" si="76"/>
        <v>537.91838529298013</v>
      </c>
      <c r="FI113" s="59">
        <f t="shared" si="77"/>
        <v>831.2517186263135</v>
      </c>
      <c r="FJ113" s="59">
        <f ca="1">AVERAGE(OFFSET($FI$3,0,0,'Données projet'!$E$16+1,1))-AVERAGE(OFFSET($H$3,0,0,'Données projet'!$E$16+1,1))</f>
        <v>403.23110963096246</v>
      </c>
      <c r="FK113" s="59">
        <f t="shared" si="102"/>
        <v>245.72000393124898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33.060474420165562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33.060474420165562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5.0961538461538449</v>
      </c>
      <c r="FZ113" s="12">
        <f>IF('Données projet'!$A$244&gt;35,FZ112+FY113-GH112,IF(A113&lt;'Données projet'!$A$244,$FW$205^A113,IF(A113='Données projet'!$A$244,'Données projet'!$B$244,FZ112+FY113-GH112)))</f>
        <v>230.92948717948684</v>
      </c>
      <c r="GA113" s="17">
        <f>FZ113*VLOOKUP('Données projet'!$B$17,Paramètres!$A$1:$I$89,3,0)*VLOOKUP('Données projet'!$B$17,Paramètres!$A$1:$I$89,5,0)</f>
        <v>223.35499999999968</v>
      </c>
      <c r="GB113" s="13">
        <f t="shared" si="103"/>
        <v>54.84343484273122</v>
      </c>
      <c r="GC113" s="20">
        <f t="shared" si="79"/>
        <v>484.52894068442293</v>
      </c>
      <c r="GD113" s="59">
        <f t="shared" si="80"/>
        <v>777.86227401775625</v>
      </c>
      <c r="GE113" s="59">
        <f ca="1">AVERAGE(OFFSET($GD$3,0,0,'Données projet'!$E$17+1,1))-AVERAGE(OFFSET($H$3,0,0,'Données projet'!$E$17+1,1))</f>
        <v>336.2911850338175</v>
      </c>
      <c r="GF113" s="59">
        <f t="shared" si="104"/>
        <v>225.01415116995503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29.706513247105299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29.706513247105299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5.0961538461538449</v>
      </c>
      <c r="GU113" s="12">
        <f>IF('Données projet'!$A$270&gt;35,GU112+GT113-HC112,IF(A113&lt;'Données projet'!$A$270,$GR$205^A113,IF(A113='Données projet'!$A$270,'Données projet'!$B$270,GU112+GT113-HC112)))</f>
        <v>230.92948717948684</v>
      </c>
      <c r="GV113" s="17">
        <f>GU113*VLOOKUP('Données projet'!$B$18,Paramètres!$A$1:$I$89,3,0)*VLOOKUP('Données projet'!$B$18,Paramètres!$A$1:$I$89,5,0)</f>
        <v>154.9074999999998</v>
      </c>
      <c r="GW113" s="13">
        <f t="shared" si="105"/>
        <v>39.691734468370171</v>
      </c>
      <c r="GX113" s="20">
        <f t="shared" si="82"/>
        <v>338.92700003241094</v>
      </c>
      <c r="GY113" s="59">
        <f t="shared" si="83"/>
        <v>632.26033336574426</v>
      </c>
      <c r="GZ113" s="59">
        <f ca="1">AVERAGE(OFFSET($GY$3,0,0,'Données projet'!$E$18+1,1))-AVERAGE(OFFSET($H$3,0,0,'Données projet'!$E$18+1,1))</f>
        <v>266.37807768393191</v>
      </c>
      <c r="HA113" s="59">
        <f t="shared" si="106"/>
        <v>168.52019826233425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25.394277453170655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84"/>
        <v>25.394277453170655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266.99999999999983</v>
      </c>
      <c r="O114" s="13">
        <f>N114*VLOOKUP('Données projet'!$B$9,Paramètres!$A$1:$I$89,3,0)*VLOOKUP('Données projet'!$B$9,Paramètres!$A$1:$I$89,5,0)</f>
        <v>233.2511999999999</v>
      </c>
      <c r="P114" s="13">
        <f t="shared" si="87"/>
        <v>56.985091661350864</v>
      </c>
      <c r="Q114" s="20">
        <f t="shared" si="107"/>
        <v>505.49487464351915</v>
      </c>
      <c r="R114" s="59">
        <f t="shared" si="55"/>
        <v>798.82820797685247</v>
      </c>
      <c r="S114" s="59">
        <f ca="1">AVERAGE(OFFSET($R$3,0,0,'Données projet'!$E$9+1,1))-AVERAGE(OFFSET($H$3,0,0,'Données projet'!$E$9+1,1))</f>
        <v>324.86930206492627</v>
      </c>
      <c r="T114" s="59">
        <f t="shared" si="88"/>
        <v>317.03005098025352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17.110113534727912</v>
      </c>
      <c r="AA114" s="21">
        <f>EXP(-LN(2)/25)*AA113+(1-EXP(-LN(2)/25))/(LN(2)/25)*Calculateur!V114*Calculateur!X114*VLOOKUP('Données projet'!$B$9,Paramètres!$A$1:$I$89,3,0)*0.475*44/12</f>
        <v>3.8719465915905484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20.982060126318459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6.8461538461538511</v>
      </c>
      <c r="AI114" s="13">
        <f>IF('Données projet'!$A$62&gt;35,AI113+AH114-AQ113,IF(A114&lt;'Données projet'!$A$62,$AF$205^A114,IF(A114='Données projet'!$A$62,'Données projet'!$B$62,AI113+AH114-AQ113)))</f>
        <v>302.57051282051316</v>
      </c>
      <c r="AJ114" s="13">
        <f>AI114*VLOOKUP('Données projet'!$B$10,Paramètres!$A$1:$I$89,3,0)*VLOOKUP('Données projet'!$B$10,Paramètres!$A$1:$I$89,5,0)</f>
        <v>287.9261000000003</v>
      </c>
      <c r="AK114" s="13">
        <f t="shared" si="89"/>
        <v>68.639290723813005</v>
      </c>
      <c r="AL114" s="20">
        <f t="shared" si="58"/>
        <v>621.01805551064149</v>
      </c>
      <c r="AM114" s="59">
        <f t="shared" si="59"/>
        <v>914.35138884397475</v>
      </c>
      <c r="AN114" s="59">
        <f ca="1">AVERAGE(OFFSET($AM$3,0,0,'Données projet'!$E$10+1,1))-AVERAGE(OFFSET($H$3,0,0,'Données projet'!$E$10+1,1))</f>
        <v>401.81944956556271</v>
      </c>
      <c r="AO114" s="59">
        <f t="shared" si="90"/>
        <v>292.20785523952651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60.822827834952356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60.822827834952356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1.7053025658242404E-13</v>
      </c>
      <c r="BE114" s="13">
        <f>BD114*VLOOKUP('Données projet'!$B$11,Paramètres!$A$1:$I$89,3,0)*VLOOKUP('Données projet'!$B$11,Paramètres!$A$1:$I$89,5,0)</f>
        <v>1.3301360013429075E-13</v>
      </c>
      <c r="BF114" s="13">
        <f t="shared" si="91"/>
        <v>1.9329766731057041E-12</v>
      </c>
      <c r="BG114" s="20">
        <f t="shared" si="61"/>
        <v>3.5982663925596575E-12</v>
      </c>
      <c r="BH114" s="59">
        <f t="shared" si="62"/>
        <v>293.3333333333369</v>
      </c>
      <c r="BI114" s="59">
        <f ca="1">AVERAGE(OFFSET($BH$3,0,0,'Données projet'!$E$11+1,1))-AVERAGE(OFFSET($H$3,0,0,'Données projet'!$E$11+1,1))</f>
        <v>288.80569134263209</v>
      </c>
      <c r="BJ114" s="59">
        <f t="shared" si="92"/>
        <v>283.48738729114024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35.315470120358171</v>
      </c>
      <c r="BQ114" s="21">
        <f>EXP(-LN(2)/25)*BQ113+(1-EXP(-LN(2)/25))/(LN(2)/25)*Calculateur!BL114*Calculateur!BN114*VLOOKUP('Données projet'!$B$11,Paramètres!$A$1:$I$89,3,0)*0.475*44/12</f>
        <v>21.287013298291455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56.602483418649626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212.00000000000009</v>
      </c>
      <c r="BZ114" s="13">
        <f>BY114*VLOOKUP('Données projet'!$B$12,Paramètres!$A$1:$I$89,3,0)*VLOOKUP('Données projet'!$B$12,Paramètres!$A$1:$I$89,5,0)</f>
        <v>221.58240000000012</v>
      </c>
      <c r="CA114" s="13">
        <f t="shared" si="93"/>
        <v>54.458668952651578</v>
      </c>
      <c r="CB114" s="20">
        <f t="shared" si="64"/>
        <v>480.77152842586838</v>
      </c>
      <c r="CC114" s="59">
        <f t="shared" si="65"/>
        <v>774.10486175920164</v>
      </c>
      <c r="CD114" s="59">
        <f ca="1">AVERAGE(OFFSET($CC$3,0,0,'Données projet'!$E$12+1,1))-AVERAGE(OFFSET($H$3,0,0,'Données projet'!$E$12+1,1))</f>
        <v>352.22281362023102</v>
      </c>
      <c r="CE114" s="59">
        <f t="shared" si="94"/>
        <v>310.2353747925161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14.370419701463534</v>
      </c>
      <c r="CL114" s="21">
        <f>EXP(-LN(2)/25)*CL113+(1-EXP(-LN(2)/25))/(LN(2)/25)*Calculateur!CG114*Calculateur!CI114*VLOOKUP('Données projet'!$B$12,Paramètres!$A$1:$I$89,3,0)*0.475*44/12</f>
        <v>12.335649112598675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26.70606881406221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5.0961538461538449</v>
      </c>
      <c r="CT114" s="12">
        <f>IF('Données projet'!$A$140&gt;35,CT113+CS114-DB113,IF(A114&lt;'Données projet'!$A$140,$CQ$205^A114,IF(A114='Données projet'!$A$140,'Données projet'!$B$140,CT113+CS114-DB113)))</f>
        <v>236.02564102564068</v>
      </c>
      <c r="CU114" s="17">
        <f>CT114*VLOOKUP('Données projet'!$B$13,Paramètres!$A$1:$I$89,3,0)*VLOOKUP('Données projet'!$B$13,Paramètres!$A$1:$I$89,5,0)</f>
        <v>213.5559999999997</v>
      </c>
      <c r="CV114" s="13">
        <f t="shared" si="95"/>
        <v>52.71190012556103</v>
      </c>
      <c r="CW114" s="20">
        <f t="shared" si="67"/>
        <v>463.74992605201828</v>
      </c>
      <c r="CX114" s="59">
        <f t="shared" si="68"/>
        <v>757.08325938535154</v>
      </c>
      <c r="CY114" s="59">
        <f ca="1">AVERAGE(OFFSET($CX$3,0,0,'Données projet'!$E$13+1,1))-AVERAGE(OFFSET($H$3,0,0,'Données projet'!$E$13+1,1))</f>
        <v>345.49688858037996</v>
      </c>
      <c r="CZ114" s="59">
        <f t="shared" si="96"/>
        <v>213.15872113755023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27.245019761415872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27.245019761415872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5.0961538461538449</v>
      </c>
      <c r="DO114" s="12">
        <f>IF('Données projet'!$A$166&gt;35,DO113+DN114-DW113,IF(A114&lt;'Données projet'!$A$166,$DL$205^A114,IF(A114='Données projet'!$A$166,'Données projet'!$B$166,DO113+DN114-DW113)))</f>
        <v>236.02564102564068</v>
      </c>
      <c r="DP114" s="17">
        <f>DO114*VLOOKUP('Données projet'!$B$14,Paramètres!$A$1:$I$89,3,0)*VLOOKUP('Données projet'!$B$14,Paramètres!$A$1:$I$89,5,0)</f>
        <v>239.32999999999967</v>
      </c>
      <c r="DQ114" s="13">
        <f t="shared" si="97"/>
        <v>58.295353272631196</v>
      </c>
      <c r="DR114" s="20">
        <f t="shared" si="70"/>
        <v>518.36415694983214</v>
      </c>
      <c r="DS114" s="59">
        <f t="shared" si="71"/>
        <v>811.69749028316551</v>
      </c>
      <c r="DT114" s="59">
        <f ca="1">AVERAGE(OFFSET($DS$3,0,0,'Données projet'!$E$14+1,1))-AVERAGE(OFFSET($H$3,0,0,'Données projet'!$E$14+1,1))</f>
        <v>382.26108489744581</v>
      </c>
      <c r="DU114" s="59">
        <f t="shared" si="98"/>
        <v>233.89423996158826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30.533211801586745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30.533211801586745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-2.4158453015843406E-13</v>
      </c>
      <c r="EK114" s="17">
        <f>EJ114*VLOOKUP('Données projet'!$B$15,Paramètres!$A$1:$I$89,3,0)*VLOOKUP('Données projet'!$B$15,Paramètres!$A$1:$I$89,5,0)</f>
        <v>-2.0351080820546486E-13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312.48716825299158</v>
      </c>
      <c r="EP114" s="59">
        <f t="shared" si="100"/>
        <v>258.68277822755357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146.02436099270648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146.02436099270648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5.0961538461538449</v>
      </c>
      <c r="FE114" s="12">
        <f>IF('Données projet'!$A$218&gt;35,FE113+FD114-FM113,IF(A114&lt;'Données projet'!$A$218,$FB$205^A114,IF(A114='Données projet'!$A$218,'Données projet'!$B$218,FE113+FD114-FM113)))</f>
        <v>236.02564102564068</v>
      </c>
      <c r="FF114" s="17">
        <f>FE114*VLOOKUP('Données projet'!$B$16,Paramètres!$A$1:$I$89,3,0)*VLOOKUP('Données projet'!$B$16,Paramètres!$A$1:$I$89,5,0)</f>
        <v>254.05799999999959</v>
      </c>
      <c r="FG114" s="13">
        <f t="shared" si="101"/>
        <v>61.454084485067781</v>
      </c>
      <c r="FH114" s="20">
        <f t="shared" si="76"/>
        <v>549.51688047815901</v>
      </c>
      <c r="FI114" s="59">
        <f t="shared" si="77"/>
        <v>842.85021381149227</v>
      </c>
      <c r="FJ114" s="59">
        <f ca="1">AVERAGE(OFFSET($FI$3,0,0,'Données projet'!$E$16+1,1))-AVERAGE(OFFSET($H$3,0,0,'Données projet'!$E$16+1,1))</f>
        <v>403.23110963096246</v>
      </c>
      <c r="FK114" s="59">
        <f t="shared" si="102"/>
        <v>245.72000393124898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32.412178681684395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32.412178681684395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5.0961538461538449</v>
      </c>
      <c r="FZ114" s="12">
        <f>IF('Données projet'!$A$244&gt;35,FZ113+FY114-GH113,IF(A114&lt;'Données projet'!$A$244,$FW$205^A114,IF(A114='Données projet'!$A$244,'Données projet'!$B$244,FZ113+FY114-GH113)))</f>
        <v>236.02564102564068</v>
      </c>
      <c r="GA114" s="17">
        <f>FZ114*VLOOKUP('Données projet'!$B$17,Paramètres!$A$1:$I$89,3,0)*VLOOKUP('Données projet'!$B$17,Paramètres!$A$1:$I$89,5,0)</f>
        <v>228.28399999999965</v>
      </c>
      <c r="GB114" s="13">
        <f t="shared" si="103"/>
        <v>55.911480648296354</v>
      </c>
      <c r="GC114" s="20">
        <f t="shared" si="79"/>
        <v>494.97379546244878</v>
      </c>
      <c r="GD114" s="59">
        <f t="shared" si="80"/>
        <v>788.30712879578209</v>
      </c>
      <c r="GE114" s="59">
        <f ca="1">AVERAGE(OFFSET($GD$3,0,0,'Données projet'!$E$17+1,1))-AVERAGE(OFFSET($H$3,0,0,'Données projet'!$E$17+1,1))</f>
        <v>336.2911850338175</v>
      </c>
      <c r="GF114" s="59">
        <f t="shared" si="104"/>
        <v>225.01415116995503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29.123986641513525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29.123986641513525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5.0961538461538449</v>
      </c>
      <c r="GU114" s="12">
        <f>IF('Données projet'!$A$270&gt;35,GU113+GT114-HC113,IF(A114&lt;'Données projet'!$A$270,$GR$205^A114,IF(A114='Données projet'!$A$270,'Données projet'!$B$270,GU113+GT114-HC113)))</f>
        <v>236.02564102564068</v>
      </c>
      <c r="GV114" s="17">
        <f>GU114*VLOOKUP('Données projet'!$B$18,Paramètres!$A$1:$I$89,3,0)*VLOOKUP('Données projet'!$B$18,Paramètres!$A$1:$I$89,5,0)</f>
        <v>158.32599999999977</v>
      </c>
      <c r="GW114" s="13">
        <f t="shared" si="105"/>
        <v>40.464709221612978</v>
      </c>
      <c r="GX114" s="20">
        <f t="shared" si="82"/>
        <v>346.22715189430886</v>
      </c>
      <c r="GY114" s="59">
        <f t="shared" si="83"/>
        <v>639.56048522764218</v>
      </c>
      <c r="GZ114" s="59">
        <f ca="1">AVERAGE(OFFSET($GY$3,0,0,'Données projet'!$E$18+1,1))-AVERAGE(OFFSET($H$3,0,0,'Données projet'!$E$18+1,1))</f>
        <v>266.37807768393191</v>
      </c>
      <c r="HA114" s="59">
        <f t="shared" si="106"/>
        <v>168.52019826233425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24.896311161293816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84"/>
        <v>24.896311161293816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266.99999999999983</v>
      </c>
      <c r="O115" s="13">
        <f>N115*VLOOKUP('Données projet'!$B$9,Paramètres!$A$1:$I$89,3,0)*VLOOKUP('Données projet'!$B$9,Paramètres!$A$1:$I$89,5,0)</f>
        <v>233.2511999999999</v>
      </c>
      <c r="P115" s="13">
        <f t="shared" si="87"/>
        <v>56.985091661350864</v>
      </c>
      <c r="Q115" s="20">
        <f t="shared" si="107"/>
        <v>505.49487464351915</v>
      </c>
      <c r="R115" s="59">
        <f t="shared" si="55"/>
        <v>798.82820797685247</v>
      </c>
      <c r="S115" s="59">
        <f ca="1">AVERAGE(OFFSET($R$3,0,0,'Données projet'!$E$9+1,1))-AVERAGE(OFFSET($H$3,0,0,'Données projet'!$E$9+1,1))</f>
        <v>324.86930206492627</v>
      </c>
      <c r="T115" s="59">
        <f t="shared" si="88"/>
        <v>317.03005098025352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16.774594644450669</v>
      </c>
      <c r="AA115" s="21">
        <f>EXP(-LN(2)/25)*AA114+(1-EXP(-LN(2)/25))/(LN(2)/25)*Calculateur!V115*Calculateur!X115*VLOOKUP('Données projet'!$B$9,Paramètres!$A$1:$I$89,3,0)*0.475*44/12</f>
        <v>3.7660680084266831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20.540662652877351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6.8461538461538511</v>
      </c>
      <c r="AI115" s="13">
        <f>IF('Données projet'!$A$62&gt;35,AI114+AH115-AQ114,IF(A115&lt;'Données projet'!$A$62,$AF$205^A115,IF(A115='Données projet'!$A$62,'Données projet'!$B$62,AI114+AH115-AQ114)))</f>
        <v>309.41666666666703</v>
      </c>
      <c r="AJ115" s="13">
        <f>AI115*VLOOKUP('Données projet'!$B$10,Paramètres!$A$1:$I$89,3,0)*VLOOKUP('Données projet'!$B$10,Paramètres!$A$1:$I$89,5,0)</f>
        <v>294.44090000000034</v>
      </c>
      <c r="AK115" s="13">
        <f t="shared" si="89"/>
        <v>70.009796990908342</v>
      </c>
      <c r="AL115" s="20">
        <f t="shared" si="58"/>
        <v>634.75163059249928</v>
      </c>
      <c r="AM115" s="59">
        <f t="shared" si="59"/>
        <v>928.08496392583265</v>
      </c>
      <c r="AN115" s="59">
        <f ca="1">AVERAGE(OFFSET($AM$3,0,0,'Données projet'!$E$10+1,1))-AVERAGE(OFFSET($H$3,0,0,'Données projet'!$E$10+1,1))</f>
        <v>401.81944956556271</v>
      </c>
      <c r="AO115" s="59">
        <f t="shared" si="90"/>
        <v>292.20785523952651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59.63012927937077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59.63012927937077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1.7053025658242404E-13</v>
      </c>
      <c r="BE115" s="13">
        <f>BD115*VLOOKUP('Données projet'!$B$11,Paramètres!$A$1:$I$89,3,0)*VLOOKUP('Données projet'!$B$11,Paramètres!$A$1:$I$89,5,0)</f>
        <v>1.3301360013429075E-13</v>
      </c>
      <c r="BF115" s="13">
        <f t="shared" si="91"/>
        <v>1.9329766731057041E-12</v>
      </c>
      <c r="BG115" s="20">
        <f t="shared" si="61"/>
        <v>3.5982663925596575E-12</v>
      </c>
      <c r="BH115" s="59">
        <f t="shared" si="62"/>
        <v>293.3333333333369</v>
      </c>
      <c r="BI115" s="59">
        <f ca="1">AVERAGE(OFFSET($BH$3,0,0,'Données projet'!$E$11+1,1))-AVERAGE(OFFSET($H$3,0,0,'Données projet'!$E$11+1,1))</f>
        <v>288.80569134263209</v>
      </c>
      <c r="BJ115" s="59">
        <f t="shared" si="92"/>
        <v>283.48738729114024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34.622955291607795</v>
      </c>
      <c r="BQ115" s="21">
        <f>EXP(-LN(2)/25)*BQ114+(1-EXP(-LN(2)/25))/(LN(2)/25)*Calculateur!BL115*Calculateur!BN115*VLOOKUP('Données projet'!$B$11,Paramètres!$A$1:$I$89,3,0)*0.475*44/12</f>
        <v>20.704918800214298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55.327874091822096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212.00000000000009</v>
      </c>
      <c r="BZ115" s="13">
        <f>BY115*VLOOKUP('Données projet'!$B$12,Paramètres!$A$1:$I$89,3,0)*VLOOKUP('Données projet'!$B$12,Paramètres!$A$1:$I$89,5,0)</f>
        <v>221.58240000000012</v>
      </c>
      <c r="CA115" s="13">
        <f t="shared" si="93"/>
        <v>54.458668952651578</v>
      </c>
      <c r="CB115" s="20">
        <f t="shared" si="64"/>
        <v>480.77152842586838</v>
      </c>
      <c r="CC115" s="59">
        <f t="shared" si="65"/>
        <v>774.10486175920164</v>
      </c>
      <c r="CD115" s="59">
        <f ca="1">AVERAGE(OFFSET($CC$3,0,0,'Données projet'!$E$12+1,1))-AVERAGE(OFFSET($H$3,0,0,'Données projet'!$E$12+1,1))</f>
        <v>352.22281362023102</v>
      </c>
      <c r="CE115" s="59">
        <f t="shared" si="94"/>
        <v>310.2353747925161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14.088624536208371</v>
      </c>
      <c r="CL115" s="21">
        <f>EXP(-LN(2)/25)*CL114+(1-EXP(-LN(2)/25))/(LN(2)/25)*Calculateur!CG115*Calculateur!CI115*VLOOKUP('Données projet'!$B$12,Paramètres!$A$1:$I$89,3,0)*0.475*44/12</f>
        <v>11.998330138911072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26.086954675119443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5.0961538461538449</v>
      </c>
      <c r="CT115" s="12">
        <f>IF('Données projet'!$A$140&gt;35,CT114+CS115-DB114,IF(A115&lt;'Données projet'!$A$140,$CQ$205^A115,IF(A115='Données projet'!$A$140,'Données projet'!$B$140,CT114+CS115-DB114)))</f>
        <v>241.12179487179452</v>
      </c>
      <c r="CU115" s="17">
        <f>CT115*VLOOKUP('Données projet'!$B$13,Paramètres!$A$1:$I$89,3,0)*VLOOKUP('Données projet'!$B$13,Paramètres!$A$1:$I$89,5,0)</f>
        <v>218.16699999999966</v>
      </c>
      <c r="CV115" s="13">
        <f t="shared" si="95"/>
        <v>53.716298439743952</v>
      </c>
      <c r="CW115" s="20">
        <f t="shared" si="67"/>
        <v>473.53007811588674</v>
      </c>
      <c r="CX115" s="59">
        <f t="shared" si="68"/>
        <v>766.86341144922005</v>
      </c>
      <c r="CY115" s="59">
        <f ca="1">AVERAGE(OFFSET($CX$3,0,0,'Données projet'!$E$13+1,1))-AVERAGE(OFFSET($H$3,0,0,'Données projet'!$E$13+1,1))</f>
        <v>345.49688858037996</v>
      </c>
      <c r="CZ115" s="59">
        <f t="shared" si="96"/>
        <v>213.15872113755023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26.710761541715687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26.710761541715687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5.0961538461538449</v>
      </c>
      <c r="DO115" s="12">
        <f>IF('Données projet'!$A$166&gt;35,DO114+DN115-DW114,IF(A115&lt;'Données projet'!$A$166,$DL$205^A115,IF(A115='Données projet'!$A$166,'Données projet'!$B$166,DO114+DN115-DW114)))</f>
        <v>241.12179487179452</v>
      </c>
      <c r="DP115" s="17">
        <f>DO115*VLOOKUP('Données projet'!$B$14,Paramètres!$A$1:$I$89,3,0)*VLOOKUP('Données projet'!$B$14,Paramètres!$A$1:$I$89,5,0)</f>
        <v>244.49749999999963</v>
      </c>
      <c r="DQ115" s="13">
        <f t="shared" si="97"/>
        <v>59.406141432653072</v>
      </c>
      <c r="DR115" s="20">
        <f t="shared" si="70"/>
        <v>529.29884216187008</v>
      </c>
      <c r="DS115" s="59">
        <f t="shared" si="71"/>
        <v>822.63217549520346</v>
      </c>
      <c r="DT115" s="59">
        <f ca="1">AVERAGE(OFFSET($DS$3,0,0,'Données projet'!$E$14+1,1))-AVERAGE(OFFSET($H$3,0,0,'Données projet'!$E$14+1,1))</f>
        <v>382.26108489744581</v>
      </c>
      <c r="DU115" s="59">
        <f t="shared" si="98"/>
        <v>233.89423996158826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29.934474141577919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29.934474141577919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-2.4158453015843406E-13</v>
      </c>
      <c r="EK115" s="17">
        <f>EJ115*VLOOKUP('Données projet'!$B$15,Paramètres!$A$1:$I$89,3,0)*VLOOKUP('Données projet'!$B$15,Paramètres!$A$1:$I$89,5,0)</f>
        <v>-2.0351080820546486E-13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312.48716825299158</v>
      </c>
      <c r="EP115" s="59">
        <f t="shared" si="100"/>
        <v>258.68277822755357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143.16091233970516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143.16091233970516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5.0961538461538449</v>
      </c>
      <c r="FE115" s="12">
        <f>IF('Données projet'!$A$218&gt;35,FE114+FD115-FM114,IF(A115&lt;'Données projet'!$A$218,$FB$205^A115,IF(A115='Données projet'!$A$218,'Données projet'!$B$218,FE114+FD115-FM114)))</f>
        <v>241.12179487179452</v>
      </c>
      <c r="FF115" s="17">
        <f>FE115*VLOOKUP('Données projet'!$B$16,Paramètres!$A$1:$I$89,3,0)*VLOOKUP('Données projet'!$B$16,Paramètres!$A$1:$I$89,5,0)</f>
        <v>259.54349999999965</v>
      </c>
      <c r="FG115" s="13">
        <f t="shared" si="101"/>
        <v>62.625060653815844</v>
      </c>
      <c r="FH115" s="20">
        <f t="shared" si="76"/>
        <v>561.11024313872872</v>
      </c>
      <c r="FI115" s="59">
        <f t="shared" si="77"/>
        <v>854.44357647206198</v>
      </c>
      <c r="FJ115" s="59">
        <f ca="1">AVERAGE(OFFSET($FI$3,0,0,'Données projet'!$E$16+1,1))-AVERAGE(OFFSET($H$3,0,0,'Données projet'!$E$16+1,1))</f>
        <v>403.23110963096246</v>
      </c>
      <c r="FK115" s="59">
        <f t="shared" si="102"/>
        <v>245.72000393124898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31.776595627213485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31.776595627213485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5.0961538461538449</v>
      </c>
      <c r="FZ115" s="12">
        <f>IF('Données projet'!$A$244&gt;35,FZ114+FY115-GH114,IF(A115&lt;'Données projet'!$A$244,$FW$205^A115,IF(A115='Données projet'!$A$244,'Données projet'!$B$244,FZ114+FY115-GH114)))</f>
        <v>241.12179487179452</v>
      </c>
      <c r="GA115" s="17">
        <f>FZ115*VLOOKUP('Données projet'!$B$17,Paramètres!$A$1:$I$89,3,0)*VLOOKUP('Données projet'!$B$17,Paramètres!$A$1:$I$89,5,0)</f>
        <v>233.21299999999965</v>
      </c>
      <c r="GB115" s="13">
        <f t="shared" si="103"/>
        <v>56.976845333933838</v>
      </c>
      <c r="GC115" s="20">
        <f t="shared" si="79"/>
        <v>505.41398062326749</v>
      </c>
      <c r="GD115" s="59">
        <f t="shared" si="80"/>
        <v>798.74731395660081</v>
      </c>
      <c r="GE115" s="59">
        <f ca="1">AVERAGE(OFFSET($GD$3,0,0,'Données projet'!$E$17+1,1))-AVERAGE(OFFSET($H$3,0,0,'Données projet'!$E$17+1,1))</f>
        <v>336.2911850338175</v>
      </c>
      <c r="GF115" s="59">
        <f t="shared" si="104"/>
        <v>225.01415116995503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28.55288302735126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28.55288302735126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5.0961538461538449</v>
      </c>
      <c r="GU115" s="12">
        <f>IF('Données projet'!$A$270&gt;35,GU114+GT115-HC114,IF(A115&lt;'Données projet'!$A$270,$GR$205^A115,IF(A115='Données projet'!$A$270,'Données projet'!$B$270,GU114+GT115-HC114)))</f>
        <v>241.12179487179452</v>
      </c>
      <c r="GV115" s="17">
        <f>GU115*VLOOKUP('Données projet'!$B$18,Paramètres!$A$1:$I$89,3,0)*VLOOKUP('Données projet'!$B$18,Paramètres!$A$1:$I$89,5,0)</f>
        <v>161.74449999999976</v>
      </c>
      <c r="GW115" s="13">
        <f t="shared" si="105"/>
        <v>41.235743573045575</v>
      </c>
      <c r="GX115" s="20">
        <f t="shared" si="82"/>
        <v>353.52392422305394</v>
      </c>
      <c r="GY115" s="59">
        <f t="shared" si="83"/>
        <v>646.85725755638725</v>
      </c>
      <c r="GZ115" s="59">
        <f ca="1">AVERAGE(OFFSET($GY$3,0,0,'Données projet'!$E$18+1,1))-AVERAGE(OFFSET($H$3,0,0,'Données projet'!$E$18+1,1))</f>
        <v>266.37807768393191</v>
      </c>
      <c r="HA115" s="59">
        <f t="shared" si="106"/>
        <v>168.52019826233425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24.408109684671235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84"/>
        <v>24.408109684671235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266.99999999999983</v>
      </c>
      <c r="O116" s="13">
        <f>N116*VLOOKUP('Données projet'!$B$9,Paramètres!$A$1:$I$89,3,0)*VLOOKUP('Données projet'!$B$9,Paramètres!$A$1:$I$89,5,0)</f>
        <v>233.2511999999999</v>
      </c>
      <c r="P116" s="13">
        <f t="shared" si="87"/>
        <v>56.985091661350864</v>
      </c>
      <c r="Q116" s="20">
        <f t="shared" si="107"/>
        <v>505.49487464351915</v>
      </c>
      <c r="R116" s="59">
        <f t="shared" si="55"/>
        <v>798.82820797685247</v>
      </c>
      <c r="S116" s="59">
        <f ca="1">AVERAGE(OFFSET($R$3,0,0,'Données projet'!$E$9+1,1))-AVERAGE(OFFSET($H$3,0,0,'Données projet'!$E$9+1,1))</f>
        <v>324.86930206492627</v>
      </c>
      <c r="T116" s="59">
        <f t="shared" si="88"/>
        <v>317.03005098025352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16.445655074965448</v>
      </c>
      <c r="AA116" s="21">
        <f>EXP(-LN(2)/25)*AA115+(1-EXP(-LN(2)/25))/(LN(2)/25)*Calculateur!V116*Calculateur!X116*VLOOKUP('Données projet'!$B$9,Paramètres!$A$1:$I$89,3,0)*0.475*44/12</f>
        <v>3.6630846806873465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20.108739755652795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6.8461538461538511</v>
      </c>
      <c r="AI116" s="13">
        <f>IF('Données projet'!$A$62&gt;35,AI115+AH116-AQ115,IF(A116&lt;'Données projet'!$A$62,$AF$205^A116,IF(A116='Données projet'!$A$62,'Données projet'!$B$62,AI115+AH116-AQ115)))</f>
        <v>316.26282051282089</v>
      </c>
      <c r="AJ116" s="13">
        <f>AI116*VLOOKUP('Données projet'!$B$10,Paramètres!$A$1:$I$89,3,0)*VLOOKUP('Données projet'!$B$10,Paramètres!$A$1:$I$89,5,0)</f>
        <v>300.95570000000038</v>
      </c>
      <c r="AK116" s="13">
        <f t="shared" si="89"/>
        <v>71.376777802176036</v>
      </c>
      <c r="AL116" s="20">
        <f t="shared" si="58"/>
        <v>648.47906550545724</v>
      </c>
      <c r="AM116" s="59">
        <f t="shared" si="59"/>
        <v>941.81239883879061</v>
      </c>
      <c r="AN116" s="59">
        <f ca="1">AVERAGE(OFFSET($AM$3,0,0,'Données projet'!$E$10+1,1))-AVERAGE(OFFSET($H$3,0,0,'Données projet'!$E$10+1,1))</f>
        <v>401.81944956556271</v>
      </c>
      <c r="AO116" s="59">
        <f t="shared" si="90"/>
        <v>292.20785523952651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58.46081881498985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58.46081881498985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1.7053025658242404E-13</v>
      </c>
      <c r="BE116" s="13">
        <f>BD116*VLOOKUP('Données projet'!$B$11,Paramètres!$A$1:$I$89,3,0)*VLOOKUP('Données projet'!$B$11,Paramètres!$A$1:$I$89,5,0)</f>
        <v>1.3301360013429075E-13</v>
      </c>
      <c r="BF116" s="13">
        <f t="shared" si="91"/>
        <v>1.9329766731057041E-12</v>
      </c>
      <c r="BG116" s="20">
        <f t="shared" si="61"/>
        <v>3.5982663925596575E-12</v>
      </c>
      <c r="BH116" s="59">
        <f t="shared" si="62"/>
        <v>293.3333333333369</v>
      </c>
      <c r="BI116" s="59">
        <f ca="1">AVERAGE(OFFSET($BH$3,0,0,'Données projet'!$E$11+1,1))-AVERAGE(OFFSET($H$3,0,0,'Données projet'!$E$11+1,1))</f>
        <v>288.80569134263209</v>
      </c>
      <c r="BJ116" s="59">
        <f t="shared" si="92"/>
        <v>283.48738729114024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33.94402025625687</v>
      </c>
      <c r="BQ116" s="21">
        <f>EXP(-LN(2)/25)*BQ115+(1-EXP(-LN(2)/25))/(LN(2)/25)*Calculateur!BL116*Calculateur!BN116*VLOOKUP('Données projet'!$B$11,Paramètres!$A$1:$I$89,3,0)*0.475*44/12</f>
        <v>20.138741706798079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54.082761963054949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212.00000000000009</v>
      </c>
      <c r="BZ116" s="13">
        <f>BY116*VLOOKUP('Données projet'!$B$12,Paramètres!$A$1:$I$89,3,0)*VLOOKUP('Données projet'!$B$12,Paramètres!$A$1:$I$89,5,0)</f>
        <v>221.58240000000012</v>
      </c>
      <c r="CA116" s="13">
        <f t="shared" si="93"/>
        <v>54.458668952651578</v>
      </c>
      <c r="CB116" s="20">
        <f t="shared" si="64"/>
        <v>480.77152842586838</v>
      </c>
      <c r="CC116" s="59">
        <f t="shared" si="65"/>
        <v>774.10486175920164</v>
      </c>
      <c r="CD116" s="59">
        <f ca="1">AVERAGE(OFFSET($CC$3,0,0,'Données projet'!$E$12+1,1))-AVERAGE(OFFSET($H$3,0,0,'Données projet'!$E$12+1,1))</f>
        <v>352.22281362023102</v>
      </c>
      <c r="CE116" s="59">
        <f t="shared" si="94"/>
        <v>310.2353747925161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13.812355202265783</v>
      </c>
      <c r="CL116" s="21">
        <f>EXP(-LN(2)/25)*CL115+(1-EXP(-LN(2)/25))/(LN(2)/25)*Calculateur!CG116*Calculateur!CI116*VLOOKUP('Données projet'!$B$12,Paramètres!$A$1:$I$89,3,0)*0.475*44/12</f>
        <v>11.67023517029779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25.482590372563571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246.21794871794873</v>
      </c>
      <c r="CR116" s="12">
        <f>VLOOKUP(A116,'Données projet'!$A$139:$I$159,9,0)</f>
        <v>5.0961538461538449</v>
      </c>
      <c r="CS116" s="12">
        <f t="array" ref="CS116">INDEX(CR:CR,MIN(IF(ISNUMBER(CR116:CR312),ROW(CR116:CR312),"")))</f>
        <v>5.0961538461538449</v>
      </c>
      <c r="CT116" s="12">
        <f>IF('Données projet'!$A$140&gt;35,CT115+CS116-DB115,IF(A116&lt;'Données projet'!$A$140,$CQ$205^A116,IF(A116='Données projet'!$A$140,'Données projet'!$B$140,CT115+CS116-DB115)))</f>
        <v>246.21794871794836</v>
      </c>
      <c r="CU116" s="17">
        <f>CT116*VLOOKUP('Données projet'!$B$13,Paramètres!$A$1:$I$89,3,0)*VLOOKUP('Données projet'!$B$13,Paramètres!$A$1:$I$89,5,0)</f>
        <v>222.77799999999965</v>
      </c>
      <c r="CV116" s="13">
        <f t="shared" si="95"/>
        <v>54.718228640620396</v>
      </c>
      <c r="CW116" s="20">
        <f t="shared" si="67"/>
        <v>483.30593154907984</v>
      </c>
      <c r="CX116" s="59">
        <f t="shared" si="68"/>
        <v>776.63926488241316</v>
      </c>
      <c r="CY116" s="59">
        <f ca="1">AVERAGE(OFFSET($CX$3,0,0,'Données projet'!$E$13+1,1))-AVERAGE(OFFSET($H$3,0,0,'Données projet'!$E$13+1,1))</f>
        <v>345.49688858037996</v>
      </c>
      <c r="CZ116" s="59">
        <f t="shared" si="96"/>
        <v>213.15872113755023</v>
      </c>
      <c r="DA116" s="15">
        <f>IF(ISNA(VLOOKUP(A116,'Données projet'!$A$139:$I$159,3,0)),0,VLOOKUP(A116,'Données projet'!$A$139:$I$159,3,0))</f>
        <v>9</v>
      </c>
      <c r="DB116" s="15">
        <f>IF(ISNA(VLOOKUP(A116,'Données projet'!$A$139:$I$159,4,0)),0,VLOOKUP(A116,'Données projet'!$A$139:$I$159,4,0))</f>
        <v>31.602564102564099</v>
      </c>
      <c r="DC116" s="16">
        <f>IF(ISNA(VLOOKUP(A116,'Données projet'!$A$139:$I$159,5,0)),0%,VLOOKUP(A116,'Données projet'!$A$139:$I$159,5,0)*VLOOKUP('Données projet'!$B$13,Paramètres!$A$1:$I$89,7,0))</f>
        <v>0.30099999999999999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35.701535629580405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35.701535629580405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246.21794871794873</v>
      </c>
      <c r="DM116" s="12">
        <f>VLOOKUP(A116,'Données projet'!$A$165:$I$185,9,0)</f>
        <v>5.0961538461538449</v>
      </c>
      <c r="DN116" s="12">
        <f t="array" ref="DN116">INDEX(DM:DM,MIN(IF(ISNUMBER(DM116:DM312),ROW(DM116:DM312),"")))</f>
        <v>5.0961538461538449</v>
      </c>
      <c r="DO116" s="12">
        <f>IF('Données projet'!$A$166&gt;35,DO115+DN116-DW115,IF(A116&lt;'Données projet'!$A$166,$DL$205^A116,IF(A116='Données projet'!$A$166,'Données projet'!$B$166,DO115+DN116-DW115)))</f>
        <v>246.21794871794836</v>
      </c>
      <c r="DP116" s="17">
        <f>DO116*VLOOKUP('Données projet'!$B$14,Paramètres!$A$1:$I$89,3,0)*VLOOKUP('Données projet'!$B$14,Paramètres!$A$1:$I$89,5,0)</f>
        <v>249.66499999999965</v>
      </c>
      <c r="DQ116" s="13">
        <f t="shared" si="97"/>
        <v>60.514200047035814</v>
      </c>
      <c r="DR116" s="20">
        <f t="shared" si="70"/>
        <v>540.22877341525339</v>
      </c>
      <c r="DS116" s="59">
        <f t="shared" si="71"/>
        <v>833.56210674858676</v>
      </c>
      <c r="DT116" s="59">
        <f ca="1">AVERAGE(OFFSET($DS$3,0,0,'Données projet'!$E$14+1,1))-AVERAGE(OFFSET($H$3,0,0,'Données projet'!$E$14+1,1))</f>
        <v>382.26108489744581</v>
      </c>
      <c r="DU116" s="59">
        <f t="shared" si="98"/>
        <v>233.89423996158826</v>
      </c>
      <c r="DV116" s="15">
        <f>IF(ISNA(VLOOKUP(A116,'Données projet'!$A$165:$I$185,3,0)),0,VLOOKUP(A116,'Données projet'!$A$165:$I$185,3,0))</f>
        <v>9</v>
      </c>
      <c r="DW116" s="15">
        <f>IF(ISNA(VLOOKUP(A116,'Données projet'!$A$165:$I$185,4,0)),0,VLOOKUP(A116,'Données projet'!$A$165:$I$185,4,0))</f>
        <v>31.602564102564099</v>
      </c>
      <c r="DX116" s="16">
        <f>IF(ISNA(VLOOKUP(A116,'Données projet'!$A$165:$I$185,5,0)),0%,VLOOKUP(A116,'Données projet'!$A$165:$I$185,5,0)*VLOOKUP('Données projet'!$B$14,Paramètres!$A$1:$I$89,7,0))</f>
        <v>0.30099999999999999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40.010341653840101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40.010341653840101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-2.4158453015843406E-13</v>
      </c>
      <c r="EK116" s="17">
        <f>EJ116*VLOOKUP('Données projet'!$B$15,Paramètres!$A$1:$I$89,3,0)*VLOOKUP('Données projet'!$B$15,Paramètres!$A$1:$I$89,5,0)</f>
        <v>-2.0351080820546486E-13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312.48716825299158</v>
      </c>
      <c r="EP116" s="59">
        <f t="shared" si="100"/>
        <v>258.68277822755357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140.35361416825799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140.35361416825799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>
        <f>VLOOKUP(A116,'Données projet'!$A$217:$I$237,2,0)</f>
        <v>246.21794871794873</v>
      </c>
      <c r="FC116" s="12">
        <f>VLOOKUP(A116,'Données projet'!$A$217:$I$237,9,0)</f>
        <v>5.0961538461538449</v>
      </c>
      <c r="FD116" s="12">
        <f t="array" ref="FD116">INDEX(FC:FC,MIN(IF(ISNUMBER(FC116:FC312),ROW(FC116:FC312),"")))</f>
        <v>5.0961538461538449</v>
      </c>
      <c r="FE116" s="12">
        <f>IF('Données projet'!$A$218&gt;35,FE115+FD116-FM115,IF(A116&lt;'Données projet'!$A$218,$FB$205^A116,IF(A116='Données projet'!$A$218,'Données projet'!$B$218,FE115+FD116-FM115)))</f>
        <v>246.21794871794836</v>
      </c>
      <c r="FF116" s="17">
        <f>FE116*VLOOKUP('Données projet'!$B$16,Paramètres!$A$1:$I$89,3,0)*VLOOKUP('Données projet'!$B$16,Paramètres!$A$1:$I$89,5,0)</f>
        <v>265.0289999999996</v>
      </c>
      <c r="FG116" s="13">
        <f t="shared" si="101"/>
        <v>63.793159376611477</v>
      </c>
      <c r="FH116" s="20">
        <f t="shared" si="76"/>
        <v>572.6985942475975</v>
      </c>
      <c r="FI116" s="59">
        <f t="shared" si="77"/>
        <v>866.03192758093087</v>
      </c>
      <c r="FJ116" s="59">
        <f ca="1">AVERAGE(OFFSET($FI$3,0,0,'Données projet'!$E$16+1,1))-AVERAGE(OFFSET($H$3,0,0,'Données projet'!$E$16+1,1))</f>
        <v>403.23110963096246</v>
      </c>
      <c r="FK116" s="59">
        <f t="shared" si="102"/>
        <v>245.72000393124898</v>
      </c>
      <c r="FL116" s="15">
        <f>IF(ISNA(VLOOKUP(A116,'Données projet'!$A$217:$I$237,3,0)),0,VLOOKUP(A116,'Données projet'!$A$217:$I$237,3,0))</f>
        <v>9</v>
      </c>
      <c r="FM116" s="15">
        <f>IF(ISNA(VLOOKUP(A116,'Données projet'!$A$217:$I$237,4,0)),0,VLOOKUP(A116,'Données projet'!$A$217:$I$237,4,0))</f>
        <v>31.602564102564099</v>
      </c>
      <c r="FN116" s="16">
        <f>IF(ISNA(VLOOKUP(A116,'Données projet'!$A$217:$I$237,5,0)),0%,VLOOKUP(A116,'Données projet'!$A$217:$I$237,5,0)*VLOOKUP('Données projet'!$B$16,Paramètres!$A$1:$I$89,7,0))</f>
        <v>0.30099999999999999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42.472516524845645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42.472516524845645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>
        <f>VLOOKUP(A116,'Données projet'!$A$243:$I$263,2,0)</f>
        <v>246.21794871794873</v>
      </c>
      <c r="FX116" s="12">
        <f>VLOOKUP(A116,'Données projet'!$A$243:$I$263,9,0)</f>
        <v>5.0961538461538449</v>
      </c>
      <c r="FY116" s="12">
        <f t="array" ref="FY116">INDEX(FX:FX,MIN(IF(ISNUMBER(FX116:FX312),ROW(FX116:FX312),"")))</f>
        <v>5.0961538461538449</v>
      </c>
      <c r="FZ116" s="12">
        <f>IF('Données projet'!$A$244&gt;35,FZ115+FY116-GH115,IF(A116&lt;'Données projet'!$A$244,$FW$205^A116,IF(A116='Données projet'!$A$244,'Données projet'!$B$244,FZ115+FY116-GH115)))</f>
        <v>246.21794871794836</v>
      </c>
      <c r="GA116" s="17">
        <f>FZ116*VLOOKUP('Données projet'!$B$17,Paramètres!$A$1:$I$89,3,0)*VLOOKUP('Données projet'!$B$17,Paramètres!$A$1:$I$89,5,0)</f>
        <v>238.14199999999968</v>
      </c>
      <c r="GB116" s="13">
        <f t="shared" si="103"/>
        <v>58.039592093276745</v>
      </c>
      <c r="GC116" s="20">
        <f t="shared" si="79"/>
        <v>515.84960622912308</v>
      </c>
      <c r="GD116" s="59">
        <f t="shared" si="80"/>
        <v>809.18293956245634</v>
      </c>
      <c r="GE116" s="59">
        <f ca="1">AVERAGE(OFFSET($GD$3,0,0,'Données projet'!$E$17+1,1))-AVERAGE(OFFSET($H$3,0,0,'Données projet'!$E$17+1,1))</f>
        <v>336.2911850338175</v>
      </c>
      <c r="GF116" s="59">
        <f t="shared" si="104"/>
        <v>225.01415116995503</v>
      </c>
      <c r="GG116" s="15">
        <f>IF(ISNA(VLOOKUP(A116,'Données projet'!$A$243:$I$263,3,0)),0,VLOOKUP(A116,'Données projet'!$A$243:$I$263,3,0))</f>
        <v>9</v>
      </c>
      <c r="GH116" s="15">
        <f>IF(ISNA(VLOOKUP(A116,'Données projet'!$A$243:$I$263,4,0)),0,VLOOKUP(A116,'Données projet'!$A$243:$I$263,4,0))</f>
        <v>31.602564102564099</v>
      </c>
      <c r="GI116" s="16">
        <f>IF(ISNA(VLOOKUP(A116,'Données projet'!$A$243:$I$263,5,0)),0%,VLOOKUP(A116,'Données projet'!$A$243:$I$263,5,0)*VLOOKUP('Données projet'!$B$17,Paramètres!$A$1:$I$89,7,0))</f>
        <v>0.30099999999999999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38.163710500585957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38.163710500585957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>
        <f>VLOOKUP(A116,'Données projet'!$A$269:$I$289,2,0)</f>
        <v>246.21794871794873</v>
      </c>
      <c r="GS116" s="12">
        <f>VLOOKUP(A116,'Données projet'!$A$269:$I$289,9,0)</f>
        <v>5.0961538461538449</v>
      </c>
      <c r="GT116" s="12">
        <f t="array" ref="GT116">INDEX(GS:GS,MIN(IF(ISNUMBER(GS116:GS312),ROW(GS116:GS312),"")))</f>
        <v>5.0961538461538449</v>
      </c>
      <c r="GU116" s="12">
        <f>IF('Données projet'!$A$270&gt;35,GU115+GT116-HC115,IF(A116&lt;'Données projet'!$A$270,$GR$205^A116,IF(A116='Données projet'!$A$270,'Données projet'!$B$270,GU115+GT116-HC115)))</f>
        <v>246.21794871794836</v>
      </c>
      <c r="GV116" s="17">
        <f>GU116*VLOOKUP('Données projet'!$B$18,Paramètres!$A$1:$I$89,3,0)*VLOOKUP('Données projet'!$B$18,Paramètres!$A$1:$I$89,5,0)</f>
        <v>165.16299999999976</v>
      </c>
      <c r="GW116" s="13">
        <f t="shared" si="105"/>
        <v>42.004883257675459</v>
      </c>
      <c r="GX116" s="20">
        <f t="shared" si="82"/>
        <v>360.81739667378429</v>
      </c>
      <c r="GY116" s="59">
        <f t="shared" si="83"/>
        <v>654.15073000711755</v>
      </c>
      <c r="GZ116" s="59">
        <f ca="1">AVERAGE(OFFSET($GY$3,0,0,'Données projet'!$E$18+1,1))-AVERAGE(OFFSET($H$3,0,0,'Données projet'!$E$18+1,1))</f>
        <v>266.37807768393191</v>
      </c>
      <c r="HA116" s="59">
        <f t="shared" si="106"/>
        <v>168.52019826233425</v>
      </c>
      <c r="HB116" s="15">
        <f>IF(ISNA(VLOOKUP(A116,'Données projet'!$A$269:$I$289,3,0)),0,VLOOKUP(A116,'Données projet'!$A$269:$I$289,3,0))</f>
        <v>9</v>
      </c>
      <c r="HC116" s="15">
        <f>IF(ISNA(VLOOKUP(A116,'Données projet'!$A$269:$I$289,4,0)),0,VLOOKUP(A116,'Données projet'!$A$269:$I$289,4,0))</f>
        <v>31.602564102564099</v>
      </c>
      <c r="HD116" s="16">
        <f>IF(ISNA(VLOOKUP(A116,'Données projet'!$A$269:$I$289,5,0)),0%,VLOOKUP(A116,'Données projet'!$A$269:$I$289,5,0)*VLOOKUP('Données projet'!$B$18,Paramètres!$A$1:$I$89,7,0))</f>
        <v>0.371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32.623817040823475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84"/>
        <v>32.623817040823475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266.99999999999983</v>
      </c>
      <c r="O117" s="13">
        <f>N117*VLOOKUP('Données projet'!$B$9,Paramètres!$A$1:$I$89,3,0)*VLOOKUP('Données projet'!$B$9,Paramètres!$A$1:$I$89,5,0)</f>
        <v>233.2511999999999</v>
      </c>
      <c r="P117" s="13">
        <f t="shared" si="87"/>
        <v>56.985091661350864</v>
      </c>
      <c r="Q117" s="20">
        <f t="shared" si="107"/>
        <v>505.49487464351915</v>
      </c>
      <c r="R117" s="59">
        <f t="shared" si="55"/>
        <v>798.82820797685247</v>
      </c>
      <c r="S117" s="59">
        <f ca="1">AVERAGE(OFFSET($R$3,0,0,'Données projet'!$E$9+1,1))-AVERAGE(OFFSET($H$3,0,0,'Données projet'!$E$9+1,1))</f>
        <v>324.86930206492627</v>
      </c>
      <c r="T117" s="59">
        <f t="shared" si="88"/>
        <v>317.03005098025352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16.123165809804505</v>
      </c>
      <c r="AA117" s="21">
        <f>EXP(-LN(2)/25)*AA116+(1-EXP(-LN(2)/25))/(LN(2)/25)*Calculateur!V117*Calculateur!X117*VLOOKUP('Données projet'!$B$9,Paramètres!$A$1:$I$89,3,0)*0.475*44/12</f>
        <v>3.5629174374606998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19.686083247265206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6.8461538461538511</v>
      </c>
      <c r="AI117" s="13">
        <f>IF('Données projet'!$A$62&gt;35,AI116+AH117-AQ116,IF(A117&lt;'Données projet'!$A$62,$AF$205^A117,IF(A117='Données projet'!$A$62,'Données projet'!$B$62,AI116+AH117-AQ116)))</f>
        <v>323.10897435897476</v>
      </c>
      <c r="AJ117" s="13">
        <f>AI117*VLOOKUP('Données projet'!$B$10,Paramètres!$A$1:$I$89,3,0)*VLOOKUP('Données projet'!$B$10,Paramètres!$A$1:$I$89,5,0)</f>
        <v>307.47050000000041</v>
      </c>
      <c r="AK117" s="13">
        <f t="shared" si="89"/>
        <v>72.740318262620519</v>
      </c>
      <c r="AL117" s="20">
        <f t="shared" si="58"/>
        <v>662.2005084740648</v>
      </c>
      <c r="AM117" s="59">
        <f t="shared" si="59"/>
        <v>955.53384180739818</v>
      </c>
      <c r="AN117" s="59">
        <f ca="1">AVERAGE(OFFSET($AM$3,0,0,'Données projet'!$E$10+1,1))-AVERAGE(OFFSET($H$3,0,0,'Données projet'!$E$10+1,1))</f>
        <v>401.81944956556271</v>
      </c>
      <c r="AO117" s="59">
        <f t="shared" si="90"/>
        <v>292.20785523952651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57.314437815606482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57.314437815606482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1.7053025658242404E-13</v>
      </c>
      <c r="BE117" s="13">
        <f>BD117*VLOOKUP('Données projet'!$B$11,Paramètres!$A$1:$I$89,3,0)*VLOOKUP('Données projet'!$B$11,Paramètres!$A$1:$I$89,5,0)</f>
        <v>1.3301360013429075E-13</v>
      </c>
      <c r="BF117" s="13">
        <f t="shared" si="91"/>
        <v>1.9329766731057041E-12</v>
      </c>
      <c r="BG117" s="20">
        <f t="shared" si="61"/>
        <v>3.5982663925596575E-12</v>
      </c>
      <c r="BH117" s="59">
        <f t="shared" si="62"/>
        <v>293.3333333333369</v>
      </c>
      <c r="BI117" s="59">
        <f ca="1">AVERAGE(OFFSET($BH$3,0,0,'Données projet'!$E$11+1,1))-AVERAGE(OFFSET($H$3,0,0,'Données projet'!$E$11+1,1))</f>
        <v>288.80569134263209</v>
      </c>
      <c r="BJ117" s="59">
        <f t="shared" si="92"/>
        <v>283.48738729114024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33.278398722839697</v>
      </c>
      <c r="BQ117" s="21">
        <f>EXP(-LN(2)/25)*BQ116+(1-EXP(-LN(2)/25))/(LN(2)/25)*Calculateur!BL117*Calculateur!BN117*VLOOKUP('Données projet'!$B$11,Paramètres!$A$1:$I$89,3,0)*0.475*44/12</f>
        <v>19.588046755775288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52.866445478614985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212.00000000000009</v>
      </c>
      <c r="BZ117" s="13">
        <f>BY117*VLOOKUP('Données projet'!$B$12,Paramètres!$A$1:$I$89,3,0)*VLOOKUP('Données projet'!$B$12,Paramètres!$A$1:$I$89,5,0)</f>
        <v>221.58240000000012</v>
      </c>
      <c r="CA117" s="13">
        <f t="shared" si="93"/>
        <v>54.458668952651578</v>
      </c>
      <c r="CB117" s="20">
        <f t="shared" si="64"/>
        <v>480.77152842586838</v>
      </c>
      <c r="CC117" s="59">
        <f t="shared" si="65"/>
        <v>774.10486175920164</v>
      </c>
      <c r="CD117" s="59">
        <f ca="1">AVERAGE(OFFSET($CC$3,0,0,'Données projet'!$E$12+1,1))-AVERAGE(OFFSET($H$3,0,0,'Données projet'!$E$12+1,1))</f>
        <v>352.22281362023102</v>
      </c>
      <c r="CE117" s="59">
        <f t="shared" si="94"/>
        <v>310.2353747925161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13.541503341454154</v>
      </c>
      <c r="CL117" s="21">
        <f>EXP(-LN(2)/25)*CL116+(1-EXP(-LN(2)/25))/(LN(2)/25)*Calculateur!CG117*Calculateur!CI117*VLOOKUP('Données projet'!$B$12,Paramètres!$A$1:$I$89,3,0)*0.475*44/12</f>
        <v>11.351111975855002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24.892615317309158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5.3066239316239274</v>
      </c>
      <c r="CT117" s="12">
        <f>IF('Données projet'!$A$140&gt;35,CT116+CS117-DB116,IF(A117&lt;'Données projet'!$A$140,$CQ$205^A117,IF(A117='Données projet'!$A$140,'Données projet'!$B$140,CT116+CS117-DB116)))</f>
        <v>219.9220085470082</v>
      </c>
      <c r="CU117" s="17">
        <f>CT117*VLOOKUP('Données projet'!$B$13,Paramètres!$A$1:$I$89,3,0)*VLOOKUP('Données projet'!$B$13,Paramètres!$A$1:$I$89,5,0)</f>
        <v>198.98543333333302</v>
      </c>
      <c r="CV117" s="13">
        <f t="shared" si="95"/>
        <v>49.521130725595967</v>
      </c>
      <c r="CW117" s="20">
        <f t="shared" si="67"/>
        <v>432.8155990693013</v>
      </c>
      <c r="CX117" s="59">
        <f t="shared" si="68"/>
        <v>726.14893240263461</v>
      </c>
      <c r="CY117" s="59">
        <f ca="1">AVERAGE(OFFSET($CX$3,0,0,'Données projet'!$E$13+1,1))-AVERAGE(OFFSET($H$3,0,0,'Données projet'!$E$13+1,1))</f>
        <v>345.49688858037996</v>
      </c>
      <c r="CZ117" s="59">
        <f t="shared" si="96"/>
        <v>213.15872113755023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35.001450291670885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35.001450291670885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5.3066239316239274</v>
      </c>
      <c r="DO117" s="12">
        <f>IF('Données projet'!$A$166&gt;35,DO116+DN117-DW116,IF(A117&lt;'Données projet'!$A$166,$DL$205^A117,IF(A117='Données projet'!$A$166,'Données projet'!$B$166,DO116+DN117-DW116)))</f>
        <v>219.9220085470082</v>
      </c>
      <c r="DP117" s="17">
        <f>DO117*VLOOKUP('Données projet'!$B$14,Paramètres!$A$1:$I$89,3,0)*VLOOKUP('Données projet'!$B$14,Paramètres!$A$1:$I$89,5,0)</f>
        <v>223.00091666666631</v>
      </c>
      <c r="DQ117" s="13">
        <f t="shared" si="97"/>
        <v>54.766604945604634</v>
      </c>
      <c r="DR117" s="20">
        <f t="shared" si="70"/>
        <v>483.77843347470525</v>
      </c>
      <c r="DS117" s="59">
        <f t="shared" si="71"/>
        <v>777.11176680803851</v>
      </c>
      <c r="DT117" s="59">
        <f ca="1">AVERAGE(OFFSET($DS$3,0,0,'Données projet'!$E$14+1,1))-AVERAGE(OFFSET($H$3,0,0,'Données projet'!$E$14+1,1))</f>
        <v>382.26108489744581</v>
      </c>
      <c r="DU117" s="59">
        <f t="shared" si="98"/>
        <v>233.89423996158826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39.225763257907019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39.225763257907019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-2.4158453015843406E-13</v>
      </c>
      <c r="EK117" s="17">
        <f>EJ117*VLOOKUP('Données projet'!$B$15,Paramètres!$A$1:$I$89,3,0)*VLOOKUP('Données projet'!$B$15,Paramètres!$A$1:$I$89,5,0)</f>
        <v>-2.0351080820546486E-13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312.48716825299158</v>
      </c>
      <c r="EP117" s="59">
        <f t="shared" si="100"/>
        <v>258.68277822755357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137.60136540167008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137.60136540167008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5.3066239316239274</v>
      </c>
      <c r="FE117" s="12">
        <f>IF('Données projet'!$A$218&gt;35,FE116+FD117-FM116,IF(A117&lt;'Données projet'!$A$218,$FB$205^A117,IF(A117='Données projet'!$A$218,'Données projet'!$B$218,FE116+FD117-FM116)))</f>
        <v>219.9220085470082</v>
      </c>
      <c r="FF117" s="17">
        <f>FE117*VLOOKUP('Données projet'!$B$16,Paramètres!$A$1:$I$89,3,0)*VLOOKUP('Données projet'!$B$16,Paramètres!$A$1:$I$89,5,0)</f>
        <v>236.72404999999964</v>
      </c>
      <c r="FG117" s="13">
        <f t="shared" si="101"/>
        <v>57.73413108155286</v>
      </c>
      <c r="FH117" s="20">
        <f t="shared" si="76"/>
        <v>512.84799871703717</v>
      </c>
      <c r="FI117" s="59">
        <f t="shared" si="77"/>
        <v>806.18133205037043</v>
      </c>
      <c r="FJ117" s="59">
        <f ca="1">AVERAGE(OFFSET($FI$3,0,0,'Données projet'!$E$16+1,1))-AVERAGE(OFFSET($H$3,0,0,'Données projet'!$E$16+1,1))</f>
        <v>403.23110963096246</v>
      </c>
      <c r="FK117" s="59">
        <f t="shared" si="102"/>
        <v>245.72000393124898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41.63965638147053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41.63965638147053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5.3066239316239274</v>
      </c>
      <c r="FZ117" s="12">
        <f>IF('Données projet'!$A$244&gt;35,FZ116+FY117-GH116,IF(A117&lt;'Données projet'!$A$244,$FW$205^A117,IF(A117='Données projet'!$A$244,'Données projet'!$B$244,FZ116+FY117-GH116)))</f>
        <v>219.9220085470082</v>
      </c>
      <c r="GA117" s="17">
        <f>FZ117*VLOOKUP('Données projet'!$B$17,Paramètres!$A$1:$I$89,3,0)*VLOOKUP('Données projet'!$B$17,Paramètres!$A$1:$I$89,5,0)</f>
        <v>212.70856666666631</v>
      </c>
      <c r="GB117" s="13">
        <f t="shared" si="103"/>
        <v>52.527033471579792</v>
      </c>
      <c r="GC117" s="20">
        <f t="shared" si="79"/>
        <v>461.95200357411198</v>
      </c>
      <c r="GD117" s="59">
        <f t="shared" si="80"/>
        <v>755.2853369074453</v>
      </c>
      <c r="GE117" s="59">
        <f ca="1">AVERAGE(OFFSET($GD$3,0,0,'Données projet'!$E$17+1,1))-AVERAGE(OFFSET($H$3,0,0,'Données projet'!$E$17+1,1))</f>
        <v>336.2911850338175</v>
      </c>
      <c r="GF117" s="59">
        <f t="shared" si="104"/>
        <v>225.01415116995503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37.415343415234403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37.415343415234403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5.3066239316239274</v>
      </c>
      <c r="GU117" s="12">
        <f>IF('Données projet'!$A$270&gt;35,GU116+GT117-HC116,IF(A117&lt;'Données projet'!$A$270,$GR$205^A117,IF(A117='Données projet'!$A$270,'Données projet'!$B$270,GU116+GT117-HC116)))</f>
        <v>219.9220085470082</v>
      </c>
      <c r="GV117" s="17">
        <f>GU117*VLOOKUP('Données projet'!$B$18,Paramètres!$A$1:$I$89,3,0)*VLOOKUP('Données projet'!$B$18,Paramètres!$A$1:$I$89,5,0)</f>
        <v>147.52368333333311</v>
      </c>
      <c r="GW117" s="13">
        <f t="shared" si="105"/>
        <v>38.015289723259599</v>
      </c>
      <c r="GX117" s="20">
        <f t="shared" si="82"/>
        <v>323.14704474023227</v>
      </c>
      <c r="GY117" s="59">
        <f t="shared" si="83"/>
        <v>616.48037807356559</v>
      </c>
      <c r="GZ117" s="59">
        <f ca="1">AVERAGE(OFFSET($GY$3,0,0,'Données projet'!$E$18+1,1))-AVERAGE(OFFSET($H$3,0,0,'Données projet'!$E$18+1,1))</f>
        <v>266.37807768393191</v>
      </c>
      <c r="HA117" s="59">
        <f t="shared" si="106"/>
        <v>168.52019826233425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31.984083887216503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84"/>
        <v>31.984083887216503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266.99999999999983</v>
      </c>
      <c r="O118" s="13">
        <f>N118*VLOOKUP('Données projet'!$B$9,Paramètres!$A$1:$I$89,3,0)*VLOOKUP('Données projet'!$B$9,Paramètres!$A$1:$I$89,5,0)</f>
        <v>233.2511999999999</v>
      </c>
      <c r="P118" s="13">
        <f t="shared" si="87"/>
        <v>56.985091661350864</v>
      </c>
      <c r="Q118" s="20">
        <f t="shared" si="107"/>
        <v>505.49487464351915</v>
      </c>
      <c r="R118" s="59">
        <f t="shared" si="55"/>
        <v>798.82820797685247</v>
      </c>
      <c r="S118" s="59">
        <f ca="1">AVERAGE(OFFSET($R$3,0,0,'Données projet'!$E$9+1,1))-AVERAGE(OFFSET($H$3,0,0,'Données projet'!$E$9+1,1))</f>
        <v>324.86930206492627</v>
      </c>
      <c r="T118" s="59">
        <f t="shared" si="88"/>
        <v>317.03005098025352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15.807000362434339</v>
      </c>
      <c r="AA118" s="21">
        <f>EXP(-LN(2)/25)*AA117+(1-EXP(-LN(2)/25))/(LN(2)/25)*Calculateur!V118*Calculateur!X118*VLOOKUP('Données projet'!$B$9,Paramètres!$A$1:$I$89,3,0)*0.475*44/12</f>
        <v>3.4654892727676523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19.272489635201993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6.8461538461538511</v>
      </c>
      <c r="AI118" s="13">
        <f>IF('Données projet'!$A$62&gt;35,AI117+AH118-AQ117,IF(A118&lt;'Données projet'!$A$62,$AF$205^A118,IF(A118='Données projet'!$A$62,'Données projet'!$B$62,AI117+AH118-AQ117)))</f>
        <v>329.95512820512863</v>
      </c>
      <c r="AJ118" s="13">
        <f>AI118*VLOOKUP('Données projet'!$B$10,Paramètres!$A$1:$I$89,3,0)*VLOOKUP('Données projet'!$B$10,Paramètres!$A$1:$I$89,5,0)</f>
        <v>313.98530000000039</v>
      </c>
      <c r="AK118" s="13">
        <f t="shared" si="89"/>
        <v>74.100499664721866</v>
      </c>
      <c r="AL118" s="20">
        <f t="shared" si="58"/>
        <v>675.91610108272448</v>
      </c>
      <c r="AM118" s="59">
        <f t="shared" si="59"/>
        <v>969.24943441605774</v>
      </c>
      <c r="AN118" s="59">
        <f ca="1">AVERAGE(OFFSET($AM$3,0,0,'Données projet'!$E$10+1,1))-AVERAGE(OFFSET($H$3,0,0,'Données projet'!$E$10+1,1))</f>
        <v>401.81944956556271</v>
      </c>
      <c r="AO118" s="59">
        <f t="shared" si="90"/>
        <v>292.20785523952651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56.190536648397654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56.190536648397654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1.7053025658242404E-13</v>
      </c>
      <c r="BE118" s="13">
        <f>BD118*VLOOKUP('Données projet'!$B$11,Paramètres!$A$1:$I$89,3,0)*VLOOKUP('Données projet'!$B$11,Paramètres!$A$1:$I$89,5,0)</f>
        <v>1.3301360013429075E-13</v>
      </c>
      <c r="BF118" s="13">
        <f t="shared" si="91"/>
        <v>1.9329766731057041E-12</v>
      </c>
      <c r="BG118" s="20">
        <f t="shared" si="61"/>
        <v>3.5982663925596575E-12</v>
      </c>
      <c r="BH118" s="59">
        <f t="shared" si="62"/>
        <v>293.3333333333369</v>
      </c>
      <c r="BI118" s="59">
        <f ca="1">AVERAGE(OFFSET($BH$3,0,0,'Données projet'!$E$11+1,1))-AVERAGE(OFFSET($H$3,0,0,'Données projet'!$E$11+1,1))</f>
        <v>288.80569134263209</v>
      </c>
      <c r="BJ118" s="59">
        <f t="shared" si="92"/>
        <v>283.48738729114024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32.625829621703787</v>
      </c>
      <c r="BQ118" s="21">
        <f>EXP(-LN(2)/25)*BQ117+(1-EXP(-LN(2)/25))/(LN(2)/25)*Calculateur!BL118*Calculateur!BN118*VLOOKUP('Données projet'!$B$11,Paramètres!$A$1:$I$89,3,0)*0.475*44/12</f>
        <v>19.052410587148003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51.67824020885179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212.00000000000009</v>
      </c>
      <c r="BZ118" s="13">
        <f>BY118*VLOOKUP('Données projet'!$B$12,Paramètres!$A$1:$I$89,3,0)*VLOOKUP('Données projet'!$B$12,Paramètres!$A$1:$I$89,5,0)</f>
        <v>221.58240000000012</v>
      </c>
      <c r="CA118" s="13">
        <f t="shared" si="93"/>
        <v>54.458668952651578</v>
      </c>
      <c r="CB118" s="20">
        <f t="shared" si="64"/>
        <v>480.77152842586838</v>
      </c>
      <c r="CC118" s="59">
        <f t="shared" si="65"/>
        <v>774.10486175920164</v>
      </c>
      <c r="CD118" s="59">
        <f ca="1">AVERAGE(OFFSET($CC$3,0,0,'Données projet'!$E$12+1,1))-AVERAGE(OFFSET($H$3,0,0,'Données projet'!$E$12+1,1))</f>
        <v>352.22281362023102</v>
      </c>
      <c r="CE118" s="59">
        <f t="shared" si="94"/>
        <v>310.2353747925161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13.275962720429719</v>
      </c>
      <c r="CL118" s="21">
        <f>EXP(-LN(2)/25)*CL117+(1-EXP(-LN(2)/25))/(LN(2)/25)*Calculateur!CG118*Calculateur!CI118*VLOOKUP('Données projet'!$B$12,Paramètres!$A$1:$I$89,3,0)*0.475*44/12</f>
        <v>11.040715221946211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24.316677942375932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5.3066239316239274</v>
      </c>
      <c r="CT118" s="12">
        <f>IF('Données projet'!$A$140&gt;35,CT117+CS118-DB117,IF(A118&lt;'Données projet'!$A$140,$CQ$205^A118,IF(A118='Données projet'!$A$140,'Données projet'!$B$140,CT117+CS118-DB117)))</f>
        <v>225.22863247863214</v>
      </c>
      <c r="CU118" s="17">
        <f>CT118*VLOOKUP('Données projet'!$B$13,Paramètres!$A$1:$I$89,3,0)*VLOOKUP('Données projet'!$B$13,Paramètres!$A$1:$I$89,5,0)</f>
        <v>203.78686666666636</v>
      </c>
      <c r="CV118" s="13">
        <f t="shared" si="95"/>
        <v>50.57549569083951</v>
      </c>
      <c r="CW118" s="20">
        <f t="shared" si="67"/>
        <v>443.01444777265607</v>
      </c>
      <c r="CX118" s="59">
        <f t="shared" si="68"/>
        <v>736.34778110598938</v>
      </c>
      <c r="CY118" s="59">
        <f ca="1">AVERAGE(OFFSET($CX$3,0,0,'Données projet'!$E$13+1,1))-AVERAGE(OFFSET($H$3,0,0,'Données projet'!$E$13+1,1))</f>
        <v>345.49688858037996</v>
      </c>
      <c r="CZ118" s="59">
        <f t="shared" si="96"/>
        <v>213.15872113755023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34.315093200227878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34.315093200227878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5.3066239316239274</v>
      </c>
      <c r="DO118" s="12">
        <f>IF('Données projet'!$A$166&gt;35,DO117+DN118-DW117,IF(A118&lt;'Données projet'!$A$166,$DL$205^A118,IF(A118='Données projet'!$A$166,'Données projet'!$B$166,DO117+DN118-DW117)))</f>
        <v>225.22863247863214</v>
      </c>
      <c r="DP118" s="17">
        <f>DO118*VLOOKUP('Données projet'!$B$14,Paramètres!$A$1:$I$89,3,0)*VLOOKUP('Données projet'!$B$14,Paramètres!$A$1:$I$89,5,0)</f>
        <v>228.38183333333299</v>
      </c>
      <c r="DQ118" s="13">
        <f t="shared" si="97"/>
        <v>55.932652422184837</v>
      </c>
      <c r="DR118" s="20">
        <f t="shared" si="70"/>
        <v>495.18106269086019</v>
      </c>
      <c r="DS118" s="59">
        <f t="shared" si="71"/>
        <v>788.5143960241935</v>
      </c>
      <c r="DT118" s="59">
        <f ca="1">AVERAGE(OFFSET($DS$3,0,0,'Données projet'!$E$14+1,1))-AVERAGE(OFFSET($H$3,0,0,'Données projet'!$E$14+1,1))</f>
        <v>382.26108489744581</v>
      </c>
      <c r="DU118" s="59">
        <f t="shared" si="98"/>
        <v>233.89423996158826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38.456569965772616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38.456569965772616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-2.4158453015843406E-13</v>
      </c>
      <c r="EK118" s="17">
        <f>EJ118*VLOOKUP('Données projet'!$B$15,Paramètres!$A$1:$I$89,3,0)*VLOOKUP('Données projet'!$B$15,Paramètres!$A$1:$I$89,5,0)</f>
        <v>-2.0351080820546486E-13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312.48716825299158</v>
      </c>
      <c r="EP118" s="59">
        <f t="shared" si="100"/>
        <v>258.68277822755357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134.90308655468897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134.90308655468897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5.3066239316239274</v>
      </c>
      <c r="FE118" s="12">
        <f>IF('Données projet'!$A$218&gt;35,FE117+FD118-FM117,IF(A118&lt;'Données projet'!$A$218,$FB$205^A118,IF(A118='Données projet'!$A$218,'Données projet'!$B$218,FE117+FD118-FM117)))</f>
        <v>225.22863247863214</v>
      </c>
      <c r="FF118" s="17">
        <f>FE118*VLOOKUP('Données projet'!$B$16,Paramètres!$A$1:$I$89,3,0)*VLOOKUP('Données projet'!$B$16,Paramètres!$A$1:$I$89,5,0)</f>
        <v>242.43609999999961</v>
      </c>
      <c r="FG118" s="13">
        <f t="shared" si="101"/>
        <v>58.963360790552656</v>
      </c>
      <c r="FH118" s="20">
        <f t="shared" si="76"/>
        <v>524.93739421021189</v>
      </c>
      <c r="FI118" s="59">
        <f t="shared" si="77"/>
        <v>818.27072754354526</v>
      </c>
      <c r="FJ118" s="59">
        <f ca="1">AVERAGE(OFFSET($FI$3,0,0,'Données projet'!$E$16+1,1))-AVERAGE(OFFSET($H$3,0,0,'Données projet'!$E$16+1,1))</f>
        <v>403.23110963096246</v>
      </c>
      <c r="FK118" s="59">
        <f t="shared" si="102"/>
        <v>245.72000393124898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40.823128117512475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40.823128117512475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5.3066239316239274</v>
      </c>
      <c r="FZ118" s="12">
        <f>IF('Données projet'!$A$244&gt;35,FZ117+FY118-GH117,IF(A118&lt;'Données projet'!$A$244,$FW$205^A118,IF(A118='Données projet'!$A$244,'Données projet'!$B$244,FZ117+FY118-GH117)))</f>
        <v>225.22863247863214</v>
      </c>
      <c r="GA118" s="17">
        <f>FZ118*VLOOKUP('Données projet'!$B$17,Paramètres!$A$1:$I$89,3,0)*VLOOKUP('Données projet'!$B$17,Paramètres!$A$1:$I$89,5,0)</f>
        <v>217.84113333333303</v>
      </c>
      <c r="GB118" s="13">
        <f t="shared" si="103"/>
        <v>53.645397753839269</v>
      </c>
      <c r="GC118" s="20">
        <f t="shared" si="79"/>
        <v>472.83904164349178</v>
      </c>
      <c r="GD118" s="59">
        <f t="shared" si="80"/>
        <v>766.17237497682504</v>
      </c>
      <c r="GE118" s="59">
        <f ca="1">AVERAGE(OFFSET($GD$3,0,0,'Données projet'!$E$17+1,1))-AVERAGE(OFFSET($H$3,0,0,'Données projet'!$E$17+1,1))</f>
        <v>336.2911850338175</v>
      </c>
      <c r="GF118" s="59">
        <f t="shared" si="104"/>
        <v>225.01415116995503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36.681651351967744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36.681651351967744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5.3066239316239274</v>
      </c>
      <c r="GU118" s="12">
        <f>IF('Données projet'!$A$270&gt;35,GU117+GT118-HC117,IF(A118&lt;'Données projet'!$A$270,$GR$205^A118,IF(A118='Données projet'!$A$270,'Données projet'!$B$270,GU117+GT118-HC117)))</f>
        <v>225.22863247863214</v>
      </c>
      <c r="GV118" s="17">
        <f>GU118*VLOOKUP('Données projet'!$B$18,Paramètres!$A$1:$I$89,3,0)*VLOOKUP('Données projet'!$B$18,Paramètres!$A$1:$I$89,5,0)</f>
        <v>151.08336666666645</v>
      </c>
      <c r="GW118" s="13">
        <f t="shared" si="105"/>
        <v>38.824681371642718</v>
      </c>
      <c r="GX118" s="20">
        <f t="shared" si="82"/>
        <v>330.75651700005511</v>
      </c>
      <c r="GY118" s="59">
        <f t="shared" si="83"/>
        <v>624.08985033338843</v>
      </c>
      <c r="GZ118" s="59">
        <f ca="1">AVERAGE(OFFSET($GY$3,0,0,'Données projet'!$E$18+1,1))-AVERAGE(OFFSET($H$3,0,0,'Données projet'!$E$18+1,1))</f>
        <v>266.37807768393191</v>
      </c>
      <c r="HA118" s="59">
        <f t="shared" si="106"/>
        <v>168.52019826233425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31.356895510553066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84"/>
        <v>31.356895510553066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266.99999999999983</v>
      </c>
      <c r="O119" s="13">
        <f>N119*VLOOKUP('Données projet'!$B$9,Paramètres!$A$1:$I$89,3,0)*VLOOKUP('Données projet'!$B$9,Paramètres!$A$1:$I$89,5,0)</f>
        <v>233.2511999999999</v>
      </c>
      <c r="P119" s="13">
        <f t="shared" si="87"/>
        <v>56.985091661350864</v>
      </c>
      <c r="Q119" s="20">
        <f t="shared" si="107"/>
        <v>505.49487464351915</v>
      </c>
      <c r="R119" s="59">
        <f t="shared" si="55"/>
        <v>798.82820797685247</v>
      </c>
      <c r="S119" s="59">
        <f ca="1">AVERAGE(OFFSET($R$3,0,0,'Données projet'!$E$9+1,1))-AVERAGE(OFFSET($H$3,0,0,'Données projet'!$E$9+1,1))</f>
        <v>324.86930206492627</v>
      </c>
      <c r="T119" s="59">
        <f t="shared" si="88"/>
        <v>317.03005098025352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15.497034726645222</v>
      </c>
      <c r="AA119" s="21">
        <f>EXP(-LN(2)/25)*AA118+(1-EXP(-LN(2)/25))/(LN(2)/25)*Calculateur!V119*Calculateur!X119*VLOOKUP('Données projet'!$B$9,Paramètres!$A$1:$I$89,3,0)*0.475*44/12</f>
        <v>3.3707252863616604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18.867760013006883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6.8461538461538511</v>
      </c>
      <c r="AI119" s="13">
        <f>IF('Données projet'!$A$62&gt;35,AI118+AH119-AQ118,IF(A119&lt;'Données projet'!$A$62,$AF$205^A119,IF(A119='Données projet'!$A$62,'Données projet'!$B$62,AI118+AH119-AQ118)))</f>
        <v>336.8012820512825</v>
      </c>
      <c r="AJ119" s="13">
        <f>AI119*VLOOKUP('Données projet'!$B$10,Paramètres!$A$1:$I$89,3,0)*VLOOKUP('Données projet'!$B$10,Paramètres!$A$1:$I$89,5,0)</f>
        <v>320.50010000000043</v>
      </c>
      <c r="AK119" s="13">
        <f t="shared" si="89"/>
        <v>75.457399734732135</v>
      </c>
      <c r="AL119" s="20">
        <f t="shared" si="58"/>
        <v>689.62597870465913</v>
      </c>
      <c r="AM119" s="59">
        <f t="shared" si="59"/>
        <v>982.9593120379925</v>
      </c>
      <c r="AN119" s="59">
        <f ca="1">AVERAGE(OFFSET($AM$3,0,0,'Données projet'!$E$10+1,1))-AVERAGE(OFFSET($H$3,0,0,'Données projet'!$E$10+1,1))</f>
        <v>401.81944956556271</v>
      </c>
      <c r="AO119" s="59">
        <f t="shared" si="90"/>
        <v>292.20785523952651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55.088674497565769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55.088674497565769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1.7053025658242404E-13</v>
      </c>
      <c r="BE119" s="13">
        <f>BD119*VLOOKUP('Données projet'!$B$11,Paramètres!$A$1:$I$89,3,0)*VLOOKUP('Données projet'!$B$11,Paramètres!$A$1:$I$89,5,0)</f>
        <v>1.3301360013429075E-13</v>
      </c>
      <c r="BF119" s="13">
        <f t="shared" si="91"/>
        <v>1.9329766731057041E-12</v>
      </c>
      <c r="BG119" s="20">
        <f t="shared" si="61"/>
        <v>3.5982663925596575E-12</v>
      </c>
      <c r="BH119" s="59">
        <f t="shared" si="62"/>
        <v>293.3333333333369</v>
      </c>
      <c r="BI119" s="59">
        <f ca="1">AVERAGE(OFFSET($BH$3,0,0,'Données projet'!$E$11+1,1))-AVERAGE(OFFSET($H$3,0,0,'Données projet'!$E$11+1,1))</f>
        <v>288.80569134263209</v>
      </c>
      <c r="BJ119" s="59">
        <f t="shared" si="92"/>
        <v>283.48738729114024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31.986057002613304</v>
      </c>
      <c r="BQ119" s="21">
        <f>EXP(-LN(2)/25)*BQ118+(1-EXP(-LN(2)/25))/(LN(2)/25)*Calculateur!BL119*Calculateur!BN119*VLOOKUP('Données projet'!$B$11,Paramètres!$A$1:$I$89,3,0)*0.475*44/12</f>
        <v>18.531421417719713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50.51747842033302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212.00000000000009</v>
      </c>
      <c r="BZ119" s="13">
        <f>BY119*VLOOKUP('Données projet'!$B$12,Paramètres!$A$1:$I$89,3,0)*VLOOKUP('Données projet'!$B$12,Paramètres!$A$1:$I$89,5,0)</f>
        <v>221.58240000000012</v>
      </c>
      <c r="CA119" s="13">
        <f t="shared" si="93"/>
        <v>54.458668952651578</v>
      </c>
      <c r="CB119" s="20">
        <f t="shared" si="64"/>
        <v>480.77152842586838</v>
      </c>
      <c r="CC119" s="59">
        <f t="shared" si="65"/>
        <v>774.10486175920164</v>
      </c>
      <c r="CD119" s="59">
        <f ca="1">AVERAGE(OFFSET($CC$3,0,0,'Données projet'!$E$12+1,1))-AVERAGE(OFFSET($H$3,0,0,'Données projet'!$E$12+1,1))</f>
        <v>352.22281362023102</v>
      </c>
      <c r="CE119" s="59">
        <f t="shared" si="94"/>
        <v>310.2353747925161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13.015629189019787</v>
      </c>
      <c r="CL119" s="21">
        <f>EXP(-LN(2)/25)*CL118+(1-EXP(-LN(2)/25))/(LN(2)/25)*Calculateur!CG119*Calculateur!CI119*VLOOKUP('Données projet'!$B$12,Paramètres!$A$1:$I$89,3,0)*0.475*44/12</f>
        <v>10.738806283596112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23.754435472615899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5.3066239316239274</v>
      </c>
      <c r="CT119" s="12">
        <f>IF('Données projet'!$A$140&gt;35,CT118+CS119-DB118,IF(A119&lt;'Données projet'!$A$140,$CQ$205^A119,IF(A119='Données projet'!$A$140,'Données projet'!$B$140,CT118+CS119-DB118)))</f>
        <v>230.53525641025607</v>
      </c>
      <c r="CU119" s="17">
        <f>CT119*VLOOKUP('Données projet'!$B$13,Paramètres!$A$1:$I$89,3,0)*VLOOKUP('Données projet'!$B$13,Paramètres!$A$1:$I$89,5,0)</f>
        <v>208.58829999999969</v>
      </c>
      <c r="CV119" s="13">
        <f t="shared" si="95"/>
        <v>51.626972732243416</v>
      </c>
      <c r="CW119" s="20">
        <f t="shared" si="67"/>
        <v>453.20826667532333</v>
      </c>
      <c r="CX119" s="59">
        <f t="shared" si="68"/>
        <v>746.54160000865659</v>
      </c>
      <c r="CY119" s="59">
        <f ca="1">AVERAGE(OFFSET($CX$3,0,0,'Données projet'!$E$13+1,1))-AVERAGE(OFFSET($H$3,0,0,'Données projet'!$E$13+1,1))</f>
        <v>345.49688858037996</v>
      </c>
      <c r="CZ119" s="59">
        <f t="shared" si="96"/>
        <v>213.15872113755023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33.642195152711579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33.642195152711579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5.3066239316239274</v>
      </c>
      <c r="DO119" s="12">
        <f>IF('Données projet'!$A$166&gt;35,DO118+DN119-DW118,IF(A119&lt;'Données projet'!$A$166,$DL$205^A119,IF(A119='Données projet'!$A$166,'Données projet'!$B$166,DO118+DN119-DW118)))</f>
        <v>230.53525641025607</v>
      </c>
      <c r="DP119" s="17">
        <f>DO119*VLOOKUP('Données projet'!$B$14,Paramètres!$A$1:$I$89,3,0)*VLOOKUP('Données projet'!$B$14,Paramètres!$A$1:$I$89,5,0)</f>
        <v>233.76274999999964</v>
      </c>
      <c r="DQ119" s="13">
        <f t="shared" si="97"/>
        <v>57.095506074599044</v>
      </c>
      <c r="DR119" s="20">
        <f t="shared" si="70"/>
        <v>506.57812932992596</v>
      </c>
      <c r="DS119" s="59">
        <f t="shared" si="71"/>
        <v>799.91146266325927</v>
      </c>
      <c r="DT119" s="59">
        <f ca="1">AVERAGE(OFFSET($DS$3,0,0,'Données projet'!$E$14+1,1))-AVERAGE(OFFSET($H$3,0,0,'Données projet'!$E$14+1,1))</f>
        <v>382.26108489744581</v>
      </c>
      <c r="DU119" s="59">
        <f t="shared" si="98"/>
        <v>233.89423996158826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37.702460084935389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37.702460084935389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-2.4158453015843406E-13</v>
      </c>
      <c r="EK119" s="17">
        <f>EJ119*VLOOKUP('Données projet'!$B$15,Paramètres!$A$1:$I$89,3,0)*VLOOKUP('Données projet'!$B$15,Paramètres!$A$1:$I$89,5,0)</f>
        <v>-2.0351080820546486E-13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312.48716825299158</v>
      </c>
      <c r="EP119" s="59">
        <f t="shared" si="100"/>
        <v>258.68277822755357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132.25771931010956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132.25771931010956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5.3066239316239274</v>
      </c>
      <c r="FE119" s="12">
        <f>IF('Données projet'!$A$218&gt;35,FE118+FD119-FM118,IF(A119&lt;'Données projet'!$A$218,$FB$205^A119,IF(A119='Données projet'!$A$218,'Données projet'!$B$218,FE118+FD119-FM118)))</f>
        <v>230.53525641025607</v>
      </c>
      <c r="FF119" s="17">
        <f>FE119*VLOOKUP('Données projet'!$B$16,Paramètres!$A$1:$I$89,3,0)*VLOOKUP('Données projet'!$B$16,Paramètres!$A$1:$I$89,5,0)</f>
        <v>248.14814999999965</v>
      </c>
      <c r="FG119" s="13">
        <f t="shared" si="101"/>
        <v>60.1892236181613</v>
      </c>
      <c r="FH119" s="20">
        <f t="shared" si="76"/>
        <v>537.02092571829689</v>
      </c>
      <c r="FI119" s="59">
        <f t="shared" si="77"/>
        <v>830.35425905163015</v>
      </c>
      <c r="FJ119" s="59">
        <f ca="1">AVERAGE(OFFSET($FI$3,0,0,'Données projet'!$E$16+1,1))-AVERAGE(OFFSET($H$3,0,0,'Données projet'!$E$16+1,1))</f>
        <v>403.23110963096246</v>
      </c>
      <c r="FK119" s="59">
        <f t="shared" si="102"/>
        <v>245.72000393124898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40.02261147477757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40.02261147477757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5.3066239316239274</v>
      </c>
      <c r="FZ119" s="12">
        <f>IF('Données projet'!$A$244&gt;35,FZ118+FY119-GH118,IF(A119&lt;'Données projet'!$A$244,$FW$205^A119,IF(A119='Données projet'!$A$244,'Données projet'!$B$244,FZ118+FY119-GH118)))</f>
        <v>230.53525641025607</v>
      </c>
      <c r="GA119" s="17">
        <f>FZ119*VLOOKUP('Données projet'!$B$17,Paramètres!$A$1:$I$89,3,0)*VLOOKUP('Données projet'!$B$17,Paramètres!$A$1:$I$89,5,0)</f>
        <v>222.97369999999967</v>
      </c>
      <c r="GB119" s="13">
        <f t="shared" si="103"/>
        <v>54.76069881702513</v>
      </c>
      <c r="GC119" s="20">
        <f t="shared" si="79"/>
        <v>483.72074460631808</v>
      </c>
      <c r="GD119" s="59">
        <f t="shared" si="80"/>
        <v>777.05407793965139</v>
      </c>
      <c r="GE119" s="59">
        <f ca="1">AVERAGE(OFFSET($GD$3,0,0,'Données projet'!$E$17+1,1))-AVERAGE(OFFSET($H$3,0,0,'Données projet'!$E$17+1,1))</f>
        <v>336.2911850338175</v>
      </c>
      <c r="GF119" s="59">
        <f t="shared" si="104"/>
        <v>225.01415116995503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35.962346542553774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35.962346542553774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5.3066239316239274</v>
      </c>
      <c r="GU119" s="12">
        <f>IF('Données projet'!$A$270&gt;35,GU118+GT119-HC118,IF(A119&lt;'Données projet'!$A$270,$GR$205^A119,IF(A119='Données projet'!$A$270,'Données projet'!$B$270,GU118+GT119-HC118)))</f>
        <v>230.53525641025607</v>
      </c>
      <c r="GV119" s="17">
        <f>GU119*VLOOKUP('Données projet'!$B$18,Paramètres!$A$1:$I$89,3,0)*VLOOKUP('Données projet'!$B$18,Paramètres!$A$1:$I$89,5,0)</f>
        <v>154.64304999999976</v>
      </c>
      <c r="GW119" s="13">
        <f t="shared" si="105"/>
        <v>39.63185608232974</v>
      </c>
      <c r="GX119" s="20">
        <f t="shared" si="82"/>
        <v>338.36212809339048</v>
      </c>
      <c r="GY119" s="59">
        <f t="shared" si="83"/>
        <v>631.6954614267238</v>
      </c>
      <c r="GZ119" s="59">
        <f ca="1">AVERAGE(OFFSET($GY$3,0,0,'Données projet'!$E$18+1,1))-AVERAGE(OFFSET($H$3,0,0,'Données projet'!$E$18+1,1))</f>
        <v>266.37807768393191</v>
      </c>
      <c r="HA119" s="59">
        <f t="shared" si="106"/>
        <v>168.52019826233425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30.742005915408864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84"/>
        <v>30.742005915408864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266.99999999999983</v>
      </c>
      <c r="O120" s="13">
        <f>N120*VLOOKUP('Données projet'!$B$9,Paramètres!$A$1:$I$89,3,0)*VLOOKUP('Données projet'!$B$9,Paramètres!$A$1:$I$89,5,0)</f>
        <v>233.2511999999999</v>
      </c>
      <c r="P120" s="13">
        <f t="shared" si="87"/>
        <v>56.985091661350864</v>
      </c>
      <c r="Q120" s="20">
        <f t="shared" si="107"/>
        <v>505.49487464351915</v>
      </c>
      <c r="R120" s="59">
        <f t="shared" si="55"/>
        <v>798.82820797685247</v>
      </c>
      <c r="S120" s="59">
        <f ca="1">AVERAGE(OFFSET($R$3,0,0,'Données projet'!$E$9+1,1))-AVERAGE(OFFSET($H$3,0,0,'Données projet'!$E$9+1,1))</f>
        <v>324.86930206492627</v>
      </c>
      <c r="T120" s="59">
        <f t="shared" si="88"/>
        <v>317.03005098025352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15.193147327913559</v>
      </c>
      <c r="AA120" s="21">
        <f>EXP(-LN(2)/25)*AA119+(1-EXP(-LN(2)/25))/(LN(2)/25)*Calculateur!V120*Calculateur!X120*VLOOKUP('Données projet'!$B$9,Paramètres!$A$1:$I$89,3,0)*0.475*44/12</f>
        <v>3.2785526261473619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18.47169995406092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6.8461538461538511</v>
      </c>
      <c r="AI120" s="13">
        <f>IF('Données projet'!$A$62&gt;35,AI119+AH120-AQ119,IF(A120&lt;'Données projet'!$A$62,$AF$205^A120,IF(A120='Données projet'!$A$62,'Données projet'!$B$62,AI119+AH120-AQ119)))</f>
        <v>343.64743589743637</v>
      </c>
      <c r="AJ120" s="13">
        <f>AI120*VLOOKUP('Données projet'!$B$10,Paramètres!$A$1:$I$89,3,0)*VLOOKUP('Données projet'!$B$10,Paramètres!$A$1:$I$89,5,0)</f>
        <v>327.01490000000047</v>
      </c>
      <c r="AK120" s="13">
        <f t="shared" si="89"/>
        <v>76.811092858380277</v>
      </c>
      <c r="AL120" s="20">
        <f t="shared" si="58"/>
        <v>703.3302708950132</v>
      </c>
      <c r="AM120" s="59">
        <f t="shared" si="59"/>
        <v>996.66360422834646</v>
      </c>
      <c r="AN120" s="59">
        <f ca="1">AVERAGE(OFFSET($AM$3,0,0,'Données projet'!$E$10+1,1))-AVERAGE(OFFSET($H$3,0,0,'Données projet'!$E$10+1,1))</f>
        <v>401.81944956556271</v>
      </c>
      <c r="AO120" s="59">
        <f t="shared" si="90"/>
        <v>292.20785523952651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54.008419191442144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54.008419191442144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1.7053025658242404E-13</v>
      </c>
      <c r="BE120" s="13">
        <f>BD120*VLOOKUP('Données projet'!$B$11,Paramètres!$A$1:$I$89,3,0)*VLOOKUP('Données projet'!$B$11,Paramètres!$A$1:$I$89,5,0)</f>
        <v>1.3301360013429075E-13</v>
      </c>
      <c r="BF120" s="13">
        <f t="shared" si="91"/>
        <v>1.9329766731057041E-12</v>
      </c>
      <c r="BG120" s="20">
        <f t="shared" si="61"/>
        <v>3.5982663925596575E-12</v>
      </c>
      <c r="BH120" s="59">
        <f t="shared" si="62"/>
        <v>293.3333333333369</v>
      </c>
      <c r="BI120" s="59">
        <f ca="1">AVERAGE(OFFSET($BH$3,0,0,'Données projet'!$E$11+1,1))-AVERAGE(OFFSET($H$3,0,0,'Données projet'!$E$11+1,1))</f>
        <v>288.80569134263209</v>
      </c>
      <c r="BJ120" s="59">
        <f t="shared" si="92"/>
        <v>283.48738729114024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31.358829934360418</v>
      </c>
      <c r="BQ120" s="21">
        <f>EXP(-LN(2)/25)*BQ119+(1-EXP(-LN(2)/25))/(LN(2)/25)*Calculateur!BL120*Calculateur!BN120*VLOOKUP('Données projet'!$B$11,Paramètres!$A$1:$I$89,3,0)*0.475*44/12</f>
        <v>18.024678724527067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49.383508658887486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212.00000000000009</v>
      </c>
      <c r="BZ120" s="13">
        <f>BY120*VLOOKUP('Données projet'!$B$12,Paramètres!$A$1:$I$89,3,0)*VLOOKUP('Données projet'!$B$12,Paramètres!$A$1:$I$89,5,0)</f>
        <v>221.58240000000012</v>
      </c>
      <c r="CA120" s="13">
        <f t="shared" si="93"/>
        <v>54.458668952651578</v>
      </c>
      <c r="CB120" s="20">
        <f t="shared" si="64"/>
        <v>480.77152842586838</v>
      </c>
      <c r="CC120" s="59">
        <f t="shared" si="65"/>
        <v>774.10486175920164</v>
      </c>
      <c r="CD120" s="59">
        <f ca="1">AVERAGE(OFFSET($CC$3,0,0,'Données projet'!$E$12+1,1))-AVERAGE(OFFSET($H$3,0,0,'Données projet'!$E$12+1,1))</f>
        <v>352.22281362023102</v>
      </c>
      <c r="CE120" s="59">
        <f t="shared" si="94"/>
        <v>310.2353747925161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12.760400639373028</v>
      </c>
      <c r="CL120" s="21">
        <f>EXP(-LN(2)/25)*CL119+(1-EXP(-LN(2)/25))/(LN(2)/25)*Calculateur!CG120*Calculateur!CI120*VLOOKUP('Données projet'!$B$12,Paramètres!$A$1:$I$89,3,0)*0.475*44/12</f>
        <v>10.445153061041898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23.205553700414924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5.3066239316239274</v>
      </c>
      <c r="CT120" s="12">
        <f>IF('Données projet'!$A$140&gt;35,CT119+CS120-DB119,IF(A120&lt;'Données projet'!$A$140,$CQ$205^A120,IF(A120='Données projet'!$A$140,'Données projet'!$B$140,CT119+CS120-DB119)))</f>
        <v>235.84188034188</v>
      </c>
      <c r="CU120" s="17">
        <f>CT120*VLOOKUP('Données projet'!$B$13,Paramètres!$A$1:$I$89,3,0)*VLOOKUP('Données projet'!$B$13,Paramètres!$A$1:$I$89,5,0)</f>
        <v>213.389733333333</v>
      </c>
      <c r="CV120" s="13">
        <f t="shared" si="95"/>
        <v>52.675635977819994</v>
      </c>
      <c r="CW120" s="20">
        <f t="shared" si="67"/>
        <v>463.39718488359148</v>
      </c>
      <c r="CX120" s="59">
        <f t="shared" si="68"/>
        <v>756.73051821692479</v>
      </c>
      <c r="CY120" s="59">
        <f ca="1">AVERAGE(OFFSET($CX$3,0,0,'Données projet'!$E$13+1,1))-AVERAGE(OFFSET($H$3,0,0,'Données projet'!$E$13+1,1))</f>
        <v>345.49688858037996</v>
      </c>
      <c r="CZ120" s="59">
        <f t="shared" si="96"/>
        <v>213.15872113755023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32.982492225479795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32.982492225479795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5.3066239316239274</v>
      </c>
      <c r="DO120" s="12">
        <f>IF('Données projet'!$A$166&gt;35,DO119+DN120-DW119,IF(A120&lt;'Données projet'!$A$166,$DL$205^A120,IF(A120='Données projet'!$A$166,'Données projet'!$B$166,DO119+DN120-DW119)))</f>
        <v>235.84188034188</v>
      </c>
      <c r="DP120" s="17">
        <f>DO120*VLOOKUP('Données projet'!$B$14,Paramètres!$A$1:$I$89,3,0)*VLOOKUP('Données projet'!$B$14,Paramètres!$A$1:$I$89,5,0)</f>
        <v>239.14366666666635</v>
      </c>
      <c r="DQ120" s="13">
        <f t="shared" si="97"/>
        <v>58.255247882792112</v>
      </c>
      <c r="DR120" s="20">
        <f t="shared" si="70"/>
        <v>517.96977617364007</v>
      </c>
      <c r="DS120" s="59">
        <f t="shared" si="71"/>
        <v>811.30310950697344</v>
      </c>
      <c r="DT120" s="59">
        <f ca="1">AVERAGE(OFFSET($DS$3,0,0,'Données projet'!$E$14+1,1))-AVERAGE(OFFSET($H$3,0,0,'Données projet'!$E$14+1,1))</f>
        <v>382.26108489744581</v>
      </c>
      <c r="DU120" s="59">
        <f t="shared" si="98"/>
        <v>233.89423996158826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36.963137838899769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36.963137838899769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-2.4158453015843406E-13</v>
      </c>
      <c r="EK120" s="17">
        <f>EJ120*VLOOKUP('Données projet'!$B$15,Paramètres!$A$1:$I$89,3,0)*VLOOKUP('Données projet'!$B$15,Paramètres!$A$1:$I$89,5,0)</f>
        <v>-2.0351080820546486E-13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312.48716825299158</v>
      </c>
      <c r="EP120" s="59">
        <f t="shared" si="100"/>
        <v>258.68277822755357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129.66422610368167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129.66422610368167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5.3066239316239274</v>
      </c>
      <c r="FE120" s="12">
        <f>IF('Données projet'!$A$218&gt;35,FE119+FD120-FM119,IF(A120&lt;'Données projet'!$A$218,$FB$205^A120,IF(A120='Données projet'!$A$218,'Données projet'!$B$218,FE119+FD120-FM119)))</f>
        <v>235.84188034188</v>
      </c>
      <c r="FF120" s="17">
        <f>FE120*VLOOKUP('Données projet'!$B$16,Paramètres!$A$1:$I$89,3,0)*VLOOKUP('Données projet'!$B$16,Paramètres!$A$1:$I$89,5,0)</f>
        <v>253.86019999999962</v>
      </c>
      <c r="FG120" s="13">
        <f t="shared" si="101"/>
        <v>61.41180598640338</v>
      </c>
      <c r="FH120" s="20">
        <f t="shared" si="76"/>
        <v>549.09874375965182</v>
      </c>
      <c r="FI120" s="59">
        <f t="shared" si="77"/>
        <v>842.43207709298508</v>
      </c>
      <c r="FJ120" s="59">
        <f ca="1">AVERAGE(OFFSET($FI$3,0,0,'Données projet'!$E$16+1,1))-AVERAGE(OFFSET($H$3,0,0,'Données projet'!$E$16+1,1))</f>
        <v>403.23110963096246</v>
      </c>
      <c r="FK120" s="59">
        <f t="shared" si="102"/>
        <v>245.72000393124898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39.237792475139756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39.237792475139756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5.3066239316239274</v>
      </c>
      <c r="FZ120" s="12">
        <f>IF('Données projet'!$A$244&gt;35,FZ119+FY120-GH119,IF(A120&lt;'Données projet'!$A$244,$FW$205^A120,IF(A120='Données projet'!$A$244,'Données projet'!$B$244,FZ119+FY120-GH119)))</f>
        <v>235.84188034188</v>
      </c>
      <c r="GA120" s="17">
        <f>FZ120*VLOOKUP('Données projet'!$B$17,Paramètres!$A$1:$I$89,3,0)*VLOOKUP('Données projet'!$B$17,Paramètres!$A$1:$I$89,5,0)</f>
        <v>228.10626666666633</v>
      </c>
      <c r="GB120" s="13">
        <f t="shared" si="103"/>
        <v>55.873015288675091</v>
      </c>
      <c r="GC120" s="20">
        <f t="shared" si="79"/>
        <v>494.59724940555299</v>
      </c>
      <c r="GD120" s="59">
        <f t="shared" si="80"/>
        <v>787.9305827388863</v>
      </c>
      <c r="GE120" s="59">
        <f ca="1">AVERAGE(OFFSET($GD$3,0,0,'Données projet'!$E$17+1,1))-AVERAGE(OFFSET($H$3,0,0,'Données projet'!$E$17+1,1))</f>
        <v>336.2911850338175</v>
      </c>
      <c r="GF120" s="59">
        <f t="shared" si="104"/>
        <v>225.01415116995503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35.257146861719797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35.257146861719797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5.3066239316239274</v>
      </c>
      <c r="GU120" s="12">
        <f>IF('Données projet'!$A$270&gt;35,GU119+GT120-HC119,IF(A120&lt;'Données projet'!$A$270,$GR$205^A120,IF(A120='Données projet'!$A$270,'Données projet'!$B$270,GU119+GT120-HC119)))</f>
        <v>235.84188034188</v>
      </c>
      <c r="GV120" s="17">
        <f>GU120*VLOOKUP('Données projet'!$B$18,Paramètres!$A$1:$I$89,3,0)*VLOOKUP('Données projet'!$B$18,Paramètres!$A$1:$I$89,5,0)</f>
        <v>158.2027333333331</v>
      </c>
      <c r="GW120" s="13">
        <f t="shared" si="105"/>
        <v>40.436870760278531</v>
      </c>
      <c r="GX120" s="20">
        <f t="shared" si="82"/>
        <v>345.96397712970685</v>
      </c>
      <c r="GY120" s="59">
        <f t="shared" si="83"/>
        <v>639.29731046304016</v>
      </c>
      <c r="GZ120" s="59">
        <f ca="1">AVERAGE(OFFSET($GY$3,0,0,'Données projet'!$E$18+1,1))-AVERAGE(OFFSET($H$3,0,0,'Données projet'!$E$18+1,1))</f>
        <v>266.37807768393191</v>
      </c>
      <c r="HA120" s="59">
        <f t="shared" si="106"/>
        <v>168.52019826233425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30.139173930179819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84"/>
        <v>30.139173930179819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266.99999999999983</v>
      </c>
      <c r="O121" s="13">
        <f>N121*VLOOKUP('Données projet'!$B$9,Paramètres!$A$1:$I$89,3,0)*VLOOKUP('Données projet'!$B$9,Paramètres!$A$1:$I$89,5,0)</f>
        <v>233.2511999999999</v>
      </c>
      <c r="P121" s="13">
        <f t="shared" si="87"/>
        <v>56.985091661350864</v>
      </c>
      <c r="Q121" s="20">
        <f t="shared" si="107"/>
        <v>505.49487464351915</v>
      </c>
      <c r="R121" s="59">
        <f t="shared" si="55"/>
        <v>798.82820797685247</v>
      </c>
      <c r="S121" s="59">
        <f ca="1">AVERAGE(OFFSET($R$3,0,0,'Données projet'!$E$9+1,1))-AVERAGE(OFFSET($H$3,0,0,'Données projet'!$E$9+1,1))</f>
        <v>324.86930206492627</v>
      </c>
      <c r="T121" s="59">
        <f t="shared" si="88"/>
        <v>317.03005098025352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14.895218975718013</v>
      </c>
      <c r="AA121" s="21">
        <f>EXP(-LN(2)/25)*AA120+(1-EXP(-LN(2)/25))/(LN(2)/25)*Calculateur!V121*Calculateur!X121*VLOOKUP('Données projet'!$B$9,Paramètres!$A$1:$I$89,3,0)*0.475*44/12</f>
        <v>3.1889004321737731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18.084119407891787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6.8461538461538511</v>
      </c>
      <c r="AI121" s="13">
        <f>IF('Données projet'!$A$62&gt;35,AI120+AH121-AQ120,IF(A121&lt;'Données projet'!$A$62,$AF$205^A121,IF(A121='Données projet'!$A$62,'Données projet'!$B$62,AI120+AH121-AQ120)))</f>
        <v>350.49358974359023</v>
      </c>
      <c r="AJ121" s="13">
        <f>AI121*VLOOKUP('Données projet'!$B$10,Paramètres!$A$1:$I$89,3,0)*VLOOKUP('Données projet'!$B$10,Paramètres!$A$1:$I$89,5,0)</f>
        <v>333.5297000000005</v>
      </c>
      <c r="AK121" s="13">
        <f t="shared" si="89"/>
        <v>78.161650288083365</v>
      </c>
      <c r="AL121" s="20">
        <f t="shared" si="58"/>
        <v>717.029101751746</v>
      </c>
      <c r="AM121" s="59">
        <f t="shared" si="59"/>
        <v>1010.3624350850794</v>
      </c>
      <c r="AN121" s="59">
        <f ca="1">AVERAGE(OFFSET($AM$3,0,0,'Données projet'!$E$10+1,1))-AVERAGE(OFFSET($H$3,0,0,'Données projet'!$E$10+1,1))</f>
        <v>401.81944956556271</v>
      </c>
      <c r="AO121" s="59">
        <f t="shared" si="90"/>
        <v>292.20785523952651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52.949347032980931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52.949347032980931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1.7053025658242404E-13</v>
      </c>
      <c r="BE121" s="13">
        <f>BD121*VLOOKUP('Données projet'!$B$11,Paramètres!$A$1:$I$89,3,0)*VLOOKUP('Données projet'!$B$11,Paramètres!$A$1:$I$89,5,0)</f>
        <v>1.3301360013429075E-13</v>
      </c>
      <c r="BF121" s="13">
        <f t="shared" si="91"/>
        <v>1.9329766731057041E-12</v>
      </c>
      <c r="BG121" s="20">
        <f t="shared" si="61"/>
        <v>3.5982663925596575E-12</v>
      </c>
      <c r="BH121" s="59">
        <f t="shared" si="62"/>
        <v>293.3333333333369</v>
      </c>
      <c r="BI121" s="59">
        <f ca="1">AVERAGE(OFFSET($BH$3,0,0,'Données projet'!$E$11+1,1))-AVERAGE(OFFSET($H$3,0,0,'Données projet'!$E$11+1,1))</f>
        <v>288.80569134263209</v>
      </c>
      <c r="BJ121" s="59">
        <f t="shared" si="92"/>
        <v>283.48738729114024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30.743902406345235</v>
      </c>
      <c r="BQ121" s="21">
        <f>EXP(-LN(2)/25)*BQ120+(1-EXP(-LN(2)/25))/(LN(2)/25)*Calculateur!BL121*Calculateur!BN121*VLOOKUP('Données projet'!$B$11,Paramètres!$A$1:$I$89,3,0)*0.475*44/12</f>
        <v>17.531792936928216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48.275695343273455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212.00000000000009</v>
      </c>
      <c r="BZ121" s="13">
        <f>BY121*VLOOKUP('Données projet'!$B$12,Paramètres!$A$1:$I$89,3,0)*VLOOKUP('Données projet'!$B$12,Paramètres!$A$1:$I$89,5,0)</f>
        <v>221.58240000000012</v>
      </c>
      <c r="CA121" s="13">
        <f t="shared" si="93"/>
        <v>54.458668952651578</v>
      </c>
      <c r="CB121" s="20">
        <f t="shared" si="64"/>
        <v>480.77152842586838</v>
      </c>
      <c r="CC121" s="59">
        <f t="shared" si="65"/>
        <v>774.10486175920164</v>
      </c>
      <c r="CD121" s="59">
        <f ca="1">AVERAGE(OFFSET($CC$3,0,0,'Données projet'!$E$12+1,1))-AVERAGE(OFFSET($H$3,0,0,'Données projet'!$E$12+1,1))</f>
        <v>352.22281362023102</v>
      </c>
      <c r="CE121" s="59">
        <f t="shared" si="94"/>
        <v>310.2353747925161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12.510176965910798</v>
      </c>
      <c r="CL121" s="21">
        <f>EXP(-LN(2)/25)*CL120+(1-EXP(-LN(2)/25))/(LN(2)/25)*Calculateur!CG121*Calculateur!CI121*VLOOKUP('Données projet'!$B$12,Paramètres!$A$1:$I$89,3,0)*0.475*44/12</f>
        <v>10.15952980130098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22.669706767211778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5.3066239316239274</v>
      </c>
      <c r="CT121" s="12">
        <f>IF('Données projet'!$A$140&gt;35,CT120+CS121-DB120,IF(A121&lt;'Données projet'!$A$140,$CQ$205^A121,IF(A121='Données projet'!$A$140,'Données projet'!$B$140,CT120+CS121-DB120)))</f>
        <v>241.14850427350393</v>
      </c>
      <c r="CU121" s="17">
        <f>CT121*VLOOKUP('Données projet'!$B$13,Paramètres!$A$1:$I$89,3,0)*VLOOKUP('Données projet'!$B$13,Paramètres!$A$1:$I$89,5,0)</f>
        <v>218.19116666666633</v>
      </c>
      <c r="CV121" s="13">
        <f t="shared" si="95"/>
        <v>53.721556029282723</v>
      </c>
      <c r="CW121" s="20">
        <f t="shared" si="67"/>
        <v>473.58132536211127</v>
      </c>
      <c r="CX121" s="59">
        <f t="shared" si="68"/>
        <v>766.91465869544459</v>
      </c>
      <c r="CY121" s="59">
        <f ca="1">AVERAGE(OFFSET($CX$3,0,0,'Données projet'!$E$13+1,1))-AVERAGE(OFFSET($H$3,0,0,'Données projet'!$E$13+1,1))</f>
        <v>345.49688858037996</v>
      </c>
      <c r="CZ121" s="59">
        <f t="shared" si="96"/>
        <v>213.15872113755023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32.33572567027197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32.33572567027197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5.3066239316239274</v>
      </c>
      <c r="DO121" s="12">
        <f>IF('Données projet'!$A$166&gt;35,DO120+DN121-DW120,IF(A121&lt;'Données projet'!$A$166,$DL$205^A121,IF(A121='Données projet'!$A$166,'Données projet'!$B$166,DO120+DN121-DW120)))</f>
        <v>241.14850427350393</v>
      </c>
      <c r="DP121" s="17">
        <f>DO121*VLOOKUP('Données projet'!$B$14,Paramètres!$A$1:$I$89,3,0)*VLOOKUP('Données projet'!$B$14,Paramètres!$A$1:$I$89,5,0)</f>
        <v>244.52458333333303</v>
      </c>
      <c r="DQ121" s="13">
        <f t="shared" si="97"/>
        <v>59.41195592689057</v>
      </c>
      <c r="DR121" s="20">
        <f t="shared" si="70"/>
        <v>529.35613921155607</v>
      </c>
      <c r="DS121" s="59">
        <f t="shared" si="71"/>
        <v>822.68947254488944</v>
      </c>
      <c r="DT121" s="59">
        <f ca="1">AVERAGE(OFFSET($DS$3,0,0,'Données projet'!$E$14+1,1))-AVERAGE(OFFSET($H$3,0,0,'Données projet'!$E$14+1,1))</f>
        <v>382.26108489744581</v>
      </c>
      <c r="DU121" s="59">
        <f t="shared" si="98"/>
        <v>233.89423996158826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36.238313251166865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36.238313251166865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-2.4158453015843406E-13</v>
      </c>
      <c r="EK121" s="17">
        <f>EJ121*VLOOKUP('Données projet'!$B$15,Paramètres!$A$1:$I$89,3,0)*VLOOKUP('Données projet'!$B$15,Paramètres!$A$1:$I$89,5,0)</f>
        <v>-2.0351080820546486E-13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312.48716825299158</v>
      </c>
      <c r="EP121" s="59">
        <f t="shared" si="100"/>
        <v>258.68277822755357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127.12158971715716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127.12158971715716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5.3066239316239274</v>
      </c>
      <c r="FE121" s="12">
        <f>IF('Données projet'!$A$218&gt;35,FE120+FD121-FM120,IF(A121&lt;'Données projet'!$A$218,$FB$205^A121,IF(A121='Données projet'!$A$218,'Données projet'!$B$218,FE120+FD121-FM120)))</f>
        <v>241.14850427350393</v>
      </c>
      <c r="FF121" s="17">
        <f>FE121*VLOOKUP('Données projet'!$B$16,Paramètres!$A$1:$I$89,3,0)*VLOOKUP('Données projet'!$B$16,Paramètres!$A$1:$I$89,5,0)</f>
        <v>259.5722499999996</v>
      </c>
      <c r="FG121" s="13">
        <f t="shared" si="101"/>
        <v>62.631190206173727</v>
      </c>
      <c r="FH121" s="20">
        <f t="shared" si="76"/>
        <v>561.17099169241851</v>
      </c>
      <c r="FI121" s="59">
        <f t="shared" si="77"/>
        <v>854.50432502575177</v>
      </c>
      <c r="FJ121" s="59">
        <f ca="1">AVERAGE(OFFSET($FI$3,0,0,'Données projet'!$E$16+1,1))-AVERAGE(OFFSET($H$3,0,0,'Données projet'!$E$16+1,1))</f>
        <v>403.23110963096246</v>
      </c>
      <c r="FK121" s="59">
        <f t="shared" si="102"/>
        <v>245.72000393124898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38.468363297392521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38.468363297392521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5.3066239316239274</v>
      </c>
      <c r="FZ121" s="12">
        <f>IF('Données projet'!$A$244&gt;35,FZ120+FY121-GH120,IF(A121&lt;'Données projet'!$A$244,$FW$205^A121,IF(A121='Données projet'!$A$244,'Données projet'!$B$244,FZ120+FY121-GH120)))</f>
        <v>241.14850427350393</v>
      </c>
      <c r="GA121" s="17">
        <f>FZ121*VLOOKUP('Données projet'!$B$17,Paramètres!$A$1:$I$89,3,0)*VLOOKUP('Données projet'!$B$17,Paramètres!$A$1:$I$89,5,0)</f>
        <v>233.23883333333302</v>
      </c>
      <c r="GB121" s="13">
        <f t="shared" si="103"/>
        <v>56.982422055984379</v>
      </c>
      <c r="GC121" s="20">
        <f t="shared" si="79"/>
        <v>505.4686864697278</v>
      </c>
      <c r="GD121" s="59">
        <f t="shared" si="80"/>
        <v>798.80201980306106</v>
      </c>
      <c r="GE121" s="59">
        <f ca="1">AVERAGE(OFFSET($GD$3,0,0,'Données projet'!$E$17+1,1))-AVERAGE(OFFSET($H$3,0,0,'Données projet'!$E$17+1,1))</f>
        <v>336.2911850338175</v>
      </c>
      <c r="GF121" s="59">
        <f t="shared" si="104"/>
        <v>225.01415116995503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34.56577571649764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34.56577571649764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5.3066239316239274</v>
      </c>
      <c r="GU121" s="12">
        <f>IF('Données projet'!$A$270&gt;35,GU120+GT121-HC120,IF(A121&lt;'Données projet'!$A$270,$GR$205^A121,IF(A121='Données projet'!$A$270,'Données projet'!$B$270,GU120+GT121-HC120)))</f>
        <v>241.14850427350393</v>
      </c>
      <c r="GV121" s="17">
        <f>GU121*VLOOKUP('Données projet'!$B$18,Paramètres!$A$1:$I$89,3,0)*VLOOKUP('Données projet'!$B$18,Paramètres!$A$1:$I$89,5,0)</f>
        <v>161.76241666666644</v>
      </c>
      <c r="GW121" s="13">
        <f t="shared" si="105"/>
        <v>41.239779603455943</v>
      </c>
      <c r="GX121" s="20">
        <f t="shared" si="82"/>
        <v>353.56215850379652</v>
      </c>
      <c r="GY121" s="59">
        <f t="shared" si="83"/>
        <v>646.89549183712984</v>
      </c>
      <c r="GZ121" s="59">
        <f ca="1">AVERAGE(OFFSET($GY$3,0,0,'Données projet'!$E$18+1,1))-AVERAGE(OFFSET($H$3,0,0,'Données projet'!$E$18+1,1))</f>
        <v>266.37807768393191</v>
      </c>
      <c r="HA121" s="59">
        <f t="shared" si="106"/>
        <v>168.52019826233425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29.548163112489913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84"/>
        <v>29.548163112489913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266.99999999999983</v>
      </c>
      <c r="O122" s="13">
        <f>N122*VLOOKUP('Données projet'!$B$9,Paramètres!$A$1:$I$89,3,0)*VLOOKUP('Données projet'!$B$9,Paramètres!$A$1:$I$89,5,0)</f>
        <v>233.2511999999999</v>
      </c>
      <c r="P122" s="13">
        <f t="shared" si="87"/>
        <v>56.985091661350864</v>
      </c>
      <c r="Q122" s="20">
        <f t="shared" si="107"/>
        <v>505.49487464351915</v>
      </c>
      <c r="R122" s="59">
        <f t="shared" si="55"/>
        <v>798.82820797685247</v>
      </c>
      <c r="S122" s="59">
        <f ca="1">AVERAGE(OFFSET($R$3,0,0,'Données projet'!$E$9+1,1))-AVERAGE(OFFSET($H$3,0,0,'Données projet'!$E$9+1,1))</f>
        <v>324.86930206492627</v>
      </c>
      <c r="T122" s="59">
        <f t="shared" si="88"/>
        <v>317.03005098025352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14.603132816790669</v>
      </c>
      <c r="AA122" s="21">
        <f>EXP(-LN(2)/25)*AA121+(1-EXP(-LN(2)/25))/(LN(2)/25)*Calculateur!V122*Calculateur!X122*VLOOKUP('Données projet'!$B$9,Paramètres!$A$1:$I$89,3,0)*0.475*44/12</f>
        <v>3.1016997821589958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17.704832598949665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357.33974358974359</v>
      </c>
      <c r="AG122" s="12">
        <f>VLOOKUP(A122,'Données projet'!$A$61:$I$81,9,0)</f>
        <v>6.8461538461538511</v>
      </c>
      <c r="AH122" s="12">
        <f t="array" ref="AH122">INDEX(AG:AG,MIN(IF(ISNUMBER(AG122:AG318),ROW(AG122:AG318),"")))</f>
        <v>6.8461538461538511</v>
      </c>
      <c r="AI122" s="13">
        <f>IF('Données projet'!$A$62&gt;35,AI121+AH122-AQ121,IF(A122&lt;'Données projet'!$A$62,$AF$205^A122,IF(A122='Données projet'!$A$62,'Données projet'!$B$62,AI121+AH122-AQ121)))</f>
        <v>357.3397435897441</v>
      </c>
      <c r="AJ122" s="13">
        <f>AI122*VLOOKUP('Données projet'!$B$10,Paramètres!$A$1:$I$89,3,0)*VLOOKUP('Données projet'!$B$10,Paramètres!$A$1:$I$89,5,0)</f>
        <v>340.04450000000048</v>
      </c>
      <c r="AK122" s="13">
        <f t="shared" si="89"/>
        <v>79.509140333510132</v>
      </c>
      <c r="AL122" s="20">
        <f t="shared" si="58"/>
        <v>730.722590247531</v>
      </c>
      <c r="AM122" s="59">
        <f t="shared" si="59"/>
        <v>1024.0559235808644</v>
      </c>
      <c r="AN122" s="59">
        <f ca="1">AVERAGE(OFFSET($AM$3,0,0,'Données projet'!$E$10+1,1))-AVERAGE(OFFSET($H$3,0,0,'Données projet'!$E$10+1,1))</f>
        <v>401.81944956556271</v>
      </c>
      <c r="AO122" s="59">
        <f t="shared" si="90"/>
        <v>292.20785523952651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150.02564102564102</v>
      </c>
      <c r="AR122" s="16">
        <f>IF(ISNA(VLOOKUP(A122,'Données projet'!$A$61:$I$81,5,0)),0%,VLOOKUP(A122,'Données projet'!$A$61:$I$81,5,0)*VLOOKUP('Données projet'!$B$10,Paramètres!$A$1:$I$89,7,0))</f>
        <v>0.38700000000000001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112.98808521342116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112.98808521342116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1.7053025658242404E-13</v>
      </c>
      <c r="BE122" s="13">
        <f>BD122*VLOOKUP('Données projet'!$B$11,Paramètres!$A$1:$I$89,3,0)*VLOOKUP('Données projet'!$B$11,Paramètres!$A$1:$I$89,5,0)</f>
        <v>1.3301360013429075E-13</v>
      </c>
      <c r="BF122" s="13">
        <f t="shared" si="91"/>
        <v>1.9329766731057041E-12</v>
      </c>
      <c r="BG122" s="20">
        <f t="shared" si="61"/>
        <v>3.5982663925596575E-12</v>
      </c>
      <c r="BH122" s="59">
        <f t="shared" si="62"/>
        <v>293.3333333333369</v>
      </c>
      <c r="BI122" s="59">
        <f ca="1">AVERAGE(OFFSET($BH$3,0,0,'Données projet'!$E$11+1,1))-AVERAGE(OFFSET($H$3,0,0,'Données projet'!$E$11+1,1))</f>
        <v>288.80569134263209</v>
      </c>
      <c r="BJ122" s="59">
        <f t="shared" si="92"/>
        <v>283.48738729114024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30.141033232085675</v>
      </c>
      <c r="BQ122" s="21">
        <f>EXP(-LN(2)/25)*BQ121+(1-EXP(-LN(2)/25))/(LN(2)/25)*Calculateur!BL122*Calculateur!BN122*VLOOKUP('Données projet'!$B$11,Paramètres!$A$1:$I$89,3,0)*0.475*44/12</f>
        <v>17.052385137110992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47.193418369196664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212.00000000000009</v>
      </c>
      <c r="BZ122" s="13">
        <f>BY122*VLOOKUP('Données projet'!$B$12,Paramètres!$A$1:$I$89,3,0)*VLOOKUP('Données projet'!$B$12,Paramètres!$A$1:$I$89,5,0)</f>
        <v>221.58240000000012</v>
      </c>
      <c r="CA122" s="13">
        <f t="shared" si="93"/>
        <v>54.458668952651578</v>
      </c>
      <c r="CB122" s="20">
        <f t="shared" si="64"/>
        <v>480.77152842586838</v>
      </c>
      <c r="CC122" s="59">
        <f t="shared" si="65"/>
        <v>774.10486175920164</v>
      </c>
      <c r="CD122" s="59">
        <f ca="1">AVERAGE(OFFSET($CC$3,0,0,'Données projet'!$E$12+1,1))-AVERAGE(OFFSET($H$3,0,0,'Données projet'!$E$12+1,1))</f>
        <v>352.22281362023102</v>
      </c>
      <c r="CE122" s="59">
        <f t="shared" si="94"/>
        <v>310.2353747925161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12.264860026063792</v>
      </c>
      <c r="CL122" s="21">
        <f>EXP(-LN(2)/25)*CL121+(1-EXP(-LN(2)/25))/(LN(2)/25)*Calculateur!CG122*Calculateur!CI122*VLOOKUP('Données projet'!$B$12,Paramètres!$A$1:$I$89,3,0)*0.475*44/12</f>
        <v>9.8817169246179528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22.146576950681744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5.3066239316239274</v>
      </c>
      <c r="CT122" s="12">
        <f>IF('Données projet'!$A$140&gt;35,CT121+CS122-DB121,IF(A122&lt;'Données projet'!$A$140,$CQ$205^A122,IF(A122='Données projet'!$A$140,'Données projet'!$B$140,CT121+CS122-DB121)))</f>
        <v>246.45512820512786</v>
      </c>
      <c r="CU122" s="17">
        <f>CT122*VLOOKUP('Données projet'!$B$13,Paramètres!$A$1:$I$89,3,0)*VLOOKUP('Données projet'!$B$13,Paramètres!$A$1:$I$89,5,0)</f>
        <v>222.99259999999967</v>
      </c>
      <c r="CV122" s="13">
        <f t="shared" si="95"/>
        <v>54.764800203643112</v>
      </c>
      <c r="CW122" s="20">
        <f t="shared" si="67"/>
        <v>483.76080535467781</v>
      </c>
      <c r="CX122" s="59">
        <f t="shared" si="68"/>
        <v>777.09413868801107</v>
      </c>
      <c r="CY122" s="59">
        <f ca="1">AVERAGE(OFFSET($CX$3,0,0,'Données projet'!$E$13+1,1))-AVERAGE(OFFSET($H$3,0,0,'Données projet'!$E$13+1,1))</f>
        <v>345.49688858037996</v>
      </c>
      <c r="CZ122" s="59">
        <f t="shared" si="96"/>
        <v>213.15872113755023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31.701641812723125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31.701641812723125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5.3066239316239274</v>
      </c>
      <c r="DO122" s="12">
        <f>IF('Données projet'!$A$166&gt;35,DO121+DN122-DW121,IF(A122&lt;'Données projet'!$A$166,$DL$205^A122,IF(A122='Données projet'!$A$166,'Données projet'!$B$166,DO121+DN122-DW121)))</f>
        <v>246.45512820512786</v>
      </c>
      <c r="DP122" s="17">
        <f>DO122*VLOOKUP('Données projet'!$B$14,Paramètres!$A$1:$I$89,3,0)*VLOOKUP('Données projet'!$B$14,Paramètres!$A$1:$I$89,5,0)</f>
        <v>249.90549999999968</v>
      </c>
      <c r="DQ122" s="13">
        <f t="shared" si="97"/>
        <v>60.565704654390196</v>
      </c>
      <c r="DR122" s="20">
        <f t="shared" si="70"/>
        <v>540.73734810639564</v>
      </c>
      <c r="DS122" s="59">
        <f t="shared" si="71"/>
        <v>834.07068143972901</v>
      </c>
      <c r="DT122" s="59">
        <f ca="1">AVERAGE(OFFSET($DS$3,0,0,'Données projet'!$E$14+1,1))-AVERAGE(OFFSET($H$3,0,0,'Données projet'!$E$14+1,1))</f>
        <v>382.26108489744581</v>
      </c>
      <c r="DU122" s="59">
        <f t="shared" si="98"/>
        <v>233.89423996158826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35.527702031500056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35.527702031500056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-2.4158453015843406E-13</v>
      </c>
      <c r="EK122" s="17">
        <f>EJ122*VLOOKUP('Données projet'!$B$15,Paramètres!$A$1:$I$89,3,0)*VLOOKUP('Données projet'!$B$15,Paramètres!$A$1:$I$89,5,0)</f>
        <v>-2.0351080820546486E-13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312.48716825299158</v>
      </c>
      <c r="EP122" s="59">
        <f t="shared" si="100"/>
        <v>258.68277822755357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124.62881287931735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124.62881287931735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5.3066239316239274</v>
      </c>
      <c r="FE122" s="12">
        <f>IF('Données projet'!$A$218&gt;35,FE121+FD122-FM121,IF(A122&lt;'Données projet'!$A$218,$FB$205^A122,IF(A122='Données projet'!$A$218,'Données projet'!$B$218,FE121+FD122-FM121)))</f>
        <v>246.45512820512786</v>
      </c>
      <c r="FF122" s="17">
        <f>FE122*VLOOKUP('Données projet'!$B$16,Paramètres!$A$1:$I$89,3,0)*VLOOKUP('Données projet'!$B$16,Paramètres!$A$1:$I$89,5,0)</f>
        <v>265.28429999999963</v>
      </c>
      <c r="FG122" s="13">
        <f t="shared" si="101"/>
        <v>63.847454758902479</v>
      </c>
      <c r="FH122" s="20">
        <f t="shared" si="76"/>
        <v>573.23780620508774</v>
      </c>
      <c r="FI122" s="59">
        <f t="shared" si="77"/>
        <v>866.57113953842099</v>
      </c>
      <c r="FJ122" s="59">
        <f ca="1">AVERAGE(OFFSET($FI$3,0,0,'Données projet'!$E$16+1,1))-AVERAGE(OFFSET($H$3,0,0,'Données projet'!$E$16+1,1))</f>
        <v>403.23110963096246</v>
      </c>
      <c r="FK122" s="59">
        <f t="shared" si="102"/>
        <v>245.72000393124898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37.714022156515448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37.714022156515448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5.3066239316239274</v>
      </c>
      <c r="FZ122" s="12">
        <f>IF('Données projet'!$A$244&gt;35,FZ121+FY122-GH121,IF(A122&lt;'Données projet'!$A$244,$FW$205^A122,IF(A122='Données projet'!$A$244,'Données projet'!$B$244,FZ121+FY122-GH121)))</f>
        <v>246.45512820512786</v>
      </c>
      <c r="GA122" s="17">
        <f>FZ122*VLOOKUP('Données projet'!$B$17,Paramètres!$A$1:$I$89,3,0)*VLOOKUP('Données projet'!$B$17,Paramètres!$A$1:$I$89,5,0)</f>
        <v>238.37139999999968</v>
      </c>
      <c r="GB122" s="13">
        <f t="shared" si="103"/>
        <v>58.088990522066126</v>
      </c>
      <c r="GC122" s="20">
        <f t="shared" si="79"/>
        <v>516.33518015926472</v>
      </c>
      <c r="GD122" s="59">
        <f t="shared" si="80"/>
        <v>809.66851349259809</v>
      </c>
      <c r="GE122" s="59">
        <f ca="1">AVERAGE(OFFSET($GD$3,0,0,'Données projet'!$E$17+1,1))-AVERAGE(OFFSET($H$3,0,0,'Données projet'!$E$17+1,1))</f>
        <v>336.2911850338175</v>
      </c>
      <c r="GF122" s="59">
        <f t="shared" si="104"/>
        <v>225.01415116995503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33.887961937738531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33.887961937738531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5.3066239316239274</v>
      </c>
      <c r="GU122" s="12">
        <f>IF('Données projet'!$A$270&gt;35,GU121+GT122-HC121,IF(A122&lt;'Données projet'!$A$270,$GR$205^A122,IF(A122='Données projet'!$A$270,'Données projet'!$B$270,GU121+GT122-HC121)))</f>
        <v>246.45512820512786</v>
      </c>
      <c r="GV122" s="17">
        <f>GU122*VLOOKUP('Données projet'!$B$18,Paramètres!$A$1:$I$89,3,0)*VLOOKUP('Données projet'!$B$18,Paramètres!$A$1:$I$89,5,0)</f>
        <v>165.32209999999978</v>
      </c>
      <c r="GW122" s="13">
        <f t="shared" si="105"/>
        <v>42.040634288300858</v>
      </c>
      <c r="GX122" s="20">
        <f t="shared" si="82"/>
        <v>361.15676221879022</v>
      </c>
      <c r="GY122" s="59">
        <f t="shared" si="83"/>
        <v>654.49009555212353</v>
      </c>
      <c r="GZ122" s="59">
        <f ca="1">AVERAGE(OFFSET($GY$3,0,0,'Données projet'!$E$18+1,1))-AVERAGE(OFFSET($H$3,0,0,'Données projet'!$E$18+1,1))</f>
        <v>266.37807768393191</v>
      </c>
      <c r="HA122" s="59">
        <f t="shared" si="106"/>
        <v>168.52019826233425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28.968741656453901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84"/>
        <v>28.968741656453901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266.99999999999983</v>
      </c>
      <c r="O123" s="13">
        <f>N123*VLOOKUP('Données projet'!$B$9,Paramètres!$A$1:$I$89,3,0)*VLOOKUP('Données projet'!$B$9,Paramètres!$A$1:$I$89,5,0)</f>
        <v>233.2511999999999</v>
      </c>
      <c r="P123" s="13">
        <f t="shared" si="87"/>
        <v>56.985091661350864</v>
      </c>
      <c r="Q123" s="20">
        <f t="shared" si="107"/>
        <v>505.49487464351915</v>
      </c>
      <c r="R123" s="59">
        <f t="shared" si="55"/>
        <v>798.82820797685247</v>
      </c>
      <c r="S123" s="59">
        <f ca="1">AVERAGE(OFFSET($R$3,0,0,'Données projet'!$E$9+1,1))-AVERAGE(OFFSET($H$3,0,0,'Données projet'!$E$9+1,1))</f>
        <v>324.86930206492627</v>
      </c>
      <c r="T123" s="59">
        <f t="shared" si="88"/>
        <v>317.03005098025352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14.316774289284925</v>
      </c>
      <c r="AA123" s="21">
        <f>EXP(-LN(2)/25)*AA122+(1-EXP(-LN(2)/25))/(LN(2)/25)*Calculateur!V123*Calculateur!X123*VLOOKUP('Données projet'!$B$9,Paramètres!$A$1:$I$89,3,0)*0.475*44/12</f>
        <v>3.0168836385045554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17.333657927789481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3.8301282051282044</v>
      </c>
      <c r="AI123" s="13">
        <f>IF('Données projet'!$A$62&gt;35,AI122+AH123-AQ122,IF(A123&lt;'Données projet'!$A$62,$AF$205^A123,IF(A123='Données projet'!$A$62,'Données projet'!$B$62,AI122+AH123-AQ122)))</f>
        <v>211.14423076923126</v>
      </c>
      <c r="AJ123" s="13">
        <f>AI123*VLOOKUP('Données projet'!$B$10,Paramètres!$A$1:$I$89,3,0)*VLOOKUP('Données projet'!$B$10,Paramètres!$A$1:$I$89,5,0)</f>
        <v>200.92485000000045</v>
      </c>
      <c r="AK123" s="13">
        <f t="shared" si="89"/>
        <v>49.947367154828399</v>
      </c>
      <c r="AL123" s="20">
        <f t="shared" si="58"/>
        <v>436.93577821132686</v>
      </c>
      <c r="AM123" s="59">
        <f t="shared" si="59"/>
        <v>730.26911154466018</v>
      </c>
      <c r="AN123" s="59">
        <f ca="1">AVERAGE(OFFSET($AM$3,0,0,'Données projet'!$E$10+1,1))-AVERAGE(OFFSET($H$3,0,0,'Données projet'!$E$10+1,1))</f>
        <v>401.81944956556271</v>
      </c>
      <c r="AO123" s="59">
        <f t="shared" si="90"/>
        <v>292.20785523952651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110.77245777831307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110.77245777831307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1.7053025658242404E-13</v>
      </c>
      <c r="BE123" s="13">
        <f>BD123*VLOOKUP('Données projet'!$B$11,Paramètres!$A$1:$I$89,3,0)*VLOOKUP('Données projet'!$B$11,Paramètres!$A$1:$I$89,5,0)</f>
        <v>1.3301360013429075E-13</v>
      </c>
      <c r="BF123" s="13">
        <f t="shared" si="91"/>
        <v>1.9329766731057041E-12</v>
      </c>
      <c r="BG123" s="20">
        <f t="shared" si="61"/>
        <v>3.5982663925596575E-12</v>
      </c>
      <c r="BH123" s="59">
        <f t="shared" si="62"/>
        <v>293.3333333333369</v>
      </c>
      <c r="BI123" s="59">
        <f ca="1">AVERAGE(OFFSET($BH$3,0,0,'Données projet'!$E$11+1,1))-AVERAGE(OFFSET($H$3,0,0,'Données projet'!$E$11+1,1))</f>
        <v>288.80569134263209</v>
      </c>
      <c r="BJ123" s="59">
        <f t="shared" si="92"/>
        <v>283.48738729114024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29.549985954619455</v>
      </c>
      <c r="BQ123" s="21">
        <f>EXP(-LN(2)/25)*BQ122+(1-EXP(-LN(2)/25))/(LN(2)/25)*Calculateur!BL123*Calculateur!BN123*VLOOKUP('Données projet'!$B$11,Paramètres!$A$1:$I$89,3,0)*0.475*44/12</f>
        <v>16.586086768790732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46.136072723410187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212.00000000000009</v>
      </c>
      <c r="BZ123" s="13">
        <f>BY123*VLOOKUP('Données projet'!$B$12,Paramètres!$A$1:$I$89,3,0)*VLOOKUP('Données projet'!$B$12,Paramètres!$A$1:$I$89,5,0)</f>
        <v>221.58240000000012</v>
      </c>
      <c r="CA123" s="13">
        <f t="shared" si="93"/>
        <v>54.458668952651578</v>
      </c>
      <c r="CB123" s="20">
        <f t="shared" si="64"/>
        <v>480.77152842586838</v>
      </c>
      <c r="CC123" s="59">
        <f t="shared" si="65"/>
        <v>774.10486175920164</v>
      </c>
      <c r="CD123" s="59">
        <f ca="1">AVERAGE(OFFSET($CC$3,0,0,'Données projet'!$E$12+1,1))-AVERAGE(OFFSET($H$3,0,0,'Données projet'!$E$12+1,1))</f>
        <v>352.22281362023102</v>
      </c>
      <c r="CE123" s="59">
        <f t="shared" si="94"/>
        <v>310.2353747925161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12.024353601778627</v>
      </c>
      <c r="CL123" s="21">
        <f>EXP(-LN(2)/25)*CL122+(1-EXP(-LN(2)/25))/(LN(2)/25)*Calculateur!CG123*Calculateur!CI123*VLOOKUP('Données projet'!$B$12,Paramètres!$A$1:$I$89,3,0)*0.475*44/12</f>
        <v>9.6115008556573667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21.635854457435993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5.3066239316239274</v>
      </c>
      <c r="CT123" s="12">
        <f>IF('Données projet'!$A$140&gt;35,CT122+CS123-DB122,IF(A123&lt;'Données projet'!$A$140,$CQ$205^A123,IF(A123='Données projet'!$A$140,'Données projet'!$B$140,CT122+CS123-DB122)))</f>
        <v>251.7617521367518</v>
      </c>
      <c r="CU123" s="17">
        <f>CT123*VLOOKUP('Données projet'!$B$13,Paramètres!$A$1:$I$89,3,0)*VLOOKUP('Données projet'!$B$13,Paramètres!$A$1:$I$89,5,0)</f>
        <v>227.794033333333</v>
      </c>
      <c r="CV123" s="13">
        <f t="shared" si="95"/>
        <v>55.805432753411694</v>
      </c>
      <c r="CW123" s="20">
        <f t="shared" si="67"/>
        <v>493.93573676774707</v>
      </c>
      <c r="CX123" s="59">
        <f t="shared" si="68"/>
        <v>787.26907010108039</v>
      </c>
      <c r="CY123" s="59">
        <f ca="1">AVERAGE(OFFSET($CX$3,0,0,'Données projet'!$E$13+1,1))-AVERAGE(OFFSET($H$3,0,0,'Données projet'!$E$13+1,1))</f>
        <v>345.49688858037996</v>
      </c>
      <c r="CZ123" s="59">
        <f t="shared" si="96"/>
        <v>213.15872113755023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31.07999195286785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31.07999195286785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5.3066239316239274</v>
      </c>
      <c r="DO123" s="12">
        <f>IF('Données projet'!$A$166&gt;35,DO122+DN123-DW122,IF(A123&lt;'Données projet'!$A$166,$DL$205^A123,IF(A123='Données projet'!$A$166,'Données projet'!$B$166,DO122+DN123-DW122)))</f>
        <v>251.7617521367518</v>
      </c>
      <c r="DP123" s="17">
        <f>DO123*VLOOKUP('Données projet'!$B$14,Paramètres!$A$1:$I$89,3,0)*VLOOKUP('Données projet'!$B$14,Paramètres!$A$1:$I$89,5,0)</f>
        <v>255.28641666666636</v>
      </c>
      <c r="DQ123" s="13">
        <f t="shared" si="97"/>
        <v>61.716565123681811</v>
      </c>
      <c r="DR123" s="20">
        <f t="shared" si="70"/>
        <v>552.11352661818967</v>
      </c>
      <c r="DS123" s="59">
        <f t="shared" si="71"/>
        <v>845.44685995152304</v>
      </c>
      <c r="DT123" s="59">
        <f ca="1">AVERAGE(OFFSET($DS$3,0,0,'Données projet'!$E$14+1,1))-AVERAGE(OFFSET($H$3,0,0,'Données projet'!$E$14+1,1))</f>
        <v>382.26108489744581</v>
      </c>
      <c r="DU123" s="59">
        <f t="shared" si="98"/>
        <v>233.89423996158826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34.831025464420868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34.831025464420868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-2.4158453015843406E-13</v>
      </c>
      <c r="EK123" s="17">
        <f>EJ123*VLOOKUP('Données projet'!$B$15,Paramètres!$A$1:$I$89,3,0)*VLOOKUP('Données projet'!$B$15,Paramètres!$A$1:$I$89,5,0)</f>
        <v>-2.0351080820546486E-13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312.48716825299158</v>
      </c>
      <c r="EP123" s="59">
        <f t="shared" si="100"/>
        <v>258.68277822755357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122.18491787482382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122.18491787482382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5.3066239316239274</v>
      </c>
      <c r="FE123" s="12">
        <f>IF('Données projet'!$A$218&gt;35,FE122+FD123-FM122,IF(A123&lt;'Données projet'!$A$218,$FB$205^A123,IF(A123='Données projet'!$A$218,'Données projet'!$B$218,FE122+FD123-FM122)))</f>
        <v>251.7617521367518</v>
      </c>
      <c r="FF123" s="17">
        <f>FE123*VLOOKUP('Données projet'!$B$16,Paramètres!$A$1:$I$89,3,0)*VLOOKUP('Données projet'!$B$16,Paramètres!$A$1:$I$89,5,0)</f>
        <v>270.99634999999961</v>
      </c>
      <c r="FG123" s="13">
        <f t="shared" si="101"/>
        <v>65.060674553276314</v>
      </c>
      <c r="FH123" s="20">
        <f t="shared" si="76"/>
        <v>585.29931776362218</v>
      </c>
      <c r="FI123" s="59">
        <f t="shared" si="77"/>
        <v>878.63265109695544</v>
      </c>
      <c r="FJ123" s="59">
        <f ca="1">AVERAGE(OFFSET($FI$3,0,0,'Données projet'!$E$16+1,1))-AVERAGE(OFFSET($H$3,0,0,'Données projet'!$E$16+1,1))</f>
        <v>403.23110963096246</v>
      </c>
      <c r="FK123" s="59">
        <f t="shared" si="102"/>
        <v>245.72000393124898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36.974473185308312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36.974473185308312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5.3066239316239274</v>
      </c>
      <c r="FZ123" s="12">
        <f>IF('Données projet'!$A$244&gt;35,FZ122+FY123-GH122,IF(A123&lt;'Données projet'!$A$244,$FW$205^A123,IF(A123='Données projet'!$A$244,'Données projet'!$B$244,FZ122+FY123-GH122)))</f>
        <v>251.7617521367518</v>
      </c>
      <c r="GA123" s="17">
        <f>FZ123*VLOOKUP('Données projet'!$B$17,Paramètres!$A$1:$I$89,3,0)*VLOOKUP('Données projet'!$B$17,Paramètres!$A$1:$I$89,5,0)</f>
        <v>243.50396666666632</v>
      </c>
      <c r="GB123" s="13">
        <f t="shared" si="103"/>
        <v>59.192788839519665</v>
      </c>
      <c r="GC123" s="20">
        <f t="shared" si="79"/>
        <v>527.19684917327379</v>
      </c>
      <c r="GD123" s="59">
        <f t="shared" si="80"/>
        <v>820.53018250660716</v>
      </c>
      <c r="GE123" s="59">
        <f ca="1">AVERAGE(OFFSET($GD$3,0,0,'Données projet'!$E$17+1,1))-AVERAGE(OFFSET($H$3,0,0,'Données projet'!$E$17+1,1))</f>
        <v>336.2911850338175</v>
      </c>
      <c r="GF123" s="59">
        <f t="shared" si="104"/>
        <v>225.01415116995503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33.223439673755308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33.223439673755308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5.3066239316239274</v>
      </c>
      <c r="GU123" s="12">
        <f>IF('Données projet'!$A$270&gt;35,GU122+GT123-HC122,IF(A123&lt;'Données projet'!$A$270,$GR$205^A123,IF(A123='Données projet'!$A$270,'Données projet'!$B$270,GU122+GT123-HC122)))</f>
        <v>251.7617521367518</v>
      </c>
      <c r="GV123" s="17">
        <f>GU123*VLOOKUP('Données projet'!$B$18,Paramètres!$A$1:$I$89,3,0)*VLOOKUP('Données projet'!$B$18,Paramètres!$A$1:$I$89,5,0)</f>
        <v>168.88178333333312</v>
      </c>
      <c r="GW123" s="13">
        <f t="shared" si="105"/>
        <v>42.839484138763979</v>
      </c>
      <c r="GX123" s="20">
        <f t="shared" si="82"/>
        <v>368.74787418056911</v>
      </c>
      <c r="GY123" s="59">
        <f t="shared" si="83"/>
        <v>662.08120751390243</v>
      </c>
      <c r="GZ123" s="59">
        <f ca="1">AVERAGE(OFFSET($GY$3,0,0,'Données projet'!$E$18+1,1))-AVERAGE(OFFSET($H$3,0,0,'Données projet'!$E$18+1,1))</f>
        <v>266.37807768393191</v>
      </c>
      <c r="HA123" s="59">
        <f t="shared" si="106"/>
        <v>168.52019826233425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28.400682301758561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84"/>
        <v>28.400682301758561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266.99999999999983</v>
      </c>
      <c r="O124" s="13">
        <f>N124*VLOOKUP('Données projet'!$B$9,Paramètres!$A$1:$I$89,3,0)*VLOOKUP('Données projet'!$B$9,Paramètres!$A$1:$I$89,5,0)</f>
        <v>233.2511999999999</v>
      </c>
      <c r="P124" s="13">
        <f t="shared" si="87"/>
        <v>56.985091661350864</v>
      </c>
      <c r="Q124" s="20">
        <f t="shared" si="107"/>
        <v>505.49487464351915</v>
      </c>
      <c r="R124" s="59">
        <f t="shared" si="55"/>
        <v>798.82820797685247</v>
      </c>
      <c r="S124" s="59">
        <f ca="1">AVERAGE(OFFSET($R$3,0,0,'Données projet'!$E$9+1,1))-AVERAGE(OFFSET($H$3,0,0,'Données projet'!$E$9+1,1))</f>
        <v>324.86930206492627</v>
      </c>
      <c r="T124" s="59">
        <f t="shared" si="88"/>
        <v>317.03005098025352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14.036031077842114</v>
      </c>
      <c r="AA124" s="21">
        <f>EXP(-LN(2)/25)*AA123+(1-EXP(-LN(2)/25))/(LN(2)/25)*Calculateur!V124*Calculateur!X124*VLOOKUP('Données projet'!$B$9,Paramètres!$A$1:$I$89,3,0)*0.475*44/12</f>
        <v>2.9343867967586328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16.970417874600749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3.8301282051282044</v>
      </c>
      <c r="AI124" s="13">
        <f>IF('Données projet'!$A$62&gt;35,AI123+AH124-AQ123,IF(A124&lt;'Données projet'!$A$62,$AF$205^A124,IF(A124='Données projet'!$A$62,'Données projet'!$B$62,AI123+AH124-AQ123)))</f>
        <v>214.97435897435946</v>
      </c>
      <c r="AJ124" s="13">
        <f>AI124*VLOOKUP('Données projet'!$B$10,Paramètres!$A$1:$I$89,3,0)*VLOOKUP('Données projet'!$B$10,Paramètres!$A$1:$I$89,5,0)</f>
        <v>204.56960000000046</v>
      </c>
      <c r="AK124" s="13">
        <f t="shared" si="89"/>
        <v>50.747103298359882</v>
      </c>
      <c r="AL124" s="20">
        <f t="shared" si="58"/>
        <v>444.6765915779776</v>
      </c>
      <c r="AM124" s="59">
        <f t="shared" si="59"/>
        <v>738.00992491131092</v>
      </c>
      <c r="AN124" s="59">
        <f ca="1">AVERAGE(OFFSET($AM$3,0,0,'Données projet'!$E$10+1,1))-AVERAGE(OFFSET($H$3,0,0,'Données projet'!$E$10+1,1))</f>
        <v>401.81944956556271</v>
      </c>
      <c r="AO124" s="59">
        <f t="shared" si="90"/>
        <v>292.20785523952651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108.60027744580815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108.60027744580815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1.7053025658242404E-13</v>
      </c>
      <c r="BE124" s="13">
        <f>BD124*VLOOKUP('Données projet'!$B$11,Paramètres!$A$1:$I$89,3,0)*VLOOKUP('Données projet'!$B$11,Paramètres!$A$1:$I$89,5,0)</f>
        <v>1.3301360013429075E-13</v>
      </c>
      <c r="BF124" s="13">
        <f t="shared" si="91"/>
        <v>1.9329766731057041E-12</v>
      </c>
      <c r="BG124" s="20">
        <f t="shared" si="61"/>
        <v>3.5982663925596575E-12</v>
      </c>
      <c r="BH124" s="59">
        <f t="shared" si="62"/>
        <v>293.3333333333369</v>
      </c>
      <c r="BI124" s="59">
        <f ca="1">AVERAGE(OFFSET($BH$3,0,0,'Données projet'!$E$11+1,1))-AVERAGE(OFFSET($H$3,0,0,'Données projet'!$E$11+1,1))</f>
        <v>288.80569134263209</v>
      </c>
      <c r="BJ124" s="59">
        <f t="shared" si="92"/>
        <v>283.48738729114024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28.970528753761105</v>
      </c>
      <c r="BQ124" s="21">
        <f>EXP(-LN(2)/25)*BQ123+(1-EXP(-LN(2)/25))/(LN(2)/25)*Calculateur!BL124*Calculateur!BN124*VLOOKUP('Données projet'!$B$11,Paramètres!$A$1:$I$89,3,0)*0.475*44/12</f>
        <v>16.132539353873753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45.103068107634854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212.00000000000009</v>
      </c>
      <c r="BZ124" s="13">
        <f>BY124*VLOOKUP('Données projet'!$B$12,Paramètres!$A$1:$I$89,3,0)*VLOOKUP('Données projet'!$B$12,Paramètres!$A$1:$I$89,5,0)</f>
        <v>221.58240000000012</v>
      </c>
      <c r="CA124" s="13">
        <f t="shared" si="93"/>
        <v>54.458668952651578</v>
      </c>
      <c r="CB124" s="20">
        <f t="shared" si="64"/>
        <v>480.77152842586838</v>
      </c>
      <c r="CC124" s="59">
        <f t="shared" si="65"/>
        <v>774.10486175920164</v>
      </c>
      <c r="CD124" s="59">
        <f ca="1">AVERAGE(OFFSET($CC$3,0,0,'Données projet'!$E$12+1,1))-AVERAGE(OFFSET($H$3,0,0,'Données projet'!$E$12+1,1))</f>
        <v>352.22281362023102</v>
      </c>
      <c r="CE124" s="59">
        <f t="shared" si="94"/>
        <v>310.2353747925161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11.788563361779259</v>
      </c>
      <c r="CL124" s="21">
        <f>EXP(-LN(2)/25)*CL123+(1-EXP(-LN(2)/25))/(LN(2)/25)*Calculateur!CG124*Calculateur!CI124*VLOOKUP('Données projet'!$B$12,Paramètres!$A$1:$I$89,3,0)*0.475*44/12</f>
        <v>9.3486738593125533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21.137237221091812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5.3066239316239274</v>
      </c>
      <c r="CT124" s="12">
        <f>IF('Données projet'!$A$140&gt;35,CT123+CS124-DB123,IF(A124&lt;'Données projet'!$A$140,$CQ$205^A124,IF(A124='Données projet'!$A$140,'Données projet'!$B$140,CT123+CS124-DB123)))</f>
        <v>257.0683760683757</v>
      </c>
      <c r="CU124" s="17">
        <f>CT124*VLOOKUP('Données projet'!$B$13,Paramètres!$A$1:$I$89,3,0)*VLOOKUP('Données projet'!$B$13,Paramètres!$A$1:$I$89,5,0)</f>
        <v>232.59546666666634</v>
      </c>
      <c r="CV124" s="13">
        <f t="shared" si="95"/>
        <v>56.843515067710278</v>
      </c>
      <c r="CW124" s="20">
        <f t="shared" si="67"/>
        <v>504.10622652070589</v>
      </c>
      <c r="CX124" s="59">
        <f t="shared" si="68"/>
        <v>797.4395598540392</v>
      </c>
      <c r="CY124" s="59">
        <f ca="1">AVERAGE(OFFSET($CX$3,0,0,'Données projet'!$E$13+1,1))-AVERAGE(OFFSET($H$3,0,0,'Données projet'!$E$13+1,1))</f>
        <v>345.49688858037996</v>
      </c>
      <c r="CZ124" s="59">
        <f t="shared" si="96"/>
        <v>213.15872113755023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30.470532267595363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30.470532267595363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5.3066239316239274</v>
      </c>
      <c r="DO124" s="12">
        <f>IF('Données projet'!$A$166&gt;35,DO123+DN124-DW123,IF(A124&lt;'Données projet'!$A$166,$DL$205^A124,IF(A124='Données projet'!$A$166,'Données projet'!$B$166,DO123+DN124-DW123)))</f>
        <v>257.0683760683757</v>
      </c>
      <c r="DP124" s="17">
        <f>DO124*VLOOKUP('Données projet'!$B$14,Paramètres!$A$1:$I$89,3,0)*VLOOKUP('Données projet'!$B$14,Paramètres!$A$1:$I$89,5,0)</f>
        <v>260.66733333333298</v>
      </c>
      <c r="DQ124" s="13">
        <f t="shared" si="97"/>
        <v>62.864605226466139</v>
      </c>
      <c r="DR124" s="20">
        <f t="shared" si="70"/>
        <v>563.48479299165012</v>
      </c>
      <c r="DS124" s="59">
        <f t="shared" si="71"/>
        <v>856.8181263249835</v>
      </c>
      <c r="DT124" s="59">
        <f ca="1">AVERAGE(OFFSET($DS$3,0,0,'Données projet'!$E$14+1,1))-AVERAGE(OFFSET($H$3,0,0,'Données projet'!$E$14+1,1))</f>
        <v>382.26108489744581</v>
      </c>
      <c r="DU124" s="59">
        <f t="shared" si="98"/>
        <v>233.89423996158826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34.148010299891354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34.148010299891354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-2.4158453015843406E-13</v>
      </c>
      <c r="EK124" s="17">
        <f>EJ124*VLOOKUP('Données projet'!$B$15,Paramètres!$A$1:$I$89,3,0)*VLOOKUP('Données projet'!$B$15,Paramètres!$A$1:$I$89,5,0)</f>
        <v>-2.0351080820546486E-13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312.48716825299158</v>
      </c>
      <c r="EP124" s="59">
        <f t="shared" si="100"/>
        <v>258.68277822755357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119.78894616073966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119.78894616073966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5.3066239316239274</v>
      </c>
      <c r="FE124" s="12">
        <f>IF('Données projet'!$A$218&gt;35,FE123+FD124-FM123,IF(A124&lt;'Données projet'!$A$218,$FB$205^A124,IF(A124='Données projet'!$A$218,'Données projet'!$B$218,FE123+FD124-FM123)))</f>
        <v>257.0683760683757</v>
      </c>
      <c r="FF124" s="17">
        <f>FE124*VLOOKUP('Données projet'!$B$16,Paramètres!$A$1:$I$89,3,0)*VLOOKUP('Données projet'!$B$16,Paramètres!$A$1:$I$89,5,0)</f>
        <v>276.70839999999959</v>
      </c>
      <c r="FG124" s="13">
        <f t="shared" si="101"/>
        <v>66.270921159704841</v>
      </c>
      <c r="FH124" s="20">
        <f t="shared" si="76"/>
        <v>597.35565101981854</v>
      </c>
      <c r="FI124" s="59">
        <f t="shared" si="77"/>
        <v>890.68898435315191</v>
      </c>
      <c r="FJ124" s="59">
        <f ca="1">AVERAGE(OFFSET($FI$3,0,0,'Données projet'!$E$16+1,1))-AVERAGE(OFFSET($H$3,0,0,'Données projet'!$E$16+1,1))</f>
        <v>403.23110963096246</v>
      </c>
      <c r="FK124" s="59">
        <f t="shared" si="102"/>
        <v>245.72000393124898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36.249426318346217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36.249426318346217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5.3066239316239274</v>
      </c>
      <c r="FZ124" s="12">
        <f>IF('Données projet'!$A$244&gt;35,FZ123+FY124-GH123,IF(A124&lt;'Données projet'!$A$244,$FW$205^A124,IF(A124='Données projet'!$A$244,'Données projet'!$B$244,FZ123+FY124-GH123)))</f>
        <v>257.0683760683757</v>
      </c>
      <c r="GA124" s="17">
        <f>FZ124*VLOOKUP('Données projet'!$B$17,Paramètres!$A$1:$I$89,3,0)*VLOOKUP('Données projet'!$B$17,Paramètres!$A$1:$I$89,5,0)</f>
        <v>248.63653333333298</v>
      </c>
      <c r="GB124" s="13">
        <f t="shared" si="103"/>
        <v>60.293882123749412</v>
      </c>
      <c r="GC124" s="20">
        <f t="shared" si="79"/>
        <v>538.0538069210852</v>
      </c>
      <c r="GD124" s="59">
        <f t="shared" si="80"/>
        <v>831.38714025441845</v>
      </c>
      <c r="GE124" s="59">
        <f ca="1">AVERAGE(OFFSET($GD$3,0,0,'Données projet'!$E$17+1,1))-AVERAGE(OFFSET($H$3,0,0,'Données projet'!$E$17+1,1))</f>
        <v>336.2911850338175</v>
      </c>
      <c r="GF124" s="59">
        <f t="shared" si="104"/>
        <v>225.01415116995503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32.571948286050237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32.571948286050237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5.3066239316239274</v>
      </c>
      <c r="GU124" s="12">
        <f>IF('Données projet'!$A$270&gt;35,GU123+GT124-HC123,IF(A124&lt;'Données projet'!$A$270,$GR$205^A124,IF(A124='Données projet'!$A$270,'Données projet'!$B$270,GU123+GT124-HC123)))</f>
        <v>257.0683760683757</v>
      </c>
      <c r="GV124" s="17">
        <f>GU124*VLOOKUP('Données projet'!$B$18,Paramètres!$A$1:$I$89,3,0)*VLOOKUP('Données projet'!$B$18,Paramètres!$A$1:$I$89,5,0)</f>
        <v>172.44146666666643</v>
      </c>
      <c r="GW124" s="13">
        <f t="shared" si="105"/>
        <v>43.636376280692666</v>
      </c>
      <c r="GX124" s="20">
        <f t="shared" si="82"/>
        <v>376.33557646665037</v>
      </c>
      <c r="GY124" s="59">
        <f t="shared" si="83"/>
        <v>669.66890979998368</v>
      </c>
      <c r="GZ124" s="59">
        <f ca="1">AVERAGE(OFFSET($GY$3,0,0,'Données projet'!$E$18+1,1))-AVERAGE(OFFSET($H$3,0,0,'Données projet'!$E$18+1,1))</f>
        <v>266.37807768393191</v>
      </c>
      <c r="HA124" s="59">
        <f t="shared" si="106"/>
        <v>168.52019826233425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27.843762244526804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84"/>
        <v>27.843762244526804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266.99999999999983</v>
      </c>
      <c r="O125" s="13">
        <f>N125*VLOOKUP('Données projet'!$B$9,Paramètres!$A$1:$I$89,3,0)*VLOOKUP('Données projet'!$B$9,Paramètres!$A$1:$I$89,5,0)</f>
        <v>233.2511999999999</v>
      </c>
      <c r="P125" s="13">
        <f t="shared" si="87"/>
        <v>56.985091661350864</v>
      </c>
      <c r="Q125" s="20">
        <f t="shared" si="107"/>
        <v>505.49487464351915</v>
      </c>
      <c r="R125" s="59">
        <f t="shared" si="55"/>
        <v>798.82820797685247</v>
      </c>
      <c r="S125" s="59">
        <f ca="1">AVERAGE(OFFSET($R$3,0,0,'Données projet'!$E$9+1,1))-AVERAGE(OFFSET($H$3,0,0,'Données projet'!$E$9+1,1))</f>
        <v>324.86930206492627</v>
      </c>
      <c r="T125" s="59">
        <f t="shared" si="88"/>
        <v>317.03005098025352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13.760793069539247</v>
      </c>
      <c r="AA125" s="21">
        <f>EXP(-LN(2)/25)*AA124+(1-EXP(-LN(2)/25))/(LN(2)/25)*Calculateur!V125*Calculateur!X125*VLOOKUP('Données projet'!$B$9,Paramètres!$A$1:$I$89,3,0)*0.475*44/12</f>
        <v>2.8541458354885729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16.61493890502782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3.8301282051282044</v>
      </c>
      <c r="AI125" s="13">
        <f>IF('Données projet'!$A$62&gt;35,AI124+AH125-AQ124,IF(A125&lt;'Données projet'!$A$62,$AF$205^A125,IF(A125='Données projet'!$A$62,'Données projet'!$B$62,AI124+AH125-AQ124)))</f>
        <v>218.80448717948767</v>
      </c>
      <c r="AJ125" s="13">
        <f>AI125*VLOOKUP('Données projet'!$B$10,Paramètres!$A$1:$I$89,3,0)*VLOOKUP('Données projet'!$B$10,Paramètres!$A$1:$I$89,5,0)</f>
        <v>208.21435000000048</v>
      </c>
      <c r="AK125" s="13">
        <f t="shared" si="89"/>
        <v>51.545182526283547</v>
      </c>
      <c r="AL125" s="20">
        <f t="shared" si="58"/>
        <v>452.41451914994468</v>
      </c>
      <c r="AM125" s="59">
        <f t="shared" si="59"/>
        <v>745.74785248327794</v>
      </c>
      <c r="AN125" s="59">
        <f ca="1">AVERAGE(OFFSET($AM$3,0,0,'Données projet'!$E$10+1,1))-AVERAGE(OFFSET($H$3,0,0,'Données projet'!$E$10+1,1))</f>
        <v>401.81944956556271</v>
      </c>
      <c r="AO125" s="59">
        <f t="shared" si="90"/>
        <v>292.20785523952651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106.47069224472448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106.47069224472448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1.7053025658242404E-13</v>
      </c>
      <c r="BE125" s="13">
        <f>BD125*VLOOKUP('Données projet'!$B$11,Paramètres!$A$1:$I$89,3,0)*VLOOKUP('Données projet'!$B$11,Paramètres!$A$1:$I$89,5,0)</f>
        <v>1.3301360013429075E-13</v>
      </c>
      <c r="BF125" s="13">
        <f t="shared" si="91"/>
        <v>1.9329766731057041E-12</v>
      </c>
      <c r="BG125" s="20">
        <f t="shared" si="61"/>
        <v>3.5982663925596575E-12</v>
      </c>
      <c r="BH125" s="59">
        <f t="shared" si="62"/>
        <v>293.3333333333369</v>
      </c>
      <c r="BI125" s="59">
        <f ca="1">AVERAGE(OFFSET($BH$3,0,0,'Données projet'!$E$11+1,1))-AVERAGE(OFFSET($H$3,0,0,'Données projet'!$E$11+1,1))</f>
        <v>288.80569134263209</v>
      </c>
      <c r="BJ125" s="59">
        <f t="shared" si="92"/>
        <v>283.48738729114024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28.402434355177594</v>
      </c>
      <c r="BQ125" s="21">
        <f>EXP(-LN(2)/25)*BQ124+(1-EXP(-LN(2)/25))/(LN(2)/25)*Calculateur!BL125*Calculateur!BN125*VLOOKUP('Données projet'!$B$11,Paramètres!$A$1:$I$89,3,0)*0.475*44/12</f>
        <v>15.691394216868702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44.093828572046291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212.00000000000009</v>
      </c>
      <c r="BZ125" s="13">
        <f>BY125*VLOOKUP('Données projet'!$B$12,Paramètres!$A$1:$I$89,3,0)*VLOOKUP('Données projet'!$B$12,Paramètres!$A$1:$I$89,5,0)</f>
        <v>221.58240000000012</v>
      </c>
      <c r="CA125" s="13">
        <f t="shared" si="93"/>
        <v>54.458668952651578</v>
      </c>
      <c r="CB125" s="20">
        <f t="shared" si="64"/>
        <v>480.77152842586838</v>
      </c>
      <c r="CC125" s="59">
        <f t="shared" si="65"/>
        <v>774.10486175920164</v>
      </c>
      <c r="CD125" s="59">
        <f ca="1">AVERAGE(OFFSET($CC$3,0,0,'Données projet'!$E$12+1,1))-AVERAGE(OFFSET($H$3,0,0,'Données projet'!$E$12+1,1))</f>
        <v>352.22281362023102</v>
      </c>
      <c r="CE125" s="59">
        <f t="shared" si="94"/>
        <v>310.2353747925161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11.557396824568434</v>
      </c>
      <c r="CL125" s="21">
        <f>EXP(-LN(2)/25)*CL124+(1-EXP(-LN(2)/25))/(LN(2)/25)*Calculateur!CG125*Calculateur!CI125*VLOOKUP('Données projet'!$B$12,Paramètres!$A$1:$I$89,3,0)*0.475*44/12</f>
        <v>9.0930338810042599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20.650430705572695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5.3066239316239274</v>
      </c>
      <c r="CT125" s="12">
        <f>IF('Données projet'!$A$140&gt;35,CT124+CS125-DB124,IF(A125&lt;'Données projet'!$A$140,$CQ$205^A125,IF(A125='Données projet'!$A$140,'Données projet'!$B$140,CT124+CS125-DB124)))</f>
        <v>262.3749999999996</v>
      </c>
      <c r="CU125" s="17">
        <f>CT125*VLOOKUP('Données projet'!$B$13,Paramètres!$A$1:$I$89,3,0)*VLOOKUP('Données projet'!$B$13,Paramètres!$A$1:$I$89,5,0)</f>
        <v>237.39689999999962</v>
      </c>
      <c r="CV125" s="13">
        <f t="shared" si="95"/>
        <v>57.87910585630879</v>
      </c>
      <c r="CW125" s="20">
        <f t="shared" si="67"/>
        <v>514.27237686640376</v>
      </c>
      <c r="CX125" s="59">
        <f t="shared" si="68"/>
        <v>807.60571019973713</v>
      </c>
      <c r="CY125" s="59">
        <f ca="1">AVERAGE(OFFSET($CX$3,0,0,'Données projet'!$E$13+1,1))-AVERAGE(OFFSET($H$3,0,0,'Données projet'!$E$13+1,1))</f>
        <v>345.49688858037996</v>
      </c>
      <c r="CZ125" s="59">
        <f t="shared" si="96"/>
        <v>213.15872113755023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29.873023715017368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29.873023715017368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5.3066239316239274</v>
      </c>
      <c r="DO125" s="12">
        <f>IF('Données projet'!$A$166&gt;35,DO124+DN125-DW124,IF(A125&lt;'Données projet'!$A$166,$DL$205^A125,IF(A125='Données projet'!$A$166,'Données projet'!$B$166,DO124+DN125-DW124)))</f>
        <v>262.3749999999996</v>
      </c>
      <c r="DP125" s="17">
        <f>DO125*VLOOKUP('Données projet'!$B$14,Paramètres!$A$1:$I$89,3,0)*VLOOKUP('Données projet'!$B$14,Paramètres!$A$1:$I$89,5,0)</f>
        <v>266.04824999999965</v>
      </c>
      <c r="DQ125" s="13">
        <f t="shared" si="97"/>
        <v>64.009889891284331</v>
      </c>
      <c r="DR125" s="20">
        <f t="shared" si="70"/>
        <v>574.85126031065295</v>
      </c>
      <c r="DS125" s="59">
        <f t="shared" si="71"/>
        <v>868.18459364398632</v>
      </c>
      <c r="DT125" s="59">
        <f ca="1">AVERAGE(OFFSET($DS$3,0,0,'Données projet'!$E$14+1,1))-AVERAGE(OFFSET($H$3,0,0,'Données projet'!$E$14+1,1))</f>
        <v>382.26108489744581</v>
      </c>
      <c r="DU125" s="59">
        <f t="shared" si="98"/>
        <v>233.89423996158826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33.478388646140154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33.478388646140154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-2.4158453015843406E-13</v>
      </c>
      <c r="EK125" s="17">
        <f>EJ125*VLOOKUP('Données projet'!$B$15,Paramètres!$A$1:$I$89,3,0)*VLOOKUP('Données projet'!$B$15,Paramètres!$A$1:$I$89,5,0)</f>
        <v>-2.0351080820546486E-13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312.48716825299158</v>
      </c>
      <c r="EP125" s="59">
        <f t="shared" si="100"/>
        <v>258.68277822755357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117.43995799057024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117.43995799057024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5.3066239316239274</v>
      </c>
      <c r="FE125" s="12">
        <f>IF('Données projet'!$A$218&gt;35,FE124+FD125-FM124,IF(A125&lt;'Données projet'!$A$218,$FB$205^A125,IF(A125='Données projet'!$A$218,'Données projet'!$B$218,FE124+FD125-FM124)))</f>
        <v>262.3749999999996</v>
      </c>
      <c r="FF125" s="17">
        <f>FE125*VLOOKUP('Données projet'!$B$16,Paramètres!$A$1:$I$89,3,0)*VLOOKUP('Données projet'!$B$16,Paramètres!$A$1:$I$89,5,0)</f>
        <v>282.42044999999956</v>
      </c>
      <c r="FG125" s="13">
        <f t="shared" si="101"/>
        <v>67.478263024879425</v>
      </c>
      <c r="FH125" s="20">
        <f t="shared" si="76"/>
        <v>609.40692518499748</v>
      </c>
      <c r="FI125" s="59">
        <f t="shared" si="77"/>
        <v>902.74025851833085</v>
      </c>
      <c r="FJ125" s="59">
        <f ca="1">AVERAGE(OFFSET($FI$3,0,0,'Données projet'!$E$16+1,1))-AVERAGE(OFFSET($H$3,0,0,'Données projet'!$E$16+1,1))</f>
        <v>403.23110963096246</v>
      </c>
      <c r="FK125" s="59">
        <f t="shared" si="102"/>
        <v>245.72000393124898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35.538597178210324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35.538597178210324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5.3066239316239274</v>
      </c>
      <c r="FZ125" s="12">
        <f>IF('Données projet'!$A$244&gt;35,FZ124+FY125-GH124,IF(A125&lt;'Données projet'!$A$244,$FW$205^A125,IF(A125='Données projet'!$A$244,'Données projet'!$B$244,FZ124+FY125-GH124)))</f>
        <v>262.3749999999996</v>
      </c>
      <c r="GA125" s="17">
        <f>FZ125*VLOOKUP('Données projet'!$B$17,Paramètres!$A$1:$I$89,3,0)*VLOOKUP('Données projet'!$B$17,Paramètres!$A$1:$I$89,5,0)</f>
        <v>253.76909999999964</v>
      </c>
      <c r="GB125" s="13">
        <f t="shared" si="103"/>
        <v>61.392332648172818</v>
      </c>
      <c r="GC125" s="20">
        <f t="shared" si="79"/>
        <v>548.90616186223372</v>
      </c>
      <c r="GD125" s="59">
        <f t="shared" si="80"/>
        <v>842.23949519556709</v>
      </c>
      <c r="GE125" s="59">
        <f ca="1">AVERAGE(OFFSET($GD$3,0,0,'Données projet'!$E$17+1,1))-AVERAGE(OFFSET($H$3,0,0,'Données projet'!$E$17+1,1))</f>
        <v>336.2911850338175</v>
      </c>
      <c r="GF125" s="59">
        <f t="shared" si="104"/>
        <v>225.01415116995503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31.933232247087549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31.933232247087549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5.3066239316239274</v>
      </c>
      <c r="GU125" s="12">
        <f>IF('Données projet'!$A$270&gt;35,GU124+GT125-HC124,IF(A125&lt;'Données projet'!$A$270,$GR$205^A125,IF(A125='Données projet'!$A$270,'Données projet'!$B$270,GU124+GT125-HC124)))</f>
        <v>262.3749999999996</v>
      </c>
      <c r="GV125" s="17">
        <f>GU125*VLOOKUP('Données projet'!$B$18,Paramètres!$A$1:$I$89,3,0)*VLOOKUP('Données projet'!$B$18,Paramètres!$A$1:$I$89,5,0)</f>
        <v>176.00114999999974</v>
      </c>
      <c r="GW125" s="13">
        <f t="shared" si="105"/>
        <v>44.43135578310865</v>
      </c>
      <c r="GX125" s="20">
        <f t="shared" si="82"/>
        <v>383.91994757224711</v>
      </c>
      <c r="GY125" s="59">
        <f t="shared" si="83"/>
        <v>677.25328090558037</v>
      </c>
      <c r="GZ125" s="59">
        <f ca="1">AVERAGE(OFFSET($GY$3,0,0,'Données projet'!$E$18+1,1))-AVERAGE(OFFSET($H$3,0,0,'Données projet'!$E$18+1,1))</f>
        <v>266.37807768393191</v>
      </c>
      <c r="HA125" s="59">
        <f t="shared" si="106"/>
        <v>168.52019826233425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27.297763049929667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84"/>
        <v>27.297763049929667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266.99999999999983</v>
      </c>
      <c r="O126" s="13">
        <f>N126*VLOOKUP('Données projet'!$B$9,Paramètres!$A$1:$I$89,3,0)*VLOOKUP('Données projet'!$B$9,Paramètres!$A$1:$I$89,5,0)</f>
        <v>233.2511999999999</v>
      </c>
      <c r="P126" s="13">
        <f t="shared" si="87"/>
        <v>56.985091661350864</v>
      </c>
      <c r="Q126" s="20">
        <f t="shared" si="107"/>
        <v>505.49487464351915</v>
      </c>
      <c r="R126" s="59">
        <f t="shared" si="55"/>
        <v>798.82820797685247</v>
      </c>
      <c r="S126" s="59">
        <f ca="1">AVERAGE(OFFSET($R$3,0,0,'Données projet'!$E$9+1,1))-AVERAGE(OFFSET($H$3,0,0,'Données projet'!$E$9+1,1))</f>
        <v>324.86930206492627</v>
      </c>
      <c r="T126" s="59">
        <f t="shared" si="88"/>
        <v>317.03005098025352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13.490952310700589</v>
      </c>
      <c r="AA126" s="21">
        <f>EXP(-LN(2)/25)*AA125+(1-EXP(-LN(2)/25))/(LN(2)/25)*Calculateur!V126*Calculateur!X126*VLOOKUP('Données projet'!$B$9,Paramètres!$A$1:$I$89,3,0)*0.475*44/12</f>
        <v>2.7760990675241315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16.267051378224721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222.63461538461539</v>
      </c>
      <c r="AG126" s="12">
        <f>VLOOKUP(A126,'Données projet'!$A$61:$I$81,9,0)</f>
        <v>3.8301282051282044</v>
      </c>
      <c r="AH126" s="12">
        <f t="array" ref="AH126">INDEX(AG:AG,MIN(IF(ISNUMBER(AG126:AG322),ROW(AG126:AG322),"")))</f>
        <v>3.8301282051282044</v>
      </c>
      <c r="AI126" s="13">
        <f>IF('Données projet'!$A$62&gt;35,AI125+AH126-AQ125,IF(A126&lt;'Données projet'!$A$62,$AF$205^A126,IF(A126='Données projet'!$A$62,'Données projet'!$B$62,AI125+AH126-AQ125)))</f>
        <v>222.63461538461587</v>
      </c>
      <c r="AJ126" s="13">
        <f>AI126*VLOOKUP('Données projet'!$B$10,Paramètres!$A$1:$I$89,3,0)*VLOOKUP('Données projet'!$B$10,Paramètres!$A$1:$I$89,5,0)</f>
        <v>211.85910000000047</v>
      </c>
      <c r="AK126" s="13">
        <f t="shared" si="89"/>
        <v>52.341637188998398</v>
      </c>
      <c r="AL126" s="20">
        <f t="shared" si="58"/>
        <v>460.14961727083966</v>
      </c>
      <c r="AM126" s="59">
        <f t="shared" si="59"/>
        <v>753.48295060417297</v>
      </c>
      <c r="AN126" s="59">
        <f ca="1">AVERAGE(OFFSET($AM$3,0,0,'Données projet'!$E$10+1,1))-AVERAGE(OFFSET($H$3,0,0,'Données projet'!$E$10+1,1))</f>
        <v>401.81944956556271</v>
      </c>
      <c r="AO126" s="59">
        <f t="shared" si="90"/>
        <v>292.20785523952651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77.17307692307692</v>
      </c>
      <c r="AR126" s="16">
        <f>IF(ISNA(VLOOKUP(A126,'Données projet'!$A$61:$I$81,5,0)),0%,VLOOKUP(A126,'Données projet'!$A$61:$I$81,5,0)*VLOOKUP('Données projet'!$B$10,Paramètres!$A$1:$I$89,7,0))</f>
        <v>0.38700000000000001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135.80085168315014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135.80085168315014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1.7053025658242404E-13</v>
      </c>
      <c r="BE126" s="13">
        <f>BD126*VLOOKUP('Données projet'!$B$11,Paramètres!$A$1:$I$89,3,0)*VLOOKUP('Données projet'!$B$11,Paramètres!$A$1:$I$89,5,0)</f>
        <v>1.3301360013429075E-13</v>
      </c>
      <c r="BF126" s="13">
        <f t="shared" si="91"/>
        <v>1.9329766731057041E-12</v>
      </c>
      <c r="BG126" s="20">
        <f t="shared" si="61"/>
        <v>3.5982663925596575E-12</v>
      </c>
      <c r="BH126" s="59">
        <f t="shared" si="62"/>
        <v>293.3333333333369</v>
      </c>
      <c r="BI126" s="59">
        <f ca="1">AVERAGE(OFFSET($BH$3,0,0,'Données projet'!$E$11+1,1))-AVERAGE(OFFSET($H$3,0,0,'Données projet'!$E$11+1,1))</f>
        <v>288.80569134263209</v>
      </c>
      <c r="BJ126" s="59">
        <f t="shared" si="92"/>
        <v>283.48738729114024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27.845479941246936</v>
      </c>
      <c r="BQ126" s="21">
        <f>EXP(-LN(2)/25)*BQ125+(1-EXP(-LN(2)/25))/(LN(2)/25)*Calculateur!BL126*Calculateur!BN126*VLOOKUP('Données projet'!$B$11,Paramètres!$A$1:$I$89,3,0)*0.475*44/12</f>
        <v>15.262312216833868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43.107792158080805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212.00000000000009</v>
      </c>
      <c r="BZ126" s="13">
        <f>BY126*VLOOKUP('Données projet'!$B$12,Paramètres!$A$1:$I$89,3,0)*VLOOKUP('Données projet'!$B$12,Paramètres!$A$1:$I$89,5,0)</f>
        <v>221.58240000000012</v>
      </c>
      <c r="CA126" s="13">
        <f t="shared" si="93"/>
        <v>54.458668952651578</v>
      </c>
      <c r="CB126" s="20">
        <f t="shared" si="64"/>
        <v>480.77152842586838</v>
      </c>
      <c r="CC126" s="59">
        <f t="shared" si="65"/>
        <v>774.10486175920164</v>
      </c>
      <c r="CD126" s="59">
        <f ca="1">AVERAGE(OFFSET($CC$3,0,0,'Données projet'!$E$12+1,1))-AVERAGE(OFFSET($H$3,0,0,'Données projet'!$E$12+1,1))</f>
        <v>352.22281362023102</v>
      </c>
      <c r="CE126" s="59">
        <f t="shared" si="94"/>
        <v>310.2353747925161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11.330763322154647</v>
      </c>
      <c r="CL126" s="21">
        <f>EXP(-LN(2)/25)*CL125+(1-EXP(-LN(2)/25))/(LN(2)/25)*Calculateur!CG126*Calculateur!CI126*VLOOKUP('Données projet'!$B$12,Paramètres!$A$1:$I$89,3,0)*0.475*44/12</f>
        <v>8.8443843913463294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20.175147713500976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5.3066239316239274</v>
      </c>
      <c r="CT126" s="12">
        <f>IF('Données projet'!$A$140&gt;35,CT125+CS126-DB125,IF(A126&lt;'Données projet'!$A$140,$CQ$205^A126,IF(A126='Données projet'!$A$140,'Données projet'!$B$140,CT125+CS126-DB125)))</f>
        <v>267.68162393162351</v>
      </c>
      <c r="CU126" s="17">
        <f>CT126*VLOOKUP('Données projet'!$B$13,Paramètres!$A$1:$I$89,3,0)*VLOOKUP('Données projet'!$B$13,Paramètres!$A$1:$I$89,5,0)</f>
        <v>242.19833333333295</v>
      </c>
      <c r="CV126" s="13">
        <f t="shared" si="95"/>
        <v>58.912261318352805</v>
      </c>
      <c r="CW126" s="20">
        <f t="shared" si="67"/>
        <v>524.43428568501929</v>
      </c>
      <c r="CX126" s="59">
        <f t="shared" si="68"/>
        <v>817.76761901835266</v>
      </c>
      <c r="CY126" s="59">
        <f ca="1">AVERAGE(OFFSET($CX$3,0,0,'Données projet'!$E$13+1,1))-AVERAGE(OFFSET($H$3,0,0,'Données projet'!$E$13+1,1))</f>
        <v>345.49688858037996</v>
      </c>
      <c r="CZ126" s="59">
        <f t="shared" si="96"/>
        <v>213.15872113755023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29.287231940711195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29.287231940711195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5.3066239316239274</v>
      </c>
      <c r="DO126" s="12">
        <f>IF('Données projet'!$A$166&gt;35,DO125+DN126-DW125,IF(A126&lt;'Données projet'!$A$166,$DL$205^A126,IF(A126='Données projet'!$A$166,'Données projet'!$B$166,DO125+DN126-DW125)))</f>
        <v>267.68162393162351</v>
      </c>
      <c r="DP126" s="17">
        <f>DO126*VLOOKUP('Données projet'!$B$14,Paramètres!$A$1:$I$89,3,0)*VLOOKUP('Données projet'!$B$14,Paramètres!$A$1:$I$89,5,0)</f>
        <v>271.42916666666628</v>
      </c>
      <c r="DQ126" s="13">
        <f t="shared" si="97"/>
        <v>65.152481270117946</v>
      </c>
      <c r="DR126" s="20">
        <f t="shared" si="70"/>
        <v>586.21303682323253</v>
      </c>
      <c r="DS126" s="59">
        <f t="shared" si="71"/>
        <v>879.5463701565659</v>
      </c>
      <c r="DT126" s="59">
        <f ca="1">AVERAGE(OFFSET($DS$3,0,0,'Données projet'!$E$14+1,1))-AVERAGE(OFFSET($H$3,0,0,'Données projet'!$E$14+1,1))</f>
        <v>382.26108489744581</v>
      </c>
      <c r="DU126" s="59">
        <f t="shared" si="98"/>
        <v>233.89423996158826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32.821897864590134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32.821897864590134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-2.4158453015843406E-13</v>
      </c>
      <c r="EK126" s="17">
        <f>EJ126*VLOOKUP('Données projet'!$B$15,Paramètres!$A$1:$I$89,3,0)*VLOOKUP('Données projet'!$B$15,Paramètres!$A$1:$I$89,5,0)</f>
        <v>-2.0351080820546486E-13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312.48716825299158</v>
      </c>
      <c r="EP126" s="59">
        <f t="shared" si="100"/>
        <v>258.68277822755357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115.13703204567652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115.13703204567652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5.3066239316239274</v>
      </c>
      <c r="FE126" s="12">
        <f>IF('Données projet'!$A$218&gt;35,FE125+FD126-FM125,IF(A126&lt;'Données projet'!$A$218,$FB$205^A126,IF(A126='Données projet'!$A$218,'Données projet'!$B$218,FE125+FD126-FM125)))</f>
        <v>267.68162393162351</v>
      </c>
      <c r="FF126" s="17">
        <f>FE126*VLOOKUP('Données projet'!$B$16,Paramètres!$A$1:$I$89,3,0)*VLOOKUP('Données projet'!$B$16,Paramètres!$A$1:$I$89,5,0)</f>
        <v>288.13249999999954</v>
      </c>
      <c r="FG126" s="13">
        <f t="shared" si="101"/>
        <v>68.682765668484066</v>
      </c>
      <c r="FH126" s="20">
        <f t="shared" si="76"/>
        <v>621.45325437260897</v>
      </c>
      <c r="FI126" s="59">
        <f t="shared" si="77"/>
        <v>914.78658770594234</v>
      </c>
      <c r="FJ126" s="59">
        <f ca="1">AVERAGE(OFFSET($FI$3,0,0,'Données projet'!$E$16+1,1))-AVERAGE(OFFSET($H$3,0,0,'Données projet'!$E$16+1,1))</f>
        <v>403.23110963096246</v>
      </c>
      <c r="FK126" s="59">
        <f t="shared" si="102"/>
        <v>245.72000393124898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34.841706963949534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34.841706963949534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5.3066239316239274</v>
      </c>
      <c r="FZ126" s="12">
        <f>IF('Données projet'!$A$244&gt;35,FZ125+FY126-GH125,IF(A126&lt;'Données projet'!$A$244,$FW$205^A126,IF(A126='Données projet'!$A$244,'Données projet'!$B$244,FZ125+FY126-GH125)))</f>
        <v>267.68162393162351</v>
      </c>
      <c r="GA126" s="17">
        <f>FZ126*VLOOKUP('Données projet'!$B$17,Paramètres!$A$1:$I$89,3,0)*VLOOKUP('Données projet'!$B$17,Paramètres!$A$1:$I$89,5,0)</f>
        <v>258.9016666666663</v>
      </c>
      <c r="GB126" s="13">
        <f t="shared" si="103"/>
        <v>62.488200023189847</v>
      </c>
      <c r="GC126" s="20">
        <f t="shared" si="79"/>
        <v>559.75401781816606</v>
      </c>
      <c r="GD126" s="59">
        <f t="shared" si="80"/>
        <v>853.08735115149943</v>
      </c>
      <c r="GE126" s="59">
        <f ca="1">AVERAGE(OFFSET($GD$3,0,0,'Données projet'!$E$17+1,1))-AVERAGE(OFFSET($H$3,0,0,'Données projet'!$E$17+1,1))</f>
        <v>336.2911850338175</v>
      </c>
      <c r="GF126" s="59">
        <f t="shared" si="104"/>
        <v>225.01415116995503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31.307041040070605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31.307041040070605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5.3066239316239274</v>
      </c>
      <c r="GU126" s="12">
        <f>IF('Données projet'!$A$270&gt;35,GU125+GT126-HC125,IF(A126&lt;'Données projet'!$A$270,$GR$205^A126,IF(A126='Données projet'!$A$270,'Données projet'!$B$270,GU125+GT126-HC125)))</f>
        <v>267.68162393162351</v>
      </c>
      <c r="GV126" s="17">
        <f>GU126*VLOOKUP('Données projet'!$B$18,Paramètres!$A$1:$I$89,3,0)*VLOOKUP('Données projet'!$B$18,Paramètres!$A$1:$I$89,5,0)</f>
        <v>179.56083333333305</v>
      </c>
      <c r="GW126" s="13">
        <f t="shared" si="105"/>
        <v>45.224465787732818</v>
      </c>
      <c r="GX126" s="20">
        <f t="shared" si="82"/>
        <v>391.50106263585639</v>
      </c>
      <c r="GY126" s="59">
        <f t="shared" si="83"/>
        <v>684.8343959691897</v>
      </c>
      <c r="GZ126" s="59">
        <f ca="1">AVERAGE(OFFSET($GY$3,0,0,'Données projet'!$E$18+1,1))-AVERAGE(OFFSET($H$3,0,0,'Données projet'!$E$18+1,1))</f>
        <v>266.37807768393191</v>
      </c>
      <c r="HA126" s="59">
        <f t="shared" si="106"/>
        <v>168.52019826233425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26.762470566511958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84"/>
        <v>26.762470566511958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266.99999999999983</v>
      </c>
      <c r="O127" s="13">
        <f>N127*VLOOKUP('Données projet'!$B$9,Paramètres!$A$1:$I$89,3,0)*VLOOKUP('Données projet'!$B$9,Paramètres!$A$1:$I$89,5,0)</f>
        <v>233.2511999999999</v>
      </c>
      <c r="P127" s="13">
        <f t="shared" si="87"/>
        <v>56.985091661350864</v>
      </c>
      <c r="Q127" s="20">
        <f t="shared" si="107"/>
        <v>505.49487464351915</v>
      </c>
      <c r="R127" s="59">
        <f t="shared" si="55"/>
        <v>798.82820797685247</v>
      </c>
      <c r="S127" s="59">
        <f ca="1">AVERAGE(OFFSET($R$3,0,0,'Données projet'!$E$9+1,1))-AVERAGE(OFFSET($H$3,0,0,'Données projet'!$E$9+1,1))</f>
        <v>324.86930206492627</v>
      </c>
      <c r="T127" s="59">
        <f t="shared" si="88"/>
        <v>317.03005098025352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13.226402964556147</v>
      </c>
      <c r="AA127" s="21">
        <f>EXP(-LN(2)/25)*AA126+(1-EXP(-LN(2)/25))/(LN(2)/25)*Calculateur!V127*Calculateur!X127*VLOOKUP('Données projet'!$B$9,Paramètres!$A$1:$I$89,3,0)*0.475*44/12</f>
        <v>2.7001864925339789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15.926589457090126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2.3349358974358978</v>
      </c>
      <c r="AI127" s="13">
        <f>IF('Données projet'!$A$62&gt;35,AI126+AH127-AQ126,IF(A127&lt;'Données projet'!$A$62,$AF$205^A127,IF(A127='Données projet'!$A$62,'Données projet'!$B$62,AI126+AH127-AQ126)))</f>
        <v>147.79647435897488</v>
      </c>
      <c r="AJ127" s="13">
        <f>AI127*VLOOKUP('Données projet'!$B$10,Paramètres!$A$1:$I$89,3,0)*VLOOKUP('Données projet'!$B$10,Paramètres!$A$1:$I$89,5,0)</f>
        <v>140.64312500000051</v>
      </c>
      <c r="AK127" s="13">
        <f t="shared" si="89"/>
        <v>36.444297078784672</v>
      </c>
      <c r="AL127" s="20">
        <f t="shared" si="58"/>
        <v>308.4272601205509</v>
      </c>
      <c r="AM127" s="59">
        <f t="shared" si="59"/>
        <v>601.76059345388421</v>
      </c>
      <c r="AN127" s="59">
        <f ca="1">AVERAGE(OFFSET($AM$3,0,0,'Données projet'!$E$10+1,1))-AVERAGE(OFFSET($H$3,0,0,'Données projet'!$E$10+1,1))</f>
        <v>401.81944956556271</v>
      </c>
      <c r="AO127" s="59">
        <f t="shared" si="90"/>
        <v>292.20785523952651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133.13787981198428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133.13787981198428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1.7053025658242404E-13</v>
      </c>
      <c r="BE127" s="13">
        <f>BD127*VLOOKUP('Données projet'!$B$11,Paramètres!$A$1:$I$89,3,0)*VLOOKUP('Données projet'!$B$11,Paramètres!$A$1:$I$89,5,0)</f>
        <v>1.3301360013429075E-13</v>
      </c>
      <c r="BF127" s="13">
        <f t="shared" si="91"/>
        <v>1.9329766731057041E-12</v>
      </c>
      <c r="BG127" s="20">
        <f t="shared" si="61"/>
        <v>3.5982663925596575E-12</v>
      </c>
      <c r="BH127" s="59">
        <f t="shared" si="62"/>
        <v>293.3333333333369</v>
      </c>
      <c r="BI127" s="59">
        <f ca="1">AVERAGE(OFFSET($BH$3,0,0,'Données projet'!$E$11+1,1))-AVERAGE(OFFSET($H$3,0,0,'Données projet'!$E$11+1,1))</f>
        <v>288.80569134263209</v>
      </c>
      <c r="BJ127" s="59">
        <f t="shared" si="92"/>
        <v>283.48738729114024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27.299447063664811</v>
      </c>
      <c r="BQ127" s="21">
        <f>EXP(-LN(2)/25)*BQ126+(1-EXP(-LN(2)/25))/(LN(2)/25)*Calculateur!BL127*Calculateur!BN127*VLOOKUP('Données projet'!$B$11,Paramètres!$A$1:$I$89,3,0)*0.475*44/12</f>
        <v>14.844963486654429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42.144410550319236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212.00000000000009</v>
      </c>
      <c r="BZ127" s="13">
        <f>BY127*VLOOKUP('Données projet'!$B$12,Paramètres!$A$1:$I$89,3,0)*VLOOKUP('Données projet'!$B$12,Paramètres!$A$1:$I$89,5,0)</f>
        <v>221.58240000000012</v>
      </c>
      <c r="CA127" s="13">
        <f t="shared" si="93"/>
        <v>54.458668952651578</v>
      </c>
      <c r="CB127" s="20">
        <f t="shared" si="64"/>
        <v>480.77152842586838</v>
      </c>
      <c r="CC127" s="59">
        <f t="shared" si="65"/>
        <v>774.10486175920164</v>
      </c>
      <c r="CD127" s="59">
        <f ca="1">AVERAGE(OFFSET($CC$3,0,0,'Données projet'!$E$12+1,1))-AVERAGE(OFFSET($H$3,0,0,'Données projet'!$E$12+1,1))</f>
        <v>352.22281362023102</v>
      </c>
      <c r="CE127" s="59">
        <f t="shared" si="94"/>
        <v>310.2353747925161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11.108573964490407</v>
      </c>
      <c r="CL127" s="21">
        <f>EXP(-LN(2)/25)*CL126+(1-EXP(-LN(2)/25))/(LN(2)/25)*Calculateur!CG127*Calculateur!CI127*VLOOKUP('Données projet'!$B$12,Paramètres!$A$1:$I$89,3,0)*0.475*44/12</f>
        <v>8.6025342350590037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19.711108199549411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5.3066239316239274</v>
      </c>
      <c r="CT127" s="12">
        <f>IF('Données projet'!$A$140&gt;35,CT126+CS127-DB126,IF(A127&lt;'Données projet'!$A$140,$CQ$205^A127,IF(A127='Données projet'!$A$140,'Données projet'!$B$140,CT126+CS127-DB126)))</f>
        <v>272.98824786324741</v>
      </c>
      <c r="CU127" s="17">
        <f>CT127*VLOOKUP('Données projet'!$B$13,Paramètres!$A$1:$I$89,3,0)*VLOOKUP('Données projet'!$B$13,Paramètres!$A$1:$I$89,5,0)</f>
        <v>246.99976666666623</v>
      </c>
      <c r="CV127" s="13">
        <f t="shared" si="95"/>
        <v>59.943035297333779</v>
      </c>
      <c r="CW127" s="20">
        <f t="shared" si="67"/>
        <v>534.59204675396666</v>
      </c>
      <c r="CX127" s="59">
        <f t="shared" si="68"/>
        <v>827.92538008730003</v>
      </c>
      <c r="CY127" s="59">
        <f ca="1">AVERAGE(OFFSET($CX$3,0,0,'Données projet'!$E$13+1,1))-AVERAGE(OFFSET($H$3,0,0,'Données projet'!$E$13+1,1))</f>
        <v>345.49688858037996</v>
      </c>
      <c r="CZ127" s="59">
        <f t="shared" si="96"/>
        <v>213.15872113755023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28.712927185801462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28.712927185801462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5.3066239316239274</v>
      </c>
      <c r="DO127" s="12">
        <f>IF('Données projet'!$A$166&gt;35,DO126+DN127-DW126,IF(A127&lt;'Données projet'!$A$166,$DL$205^A127,IF(A127='Données projet'!$A$166,'Données projet'!$B$166,DO126+DN127-DW126)))</f>
        <v>272.98824786324741</v>
      </c>
      <c r="DP127" s="17">
        <f>DO127*VLOOKUP('Données projet'!$B$14,Paramètres!$A$1:$I$89,3,0)*VLOOKUP('Données projet'!$B$14,Paramètres!$A$1:$I$89,5,0)</f>
        <v>276.8100833333329</v>
      </c>
      <c r="DQ127" s="13">
        <f t="shared" si="97"/>
        <v>66.292438909774205</v>
      </c>
      <c r="DR127" s="20">
        <f t="shared" si="70"/>
        <v>597.57022624007823</v>
      </c>
      <c r="DS127" s="59">
        <f t="shared" si="71"/>
        <v>890.90355957341148</v>
      </c>
      <c r="DT127" s="59">
        <f ca="1">AVERAGE(OFFSET($DS$3,0,0,'Données projet'!$E$14+1,1))-AVERAGE(OFFSET($H$3,0,0,'Données projet'!$E$14+1,1))</f>
        <v>382.26108489744581</v>
      </c>
      <c r="DU127" s="59">
        <f t="shared" si="98"/>
        <v>233.89423996158826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32.178280466846466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32.178280466846466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-2.4158453015843406E-13</v>
      </c>
      <c r="EK127" s="17">
        <f>EJ127*VLOOKUP('Données projet'!$B$15,Paramètres!$A$1:$I$89,3,0)*VLOOKUP('Données projet'!$B$15,Paramètres!$A$1:$I$89,5,0)</f>
        <v>-2.0351080820546486E-13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312.48716825299158</v>
      </c>
      <c r="EP127" s="59">
        <f t="shared" si="100"/>
        <v>258.68277822755357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112.87926507391605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112.87926507391605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5.3066239316239274</v>
      </c>
      <c r="FE127" s="12">
        <f>IF('Données projet'!$A$218&gt;35,FE126+FD127-FM126,IF(A127&lt;'Données projet'!$A$218,$FB$205^A127,IF(A127='Données projet'!$A$218,'Données projet'!$B$218,FE126+FD127-FM126)))</f>
        <v>272.98824786324741</v>
      </c>
      <c r="FF127" s="17">
        <f>FE127*VLOOKUP('Données projet'!$B$16,Paramètres!$A$1:$I$89,3,0)*VLOOKUP('Données projet'!$B$16,Paramètres!$A$1:$I$89,5,0)</f>
        <v>293.84454999999946</v>
      </c>
      <c r="FG127" s="13">
        <f t="shared" si="101"/>
        <v>69.884491863867197</v>
      </c>
      <c r="FH127" s="20">
        <f t="shared" si="76"/>
        <v>633.49474791290106</v>
      </c>
      <c r="FI127" s="59">
        <f t="shared" si="77"/>
        <v>926.82808124623443</v>
      </c>
      <c r="FJ127" s="59">
        <f ca="1">AVERAGE(OFFSET($FI$3,0,0,'Données projet'!$E$16+1,1))-AVERAGE(OFFSET($H$3,0,0,'Données projet'!$E$16+1,1))</f>
        <v>403.23110963096246</v>
      </c>
      <c r="FK127" s="59">
        <f t="shared" si="102"/>
        <v>245.72000393124898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34.158482341729332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34.158482341729332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5.3066239316239274</v>
      </c>
      <c r="FZ127" s="12">
        <f>IF('Données projet'!$A$244&gt;35,FZ126+FY127-GH126,IF(A127&lt;'Données projet'!$A$244,$FW$205^A127,IF(A127='Données projet'!$A$244,'Données projet'!$B$244,FZ126+FY127-GH126)))</f>
        <v>272.98824786324741</v>
      </c>
      <c r="GA127" s="17">
        <f>FZ127*VLOOKUP('Données projet'!$B$17,Paramètres!$A$1:$I$89,3,0)*VLOOKUP('Données projet'!$B$17,Paramètres!$A$1:$I$89,5,0)</f>
        <v>264.03423333333291</v>
      </c>
      <c r="GB127" s="13">
        <f t="shared" si="103"/>
        <v>63.581541360559179</v>
      </c>
      <c r="GC127" s="20">
        <f t="shared" si="79"/>
        <v>570.59747425852868</v>
      </c>
      <c r="GD127" s="59">
        <f t="shared" si="80"/>
        <v>863.93080759186205</v>
      </c>
      <c r="GE127" s="59">
        <f ca="1">AVERAGE(OFFSET($GD$3,0,0,'Données projet'!$E$17+1,1))-AVERAGE(OFFSET($H$3,0,0,'Données projet'!$E$17+1,1))</f>
        <v>336.2911850338175</v>
      </c>
      <c r="GF127" s="59">
        <f t="shared" si="104"/>
        <v>225.01415116995503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30.693129060684338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30.693129060684338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5.3066239316239274</v>
      </c>
      <c r="GU127" s="12">
        <f>IF('Données projet'!$A$270&gt;35,GU126+GT127-HC126,IF(A127&lt;'Données projet'!$A$270,$GR$205^A127,IF(A127='Données projet'!$A$270,'Données projet'!$B$270,GU126+GT127-HC126)))</f>
        <v>272.98824786324741</v>
      </c>
      <c r="GV127" s="17">
        <f>GU127*VLOOKUP('Données projet'!$B$18,Paramètres!$A$1:$I$89,3,0)*VLOOKUP('Données projet'!$B$18,Paramètres!$A$1:$I$89,5,0)</f>
        <v>183.12051666666636</v>
      </c>
      <c r="GW127" s="13">
        <f t="shared" si="105"/>
        <v>46.015747627949466</v>
      </c>
      <c r="GX127" s="20">
        <f t="shared" si="82"/>
        <v>399.0789936464559</v>
      </c>
      <c r="GY127" s="59">
        <f t="shared" si="83"/>
        <v>692.41232697978921</v>
      </c>
      <c r="GZ127" s="59">
        <f ca="1">AVERAGE(OFFSET($GY$3,0,0,'Données projet'!$E$18+1,1))-AVERAGE(OFFSET($H$3,0,0,'Données projet'!$E$18+1,1))</f>
        <v>266.37807768393191</v>
      </c>
      <c r="HA127" s="59">
        <f t="shared" si="106"/>
        <v>168.52019826233425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26.237674842197894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84"/>
        <v>26.237674842197894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266.99999999999983</v>
      </c>
      <c r="O128" s="13">
        <f>N128*VLOOKUP('Données projet'!$B$9,Paramètres!$A$1:$I$89,3,0)*VLOOKUP('Données projet'!$B$9,Paramètres!$A$1:$I$89,5,0)</f>
        <v>233.2511999999999</v>
      </c>
      <c r="P128" s="13">
        <f t="shared" si="87"/>
        <v>56.985091661350864</v>
      </c>
      <c r="Q128" s="20">
        <f t="shared" si="107"/>
        <v>505.49487464351915</v>
      </c>
      <c r="R128" s="59">
        <f t="shared" si="55"/>
        <v>798.82820797685247</v>
      </c>
      <c r="S128" s="59">
        <f ca="1">AVERAGE(OFFSET($R$3,0,0,'Données projet'!$E$9+1,1))-AVERAGE(OFFSET($H$3,0,0,'Données projet'!$E$9+1,1))</f>
        <v>324.86930206492627</v>
      </c>
      <c r="T128" s="59">
        <f t="shared" si="88"/>
        <v>317.03005098025352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12.967041269730428</v>
      </c>
      <c r="AA128" s="21">
        <f>EXP(-LN(2)/25)*AA127+(1-EXP(-LN(2)/25))/(LN(2)/25)*Calculateur!V128*Calculateur!X128*VLOOKUP('Données projet'!$B$9,Paramètres!$A$1:$I$89,3,0)*0.475*44/12</f>
        <v>2.626349750899001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15.593391020629429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2.3349358974358978</v>
      </c>
      <c r="AI128" s="13">
        <f>IF('Données projet'!$A$62&gt;35,AI127+AH128-AQ127,IF(A128&lt;'Données projet'!$A$62,$AF$205^A128,IF(A128='Données projet'!$A$62,'Données projet'!$B$62,AI127+AH128-AQ127)))</f>
        <v>150.13141025641079</v>
      </c>
      <c r="AJ128" s="13">
        <f>AI128*VLOOKUP('Données projet'!$B$10,Paramètres!$A$1:$I$89,3,0)*VLOOKUP('Données projet'!$B$10,Paramètres!$A$1:$I$89,5,0)</f>
        <v>142.86505000000051</v>
      </c>
      <c r="AK128" s="13">
        <f t="shared" si="89"/>
        <v>36.952572375451552</v>
      </c>
      <c r="AL128" s="20">
        <f t="shared" si="58"/>
        <v>313.18235897057895</v>
      </c>
      <c r="AM128" s="59">
        <f t="shared" si="59"/>
        <v>606.51569230391226</v>
      </c>
      <c r="AN128" s="59">
        <f ca="1">AVERAGE(OFFSET($AM$3,0,0,'Données projet'!$E$10+1,1))-AVERAGE(OFFSET($H$3,0,0,'Données projet'!$E$10+1,1))</f>
        <v>401.81944956556271</v>
      </c>
      <c r="AO128" s="59">
        <f t="shared" si="90"/>
        <v>292.20785523952651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130.52712719495952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130.52712719495952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1.7053025658242404E-13</v>
      </c>
      <c r="BE128" s="13">
        <f>BD128*VLOOKUP('Données projet'!$B$11,Paramètres!$A$1:$I$89,3,0)*VLOOKUP('Données projet'!$B$11,Paramètres!$A$1:$I$89,5,0)</f>
        <v>1.3301360013429075E-13</v>
      </c>
      <c r="BF128" s="13">
        <f t="shared" si="91"/>
        <v>1.9329766731057041E-12</v>
      </c>
      <c r="BG128" s="20">
        <f t="shared" si="61"/>
        <v>3.5982663925596575E-12</v>
      </c>
      <c r="BH128" s="59">
        <f t="shared" si="62"/>
        <v>293.3333333333369</v>
      </c>
      <c r="BI128" s="59">
        <f ca="1">AVERAGE(OFFSET($BH$3,0,0,'Données projet'!$E$11+1,1))-AVERAGE(OFFSET($H$3,0,0,'Données projet'!$E$11+1,1))</f>
        <v>288.80569134263209</v>
      </c>
      <c r="BJ128" s="59">
        <f t="shared" si="92"/>
        <v>283.48738729114024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26.764121557764902</v>
      </c>
      <c r="BQ128" s="21">
        <f>EXP(-LN(2)/25)*BQ127+(1-EXP(-LN(2)/25))/(LN(2)/25)*Calculateur!BL128*Calculateur!BN128*VLOOKUP('Données projet'!$B$11,Paramètres!$A$1:$I$89,3,0)*0.475*44/12</f>
        <v>14.439027179449162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41.203148737214065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212.00000000000009</v>
      </c>
      <c r="BZ128" s="13">
        <f>BY128*VLOOKUP('Données projet'!$B$12,Paramètres!$A$1:$I$89,3,0)*VLOOKUP('Données projet'!$B$12,Paramètres!$A$1:$I$89,5,0)</f>
        <v>221.58240000000012</v>
      </c>
      <c r="CA128" s="13">
        <f t="shared" si="93"/>
        <v>54.458668952651578</v>
      </c>
      <c r="CB128" s="20">
        <f t="shared" si="64"/>
        <v>480.77152842586838</v>
      </c>
      <c r="CC128" s="59">
        <f t="shared" si="65"/>
        <v>774.10486175920164</v>
      </c>
      <c r="CD128" s="59">
        <f ca="1">AVERAGE(OFFSET($CC$3,0,0,'Données projet'!$E$12+1,1))-AVERAGE(OFFSET($H$3,0,0,'Données projet'!$E$12+1,1))</f>
        <v>352.22281362023102</v>
      </c>
      <c r="CE128" s="59">
        <f t="shared" si="94"/>
        <v>310.2353747925161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10.890741604607838</v>
      </c>
      <c r="CL128" s="21">
        <f>EXP(-LN(2)/25)*CL127+(1-EXP(-LN(2)/25))/(LN(2)/25)*Calculateur!CG128*Calculateur!CI128*VLOOKUP('Données projet'!$B$12,Paramètres!$A$1:$I$89,3,0)*0.475*44/12</f>
        <v>8.3672974840137009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19.258039088621537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278.29487179487177</v>
      </c>
      <c r="CR128" s="12">
        <f>VLOOKUP(A128,'Données projet'!$A$139:$I$159,9,0)</f>
        <v>5.3066239316239274</v>
      </c>
      <c r="CS128" s="12">
        <f t="array" ref="CS128">INDEX(CR:CR,MIN(IF(ISNUMBER(CR128:CR324),ROW(CR128:CR324),"")))</f>
        <v>5.3066239316239274</v>
      </c>
      <c r="CT128" s="12">
        <f>IF('Données projet'!$A$140&gt;35,CT127+CS128-DB127,IF(A128&lt;'Données projet'!$A$140,$CQ$205^A128,IF(A128='Données projet'!$A$140,'Données projet'!$B$140,CT127+CS128-DB127)))</f>
        <v>278.29487179487131</v>
      </c>
      <c r="CU128" s="17">
        <f>CT128*VLOOKUP('Données projet'!$B$13,Paramètres!$A$1:$I$89,3,0)*VLOOKUP('Données projet'!$B$13,Paramètres!$A$1:$I$89,5,0)</f>
        <v>251.80119999999957</v>
      </c>
      <c r="CV128" s="13">
        <f t="shared" si="95"/>
        <v>60.971479423668242</v>
      </c>
      <c r="CW128" s="20">
        <f t="shared" si="67"/>
        <v>544.74574999622132</v>
      </c>
      <c r="CX128" s="59">
        <f t="shared" si="68"/>
        <v>838.07908332955458</v>
      </c>
      <c r="CY128" s="59">
        <f ca="1">AVERAGE(OFFSET($CX$3,0,0,'Données projet'!$E$13+1,1))-AVERAGE(OFFSET($H$3,0,0,'Données projet'!$E$13+1,1))</f>
        <v>345.49688858037996</v>
      </c>
      <c r="CZ128" s="59">
        <f t="shared" si="96"/>
        <v>213.15872113755023</v>
      </c>
      <c r="DA128" s="15">
        <f>IF(ISNA(VLOOKUP(A128,'Données projet'!$A$139:$I$159,3,0)),0,VLOOKUP(A128,'Données projet'!$A$139:$I$159,3,0))</f>
        <v>10</v>
      </c>
      <c r="DB128" s="15">
        <f>IF(ISNA(VLOOKUP(A128,'Données projet'!$A$139:$I$159,4,0)),0,VLOOKUP(A128,'Données projet'!$A$139:$I$159,4,0))</f>
        <v>48.160256410256409</v>
      </c>
      <c r="DC128" s="16">
        <f>IF(ISNA(VLOOKUP(A128,'Données projet'!$A$139:$I$159,5,0)),0%,VLOOKUP(A128,'Données projet'!$A$139:$I$159,5,0)*VLOOKUP('Données projet'!$B$13,Paramètres!$A$1:$I$89,7,0))</f>
        <v>0.30099999999999999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42.64944970371053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42.64944970371053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278.29487179487177</v>
      </c>
      <c r="DM128" s="12">
        <f>VLOOKUP(A128,'Données projet'!$A$165:$I$185,9,0)</f>
        <v>5.3066239316239274</v>
      </c>
      <c r="DN128" s="12">
        <f t="array" ref="DN128">INDEX(DM:DM,MIN(IF(ISNUMBER(DM128:DM324),ROW(DM128:DM324),"")))</f>
        <v>5.3066239316239274</v>
      </c>
      <c r="DO128" s="12">
        <f>IF('Données projet'!$A$166&gt;35,DO127+DN128-DW127,IF(A128&lt;'Données projet'!$A$166,$DL$205^A128,IF(A128='Données projet'!$A$166,'Données projet'!$B$166,DO127+DN128-DW127)))</f>
        <v>278.29487179487131</v>
      </c>
      <c r="DP128" s="17">
        <f>DO128*VLOOKUP('Données projet'!$B$14,Paramètres!$A$1:$I$89,3,0)*VLOOKUP('Données projet'!$B$14,Paramètres!$A$1:$I$89,5,0)</f>
        <v>282.19099999999952</v>
      </c>
      <c r="DQ128" s="13">
        <f t="shared" si="97"/>
        <v>67.429819909567854</v>
      </c>
      <c r="DR128" s="20">
        <f t="shared" si="70"/>
        <v>608.92292800916312</v>
      </c>
      <c r="DS128" s="59">
        <f t="shared" si="71"/>
        <v>902.25626134249637</v>
      </c>
      <c r="DT128" s="59">
        <f ca="1">AVERAGE(OFFSET($DS$3,0,0,'Données projet'!$E$14+1,1))-AVERAGE(OFFSET($H$3,0,0,'Données projet'!$E$14+1,1))</f>
        <v>382.26108489744581</v>
      </c>
      <c r="DU128" s="59">
        <f t="shared" si="98"/>
        <v>233.89423996158826</v>
      </c>
      <c r="DV128" s="15">
        <f>IF(ISNA(VLOOKUP(A128,'Données projet'!$A$165:$I$185,3,0)),0,VLOOKUP(A128,'Données projet'!$A$165:$I$185,3,0))</f>
        <v>10</v>
      </c>
      <c r="DW128" s="15">
        <f>IF(ISNA(VLOOKUP(A128,'Données projet'!$A$165:$I$185,4,0)),0,VLOOKUP(A128,'Données projet'!$A$165:$I$185,4,0))</f>
        <v>48.160256410256409</v>
      </c>
      <c r="DX128" s="16">
        <f>IF(ISNA(VLOOKUP(A128,'Données projet'!$A$165:$I$185,5,0)),0%,VLOOKUP(A128,'Données projet'!$A$165:$I$185,5,0)*VLOOKUP('Données projet'!$B$14,Paramètres!$A$1:$I$89,7,0))</f>
        <v>0.30099999999999999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47.796797081744565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47.796797081744565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-2.4158453015843406E-13</v>
      </c>
      <c r="EK128" s="17">
        <f>EJ128*VLOOKUP('Données projet'!$B$15,Paramètres!$A$1:$I$89,3,0)*VLOOKUP('Données projet'!$B$15,Paramètres!$A$1:$I$89,5,0)</f>
        <v>-2.0351080820546486E-13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312.48716825299158</v>
      </c>
      <c r="EP128" s="59">
        <f t="shared" si="100"/>
        <v>258.68277822755357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110.66577153536991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110.66577153536991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>
        <f>VLOOKUP(A128,'Données projet'!$A$217:$I$237,2,0)</f>
        <v>278.29487179487177</v>
      </c>
      <c r="FC128" s="12">
        <f>VLOOKUP(A128,'Données projet'!$A$217:$I$237,9,0)</f>
        <v>5.3066239316239274</v>
      </c>
      <c r="FD128" s="12">
        <f t="array" ref="FD128">INDEX(FC:FC,MIN(IF(ISNUMBER(FC128:FC324),ROW(FC128:FC324),"")))</f>
        <v>5.3066239316239274</v>
      </c>
      <c r="FE128" s="12">
        <f>IF('Données projet'!$A$218&gt;35,FE127+FD128-FM127,IF(A128&lt;'Données projet'!$A$218,$FB$205^A128,IF(A128='Données projet'!$A$218,'Données projet'!$B$218,FE127+FD128-FM127)))</f>
        <v>278.29487179487131</v>
      </c>
      <c r="FF128" s="17">
        <f>FE128*VLOOKUP('Données projet'!$B$16,Paramètres!$A$1:$I$89,3,0)*VLOOKUP('Données projet'!$B$16,Paramètres!$A$1:$I$89,5,0)</f>
        <v>299.55659999999949</v>
      </c>
      <c r="FG128" s="13">
        <f t="shared" si="101"/>
        <v>71.083501804267385</v>
      </c>
      <c r="FH128" s="20">
        <f t="shared" si="76"/>
        <v>645.53151064243139</v>
      </c>
      <c r="FI128" s="59">
        <f t="shared" si="77"/>
        <v>938.86484397576464</v>
      </c>
      <c r="FJ128" s="59">
        <f ca="1">AVERAGE(OFFSET($FI$3,0,0,'Données projet'!$E$16+1,1))-AVERAGE(OFFSET($H$3,0,0,'Données projet'!$E$16+1,1))</f>
        <v>403.23110963096246</v>
      </c>
      <c r="FK128" s="59">
        <f t="shared" si="102"/>
        <v>245.72000393124898</v>
      </c>
      <c r="FL128" s="15">
        <f>IF(ISNA(VLOOKUP(A128,'Données projet'!$A$217:$I$237,3,0)),0,VLOOKUP(A128,'Données projet'!$A$217:$I$237,3,0))</f>
        <v>10</v>
      </c>
      <c r="FM128" s="15">
        <f>IF(ISNA(VLOOKUP(A128,'Données projet'!$A$217:$I$237,4,0)),0,VLOOKUP(A128,'Données projet'!$A$217:$I$237,4,0))</f>
        <v>48.160256410256409</v>
      </c>
      <c r="FN128" s="16">
        <f>IF(ISNA(VLOOKUP(A128,'Données projet'!$A$217:$I$237,5,0)),0%,VLOOKUP(A128,'Données projet'!$A$217:$I$237,5,0)*VLOOKUP('Données projet'!$B$16,Paramètres!$A$1:$I$89,7,0))</f>
        <v>0.30099999999999999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50.73813844062115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50.73813844062115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>
        <f>VLOOKUP(A128,'Données projet'!$A$243:$I$263,2,0)</f>
        <v>278.29487179487177</v>
      </c>
      <c r="FX128" s="12">
        <f>VLOOKUP(A128,'Données projet'!$A$243:$I$263,9,0)</f>
        <v>5.3066239316239274</v>
      </c>
      <c r="FY128" s="12">
        <f t="array" ref="FY128">INDEX(FX:FX,MIN(IF(ISNUMBER(FX128:FX324),ROW(FX128:FX324),"")))</f>
        <v>5.3066239316239274</v>
      </c>
      <c r="FZ128" s="12">
        <f>IF('Données projet'!$A$244&gt;35,FZ127+FY128-GH127,IF(A128&lt;'Données projet'!$A$244,$FW$205^A128,IF(A128='Données projet'!$A$244,'Données projet'!$B$244,FZ127+FY128-GH127)))</f>
        <v>278.29487179487131</v>
      </c>
      <c r="GA128" s="17">
        <f>FZ128*VLOOKUP('Données projet'!$B$17,Paramètres!$A$1:$I$89,3,0)*VLOOKUP('Données projet'!$B$17,Paramètres!$A$1:$I$89,5,0)</f>
        <v>269.16679999999957</v>
      </c>
      <c r="GB128" s="13">
        <f t="shared" si="103"/>
        <v>64.672411424632728</v>
      </c>
      <c r="GC128" s="20">
        <f t="shared" si="79"/>
        <v>581.43662656456797</v>
      </c>
      <c r="GD128" s="59">
        <f t="shared" si="80"/>
        <v>874.76995989790134</v>
      </c>
      <c r="GE128" s="59">
        <f ca="1">AVERAGE(OFFSET($GD$3,0,0,'Données projet'!$E$17+1,1))-AVERAGE(OFFSET($H$3,0,0,'Données projet'!$E$17+1,1))</f>
        <v>336.2911850338175</v>
      </c>
      <c r="GF128" s="59">
        <f t="shared" si="104"/>
        <v>225.01415116995503</v>
      </c>
      <c r="GG128" s="15">
        <f>IF(ISNA(VLOOKUP(A128,'Données projet'!$A$243:$I$263,3,0)),0,VLOOKUP(A128,'Données projet'!$A$243:$I$263,3,0))</f>
        <v>10</v>
      </c>
      <c r="GH128" s="15">
        <f>IF(ISNA(VLOOKUP(A128,'Données projet'!$A$243:$I$263,4,0)),0,VLOOKUP(A128,'Données projet'!$A$243:$I$263,4,0))</f>
        <v>48.160256410256409</v>
      </c>
      <c r="GI128" s="16">
        <f>IF(ISNA(VLOOKUP(A128,'Données projet'!$A$243:$I$263,5,0)),0%,VLOOKUP(A128,'Données projet'!$A$243:$I$263,5,0)*VLOOKUP('Données projet'!$B$17,Paramètres!$A$1:$I$89,7,0))</f>
        <v>0.30099999999999999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45.590791062587137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45.590791062587137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>
        <f>VLOOKUP(A128,'Données projet'!$A$269:$I$289,2,0)</f>
        <v>278.29487179487177</v>
      </c>
      <c r="GS128" s="12">
        <f>VLOOKUP(A128,'Données projet'!$A$269:$I$289,9,0)</f>
        <v>5.3066239316239274</v>
      </c>
      <c r="GT128" s="12">
        <f t="array" ref="GT128">INDEX(GS:GS,MIN(IF(ISNUMBER(GS128:GS324),ROW(GS128:GS324),"")))</f>
        <v>5.3066239316239274</v>
      </c>
      <c r="GU128" s="12">
        <f>IF('Données projet'!$A$270&gt;35,GU127+GT128-HC127,IF(A128&lt;'Données projet'!$A$270,$GR$205^A128,IF(A128='Données projet'!$A$270,'Données projet'!$B$270,GU127+GT128-HC127)))</f>
        <v>278.29487179487131</v>
      </c>
      <c r="GV128" s="17">
        <f>GU128*VLOOKUP('Données projet'!$B$18,Paramètres!$A$1:$I$89,3,0)*VLOOKUP('Données projet'!$B$18,Paramètres!$A$1:$I$89,5,0)</f>
        <v>186.68019999999967</v>
      </c>
      <c r="GW128" s="13">
        <f t="shared" si="105"/>
        <v>46.805240938258379</v>
      </c>
      <c r="GX128" s="20">
        <f t="shared" si="82"/>
        <v>406.65380963413276</v>
      </c>
      <c r="GY128" s="59">
        <f t="shared" si="83"/>
        <v>699.98714296746607</v>
      </c>
      <c r="GZ128" s="59">
        <f ca="1">AVERAGE(OFFSET($GY$3,0,0,'Données projet'!$E$18+1,1))-AVERAGE(OFFSET($H$3,0,0,'Données projet'!$E$18+1,1))</f>
        <v>266.37807768393191</v>
      </c>
      <c r="HA128" s="59">
        <f t="shared" si="106"/>
        <v>168.52019826233425</v>
      </c>
      <c r="HB128" s="15">
        <f>IF(ISNA(VLOOKUP(A128,'Données projet'!$A$269:$I$289,3,0)),0,VLOOKUP(A128,'Données projet'!$A$269:$I$289,3,0))</f>
        <v>10</v>
      </c>
      <c r="HC128" s="15">
        <f>IF(ISNA(VLOOKUP(A128,'Données projet'!$A$269:$I$289,4,0)),0,VLOOKUP(A128,'Données projet'!$A$269:$I$289,4,0))</f>
        <v>48.160256410256409</v>
      </c>
      <c r="HD128" s="16">
        <f>IF(ISNA(VLOOKUP(A128,'Données projet'!$A$269:$I$289,5,0)),0%,VLOOKUP(A128,'Données projet'!$A$269:$I$289,5,0)*VLOOKUP('Données projet'!$B$18,Paramètres!$A$1:$I$89,7,0))</f>
        <v>0.371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38.972773005114803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84"/>
        <v>38.972773005114803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266.99999999999983</v>
      </c>
      <c r="O129" s="13">
        <f>N129*VLOOKUP('Données projet'!$B$9,Paramètres!$A$1:$I$89,3,0)*VLOOKUP('Données projet'!$B$9,Paramètres!$A$1:$I$89,5,0)</f>
        <v>233.2511999999999</v>
      </c>
      <c r="P129" s="13">
        <f t="shared" si="87"/>
        <v>56.985091661350864</v>
      </c>
      <c r="Q129" s="20">
        <f t="shared" si="107"/>
        <v>505.49487464351915</v>
      </c>
      <c r="R129" s="59">
        <f t="shared" si="55"/>
        <v>798.82820797685247</v>
      </c>
      <c r="S129" s="59">
        <f ca="1">AVERAGE(OFFSET($R$3,0,0,'Données projet'!$E$9+1,1))-AVERAGE(OFFSET($H$3,0,0,'Données projet'!$E$9+1,1))</f>
        <v>324.86930206492627</v>
      </c>
      <c r="T129" s="59">
        <f t="shared" si="88"/>
        <v>317.03005098025352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12.712765499545229</v>
      </c>
      <c r="AA129" s="21">
        <f>EXP(-LN(2)/25)*AA128+(1-EXP(-LN(2)/25))/(LN(2)/25)*Calculateur!V129*Calculateur!X129*VLOOKUP('Données projet'!$B$9,Paramètres!$A$1:$I$89,3,0)*0.475*44/12</f>
        <v>2.554532078846937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15.267297578392167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2.3349358974358978</v>
      </c>
      <c r="AI129" s="13">
        <f>IF('Données projet'!$A$62&gt;35,AI128+AH129-AQ128,IF(A129&lt;'Données projet'!$A$62,$AF$205^A129,IF(A129='Données projet'!$A$62,'Données projet'!$B$62,AI128+AH129-AQ128)))</f>
        <v>152.4663461538467</v>
      </c>
      <c r="AJ129" s="13">
        <f>AI129*VLOOKUP('Données projet'!$B$10,Paramètres!$A$1:$I$89,3,0)*VLOOKUP('Données projet'!$B$10,Paramètres!$A$1:$I$89,5,0)</f>
        <v>145.08697500000051</v>
      </c>
      <c r="AK129" s="13">
        <f t="shared" si="89"/>
        <v>37.459928322193456</v>
      </c>
      <c r="AL129" s="20">
        <f t="shared" si="58"/>
        <v>317.93585661948782</v>
      </c>
      <c r="AM129" s="59">
        <f t="shared" si="59"/>
        <v>611.26918995282108</v>
      </c>
      <c r="AN129" s="59">
        <f ca="1">AVERAGE(OFFSET($AM$3,0,0,'Données projet'!$E$10+1,1))-AVERAGE(OFFSET($H$3,0,0,'Données projet'!$E$10+1,1))</f>
        <v>401.81944956556271</v>
      </c>
      <c r="AO129" s="59">
        <f t="shared" si="90"/>
        <v>292.20785523952651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127.96756984435275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127.96756984435275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1.7053025658242404E-13</v>
      </c>
      <c r="BE129" s="13">
        <f>BD129*VLOOKUP('Données projet'!$B$11,Paramètres!$A$1:$I$89,3,0)*VLOOKUP('Données projet'!$B$11,Paramètres!$A$1:$I$89,5,0)</f>
        <v>1.3301360013429075E-13</v>
      </c>
      <c r="BF129" s="13">
        <f t="shared" si="91"/>
        <v>1.9329766731057041E-12</v>
      </c>
      <c r="BG129" s="20">
        <f t="shared" si="61"/>
        <v>3.5982663925596575E-12</v>
      </c>
      <c r="BH129" s="59">
        <f t="shared" si="62"/>
        <v>293.3333333333369</v>
      </c>
      <c r="BI129" s="59">
        <f ca="1">AVERAGE(OFFSET($BH$3,0,0,'Données projet'!$E$11+1,1))-AVERAGE(OFFSET($H$3,0,0,'Données projet'!$E$11+1,1))</f>
        <v>288.80569134263209</v>
      </c>
      <c r="BJ129" s="59">
        <f t="shared" si="92"/>
        <v>283.48738729114024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26.239293458519374</v>
      </c>
      <c r="BQ129" s="21">
        <f>EXP(-LN(2)/25)*BQ128+(1-EXP(-LN(2)/25))/(LN(2)/25)*Calculateur!BL129*Calculateur!BN129*VLOOKUP('Données projet'!$B$11,Paramètres!$A$1:$I$89,3,0)*0.475*44/12</f>
        <v>14.044191221911687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40.283484680431059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212.00000000000009</v>
      </c>
      <c r="BZ129" s="13">
        <f>BY129*VLOOKUP('Données projet'!$B$12,Paramètres!$A$1:$I$89,3,0)*VLOOKUP('Données projet'!$B$12,Paramètres!$A$1:$I$89,5,0)</f>
        <v>221.58240000000012</v>
      </c>
      <c r="CA129" s="13">
        <f t="shared" si="93"/>
        <v>54.458668952651578</v>
      </c>
      <c r="CB129" s="20">
        <f t="shared" si="64"/>
        <v>480.77152842586838</v>
      </c>
      <c r="CC129" s="59">
        <f t="shared" si="65"/>
        <v>774.10486175920164</v>
      </c>
      <c r="CD129" s="59">
        <f ca="1">AVERAGE(OFFSET($CC$3,0,0,'Données projet'!$E$12+1,1))-AVERAGE(OFFSET($H$3,0,0,'Données projet'!$E$12+1,1))</f>
        <v>352.22281362023102</v>
      </c>
      <c r="CE129" s="59">
        <f t="shared" si="94"/>
        <v>310.2353747925161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10.677180804437945</v>
      </c>
      <c r="CL129" s="21">
        <f>EXP(-LN(2)/25)*CL128+(1-EXP(-LN(2)/25))/(LN(2)/25)*Calculateur!CG129*Calculateur!CI129*VLOOKUP('Données projet'!$B$12,Paramètres!$A$1:$I$89,3,0)*0.475*44/12</f>
        <v>8.1384932942962944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18.815674098734242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5.2446581196581219</v>
      </c>
      <c r="CT129" s="12">
        <f>IF('Données projet'!$A$140&gt;35,CT128+CS129-DB128,IF(A129&lt;'Données projet'!$A$140,$CQ$205^A129,IF(A129='Données projet'!$A$140,'Données projet'!$B$140,CT128+CS129-DB128)))</f>
        <v>235.37927350427304</v>
      </c>
      <c r="CU129" s="17">
        <f>CT129*VLOOKUP('Données projet'!$B$13,Paramètres!$A$1:$I$89,3,0)*VLOOKUP('Données projet'!$B$13,Paramètres!$A$1:$I$89,5,0)</f>
        <v>212.97116666666628</v>
      </c>
      <c r="CV129" s="13">
        <f t="shared" si="95"/>
        <v>52.584328525271125</v>
      </c>
      <c r="CW129" s="20">
        <f t="shared" si="67"/>
        <v>462.50915412595759</v>
      </c>
      <c r="CX129" s="59">
        <f t="shared" si="68"/>
        <v>755.84248745929085</v>
      </c>
      <c r="CY129" s="59">
        <f ca="1">AVERAGE(OFFSET($CX$3,0,0,'Données projet'!$E$13+1,1))-AVERAGE(OFFSET($H$3,0,0,'Données projet'!$E$13+1,1))</f>
        <v>345.49688858037996</v>
      </c>
      <c r="CZ129" s="59">
        <f t="shared" si="96"/>
        <v>213.15872113755023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41.813120008616458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41.813120008616458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5.2446581196581219</v>
      </c>
      <c r="DO129" s="12">
        <f>IF('Données projet'!$A$166&gt;35,DO128+DN129-DW128,IF(A129&lt;'Données projet'!$A$166,$DL$205^A129,IF(A129='Données projet'!$A$166,'Données projet'!$B$166,DO128+DN129-DW128)))</f>
        <v>235.37927350427304</v>
      </c>
      <c r="DP129" s="17">
        <f>DO129*VLOOKUP('Données projet'!$B$14,Paramètres!$A$1:$I$89,3,0)*VLOOKUP('Données projet'!$B$14,Paramètres!$A$1:$I$89,5,0)</f>
        <v>238.67458333333289</v>
      </c>
      <c r="DQ129" s="13">
        <f t="shared" si="97"/>
        <v>58.154268783384175</v>
      </c>
      <c r="DR129" s="20">
        <f t="shared" si="70"/>
        <v>516.97691743661551</v>
      </c>
      <c r="DS129" s="59">
        <f t="shared" si="71"/>
        <v>810.31025076994888</v>
      </c>
      <c r="DT129" s="59">
        <f ca="1">AVERAGE(OFFSET($DS$3,0,0,'Données projet'!$E$14+1,1))-AVERAGE(OFFSET($H$3,0,0,'Données projet'!$E$14+1,1))</f>
        <v>382.26108489744581</v>
      </c>
      <c r="DU129" s="59">
        <f t="shared" si="98"/>
        <v>233.89423996158826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46.859531044139139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46.859531044139139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-2.4158453015843406E-13</v>
      </c>
      <c r="EK129" s="17">
        <f>EJ129*VLOOKUP('Données projet'!$B$15,Paramètres!$A$1:$I$89,3,0)*VLOOKUP('Données projet'!$B$15,Paramètres!$A$1:$I$89,5,0)</f>
        <v>-2.0351080820546486E-13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312.48716825299158</v>
      </c>
      <c r="EP129" s="59">
        <f t="shared" si="100"/>
        <v>258.68277822755357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108.49568325501693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108.49568325501693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5.2446581196581219</v>
      </c>
      <c r="FE129" s="12">
        <f>IF('Données projet'!$A$218&gt;35,FE128+FD129-FM128,IF(A129&lt;'Données projet'!$A$218,$FB$205^A129,IF(A129='Données projet'!$A$218,'Données projet'!$B$218,FE128+FD129-FM128)))</f>
        <v>235.37927350427304</v>
      </c>
      <c r="FF129" s="17">
        <f>FE129*VLOOKUP('Données projet'!$B$16,Paramètres!$A$1:$I$89,3,0)*VLOOKUP('Données projet'!$B$16,Paramètres!$A$1:$I$89,5,0)</f>
        <v>253.36224999999948</v>
      </c>
      <c r="FG129" s="13">
        <f t="shared" si="101"/>
        <v>61.305355338832562</v>
      </c>
      <c r="FH129" s="20">
        <f t="shared" si="76"/>
        <v>548.04607929846588</v>
      </c>
      <c r="FI129" s="59">
        <f t="shared" si="77"/>
        <v>841.37941263179914</v>
      </c>
      <c r="FJ129" s="59">
        <f ca="1">AVERAGE(OFFSET($FI$3,0,0,'Données projet'!$E$16+1,1))-AVERAGE(OFFSET($H$3,0,0,'Données projet'!$E$16+1,1))</f>
        <v>403.23110963096246</v>
      </c>
      <c r="FK129" s="59">
        <f t="shared" si="102"/>
        <v>245.72000393124898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49.743194493009234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49.743194493009234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5.2446581196581219</v>
      </c>
      <c r="FZ129" s="12">
        <f>IF('Données projet'!$A$244&gt;35,FZ128+FY129-GH128,IF(A129&lt;'Données projet'!$A$244,$FW$205^A129,IF(A129='Données projet'!$A$244,'Données projet'!$B$244,FZ128+FY129-GH128)))</f>
        <v>235.37927350427304</v>
      </c>
      <c r="GA129" s="17">
        <f>FZ129*VLOOKUP('Données projet'!$B$17,Paramètres!$A$1:$I$89,3,0)*VLOOKUP('Données projet'!$B$17,Paramètres!$A$1:$I$89,5,0)</f>
        <v>227.65883333333289</v>
      </c>
      <c r="GB129" s="13">
        <f t="shared" si="103"/>
        <v>55.776165528866244</v>
      </c>
      <c r="GC129" s="20">
        <f t="shared" si="79"/>
        <v>493.6492896849968</v>
      </c>
      <c r="GD129" s="59">
        <f t="shared" si="80"/>
        <v>786.98262301833006</v>
      </c>
      <c r="GE129" s="59">
        <f ca="1">AVERAGE(OFFSET($GD$3,0,0,'Données projet'!$E$17+1,1))-AVERAGE(OFFSET($H$3,0,0,'Données projet'!$E$17+1,1))</f>
        <v>336.2911850338175</v>
      </c>
      <c r="GF129" s="59">
        <f t="shared" si="104"/>
        <v>225.01415116995503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44.696783457486575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44.696783457486575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5.2446581196581219</v>
      </c>
      <c r="GU129" s="12">
        <f>IF('Données projet'!$A$270&gt;35,GU128+GT129-HC128,IF(A129&lt;'Données projet'!$A$270,$GR$205^A129,IF(A129='Données projet'!$A$270,'Données projet'!$B$270,GU128+GT129-HC128)))</f>
        <v>235.37927350427304</v>
      </c>
      <c r="GV129" s="17">
        <f>GU129*VLOOKUP('Données projet'!$B$18,Paramètres!$A$1:$I$89,3,0)*VLOOKUP('Données projet'!$B$18,Paramètres!$A$1:$I$89,5,0)</f>
        <v>157.89241666666635</v>
      </c>
      <c r="GW129" s="13">
        <f t="shared" si="105"/>
        <v>40.366777868382101</v>
      </c>
      <c r="GX129" s="20">
        <f t="shared" si="82"/>
        <v>345.30143048187603</v>
      </c>
      <c r="GY129" s="59">
        <f t="shared" si="83"/>
        <v>638.63476381520934</v>
      </c>
      <c r="GZ129" s="59">
        <f ca="1">AVERAGE(OFFSET($GY$3,0,0,'Données projet'!$E$18+1,1))-AVERAGE(OFFSET($H$3,0,0,'Données projet'!$E$18+1,1))</f>
        <v>266.37807768393191</v>
      </c>
      <c r="HA129" s="59">
        <f t="shared" si="106"/>
        <v>168.52019826233425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38.208540697528839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84"/>
        <v>38.208540697528839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266.99999999999983</v>
      </c>
      <c r="O130" s="13">
        <f>N130*VLOOKUP('Données projet'!$B$9,Paramètres!$A$1:$I$89,3,0)*VLOOKUP('Données projet'!$B$9,Paramètres!$A$1:$I$89,5,0)</f>
        <v>233.2511999999999</v>
      </c>
      <c r="P130" s="13">
        <f t="shared" si="87"/>
        <v>56.985091661350864</v>
      </c>
      <c r="Q130" s="20">
        <f t="shared" si="107"/>
        <v>505.49487464351915</v>
      </c>
      <c r="R130" s="59">
        <f t="shared" si="55"/>
        <v>798.82820797685247</v>
      </c>
      <c r="S130" s="59">
        <f ca="1">AVERAGE(OFFSET($R$3,0,0,'Données projet'!$E$9+1,1))-AVERAGE(OFFSET($H$3,0,0,'Données projet'!$E$9+1,1))</f>
        <v>324.86930206492627</v>
      </c>
      <c r="T130" s="59">
        <f t="shared" si="88"/>
        <v>317.03005098025352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12.463475922120455</v>
      </c>
      <c r="AA130" s="21">
        <f>EXP(-LN(2)/25)*AA129+(1-EXP(-LN(2)/25))/(LN(2)/25)*Calculateur!V130*Calculateur!X130*VLOOKUP('Données projet'!$B$9,Paramètres!$A$1:$I$89,3,0)*0.475*44/12</f>
        <v>2.4846782648138639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14.948154186934319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154.80128205128204</v>
      </c>
      <c r="AG130" s="12">
        <f>VLOOKUP(A130,'Données projet'!$A$61:$I$81,9,0)</f>
        <v>2.3349358974358978</v>
      </c>
      <c r="AH130" s="12">
        <f t="array" ref="AH130">INDEX(AG:AG,MIN(IF(ISNUMBER(AG130:AG326),ROW(AG130:AG326),"")))</f>
        <v>2.3349358974358978</v>
      </c>
      <c r="AI130" s="13">
        <f>IF('Données projet'!$A$62&gt;35,AI129+AH130-AQ129,IF(A130&lt;'Données projet'!$A$62,$AF$205^A130,IF(A130='Données projet'!$A$62,'Données projet'!$B$62,AI129+AH130-AQ129)))</f>
        <v>154.80128205128261</v>
      </c>
      <c r="AJ130" s="13">
        <f>AI130*VLOOKUP('Données projet'!$B$10,Paramètres!$A$1:$I$89,3,0)*VLOOKUP('Données projet'!$B$10,Paramètres!$A$1:$I$89,5,0)</f>
        <v>147.30890000000053</v>
      </c>
      <c r="AK130" s="13">
        <f t="shared" si="89"/>
        <v>37.966380624403151</v>
      </c>
      <c r="AL130" s="20">
        <f t="shared" si="58"/>
        <v>322.68778042083636</v>
      </c>
      <c r="AM130" s="59">
        <f t="shared" si="59"/>
        <v>616.02111375416962</v>
      </c>
      <c r="AN130" s="59">
        <f ca="1">AVERAGE(OFFSET($AM$3,0,0,'Données projet'!$E$10+1,1))-AVERAGE(OFFSET($H$3,0,0,'Données projet'!$E$10+1,1))</f>
        <v>401.81944956556271</v>
      </c>
      <c r="AO130" s="59">
        <f t="shared" si="90"/>
        <v>292.20785523952651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49.916666666666671</v>
      </c>
      <c r="AR130" s="16">
        <f>IF(ISNA(VLOOKUP(A130,'Données projet'!$A$61:$I$81,5,0)),0%,VLOOKUP(A130,'Données projet'!$A$61:$I$81,5,0)*VLOOKUP('Données projet'!$B$10,Paramètres!$A$1:$I$89,7,0))</f>
        <v>0.38700000000000001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145.77981257590585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145.77981257590585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1.7053025658242404E-13</v>
      </c>
      <c r="BE130" s="13">
        <f>BD130*VLOOKUP('Données projet'!$B$11,Paramètres!$A$1:$I$89,3,0)*VLOOKUP('Données projet'!$B$11,Paramètres!$A$1:$I$89,5,0)</f>
        <v>1.3301360013429075E-13</v>
      </c>
      <c r="BF130" s="13">
        <f t="shared" si="91"/>
        <v>1.9329766731057041E-12</v>
      </c>
      <c r="BG130" s="20">
        <f t="shared" si="61"/>
        <v>3.5982663925596575E-12</v>
      </c>
      <c r="BH130" s="59">
        <f t="shared" si="62"/>
        <v>293.3333333333369</v>
      </c>
      <c r="BI130" s="59">
        <f ca="1">AVERAGE(OFFSET($BH$3,0,0,'Données projet'!$E$11+1,1))-AVERAGE(OFFSET($H$3,0,0,'Données projet'!$E$11+1,1))</f>
        <v>288.80569134263209</v>
      </c>
      <c r="BJ130" s="59">
        <f t="shared" si="92"/>
        <v>283.48738729114024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25.724756918186515</v>
      </c>
      <c r="BQ130" s="21">
        <f>EXP(-LN(2)/25)*BQ129+(1-EXP(-LN(2)/25))/(LN(2)/25)*Calculateur!BL130*Calculateur!BN130*VLOOKUP('Données projet'!$B$11,Paramètres!$A$1:$I$89,3,0)*0.475*44/12</f>
        <v>13.660152074396594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39.384908992583107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212.00000000000009</v>
      </c>
      <c r="BZ130" s="13">
        <f>BY130*VLOOKUP('Données projet'!$B$12,Paramètres!$A$1:$I$89,3,0)*VLOOKUP('Données projet'!$B$12,Paramètres!$A$1:$I$89,5,0)</f>
        <v>221.58240000000012</v>
      </c>
      <c r="CA130" s="13">
        <f t="shared" si="93"/>
        <v>54.458668952651578</v>
      </c>
      <c r="CB130" s="20">
        <f t="shared" si="64"/>
        <v>480.77152842586838</v>
      </c>
      <c r="CC130" s="59">
        <f t="shared" si="65"/>
        <v>774.10486175920164</v>
      </c>
      <c r="CD130" s="59">
        <f ca="1">AVERAGE(OFFSET($CC$3,0,0,'Données projet'!$E$12+1,1))-AVERAGE(OFFSET($H$3,0,0,'Données projet'!$E$12+1,1))</f>
        <v>352.22281362023102</v>
      </c>
      <c r="CE130" s="59">
        <f t="shared" si="94"/>
        <v>310.2353747925161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10.467807801300159</v>
      </c>
      <c r="CL130" s="21">
        <f>EXP(-LN(2)/25)*CL129+(1-EXP(-LN(2)/25))/(LN(2)/25)*Calculateur!CG130*Calculateur!CI130*VLOOKUP('Données projet'!$B$12,Paramètres!$A$1:$I$89,3,0)*0.475*44/12</f>
        <v>7.915945767179001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18.383753568479161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5.2446581196581219</v>
      </c>
      <c r="CT130" s="12">
        <f>IF('Données projet'!$A$140&gt;35,CT129+CS130-DB129,IF(A130&lt;'Données projet'!$A$140,$CQ$205^A130,IF(A130='Données projet'!$A$140,'Données projet'!$B$140,CT129+CS130-DB129)))</f>
        <v>240.62393162393116</v>
      </c>
      <c r="CU130" s="17">
        <f>CT130*VLOOKUP('Données projet'!$B$13,Paramètres!$A$1:$I$89,3,0)*VLOOKUP('Données projet'!$B$13,Paramètres!$A$1:$I$89,5,0)</f>
        <v>217.7165333333329</v>
      </c>
      <c r="CV130" s="13">
        <f t="shared" si="95"/>
        <v>53.618284552972121</v>
      </c>
      <c r="CW130" s="20">
        <f t="shared" si="67"/>
        <v>472.57480781864791</v>
      </c>
      <c r="CX130" s="59">
        <f t="shared" si="68"/>
        <v>765.90814115198123</v>
      </c>
      <c r="CY130" s="59">
        <f ca="1">AVERAGE(OFFSET($CX$3,0,0,'Données projet'!$E$13+1,1))-AVERAGE(OFFSET($H$3,0,0,'Données projet'!$E$13+1,1))</f>
        <v>345.49688858037996</v>
      </c>
      <c r="CZ130" s="59">
        <f t="shared" si="96"/>
        <v>213.15872113755023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40.993190228732438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40.993190228732438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5.2446581196581219</v>
      </c>
      <c r="DO130" s="12">
        <f>IF('Données projet'!$A$166&gt;35,DO129+DN130-DW129,IF(A130&lt;'Données projet'!$A$166,$DL$205^A130,IF(A130='Données projet'!$A$166,'Données projet'!$B$166,DO129+DN130-DW129)))</f>
        <v>240.62393162393116</v>
      </c>
      <c r="DP130" s="17">
        <f>DO130*VLOOKUP('Données projet'!$B$14,Paramètres!$A$1:$I$89,3,0)*VLOOKUP('Données projet'!$B$14,Paramètres!$A$1:$I$89,5,0)</f>
        <v>243.9926666666662</v>
      </c>
      <c r="DQ130" s="13">
        <f t="shared" si="97"/>
        <v>59.297745526958636</v>
      </c>
      <c r="DR130" s="20">
        <f t="shared" si="70"/>
        <v>528.23080123722991</v>
      </c>
      <c r="DS130" s="59">
        <f t="shared" si="71"/>
        <v>821.56413457056328</v>
      </c>
      <c r="DT130" s="59">
        <f ca="1">AVERAGE(OFFSET($DS$3,0,0,'Données projet'!$E$14+1,1))-AVERAGE(OFFSET($H$3,0,0,'Données projet'!$E$14+1,1))</f>
        <v>382.26108489744581</v>
      </c>
      <c r="DU130" s="59">
        <f t="shared" si="98"/>
        <v>233.89423996158826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45.940644221855322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45.940644221855322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-2.4158453015843406E-13</v>
      </c>
      <c r="EK130" s="17">
        <f>EJ130*VLOOKUP('Données projet'!$B$15,Paramètres!$A$1:$I$89,3,0)*VLOOKUP('Données projet'!$B$15,Paramètres!$A$1:$I$89,5,0)</f>
        <v>-2.0351080820546486E-13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312.48716825299158</v>
      </c>
      <c r="EP130" s="59">
        <f t="shared" si="100"/>
        <v>258.68277822755357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106.36814908221851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106.36814908221851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5.2446581196581219</v>
      </c>
      <c r="FE130" s="12">
        <f>IF('Données projet'!$A$218&gt;35,FE129+FD130-FM129,IF(A130&lt;'Données projet'!$A$218,$FB$205^A130,IF(A130='Données projet'!$A$218,'Données projet'!$B$218,FE129+FD130-FM129)))</f>
        <v>240.62393162393116</v>
      </c>
      <c r="FF130" s="17">
        <f>FE130*VLOOKUP('Données projet'!$B$16,Paramètres!$A$1:$I$89,3,0)*VLOOKUP('Données projet'!$B$16,Paramètres!$A$1:$I$89,5,0)</f>
        <v>259.00759999999946</v>
      </c>
      <c r="FG130" s="13">
        <f t="shared" si="101"/>
        <v>62.510791320628492</v>
      </c>
      <c r="FH130" s="20">
        <f t="shared" si="76"/>
        <v>559.97786488342695</v>
      </c>
      <c r="FI130" s="59">
        <f t="shared" si="77"/>
        <v>853.3111982167602</v>
      </c>
      <c r="FJ130" s="59">
        <f ca="1">AVERAGE(OFFSET($FI$3,0,0,'Données projet'!$E$16+1,1))-AVERAGE(OFFSET($H$3,0,0,'Données projet'!$E$16+1,1))</f>
        <v>403.23110963096246</v>
      </c>
      <c r="FK130" s="59">
        <f t="shared" si="102"/>
        <v>245.72000393124898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48.767760789354099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48.767760789354099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5.2446581196581219</v>
      </c>
      <c r="FZ130" s="12">
        <f>IF('Données projet'!$A$244&gt;35,FZ129+FY130-GH129,IF(A130&lt;'Données projet'!$A$244,$FW$205^A130,IF(A130='Données projet'!$A$244,'Données projet'!$B$244,FZ129+FY130-GH129)))</f>
        <v>240.62393162393116</v>
      </c>
      <c r="GA130" s="17">
        <f>FZ130*VLOOKUP('Données projet'!$B$17,Paramètres!$A$1:$I$89,3,0)*VLOOKUP('Données projet'!$B$17,Paramètres!$A$1:$I$89,5,0)</f>
        <v>232.73146666666622</v>
      </c>
      <c r="GB130" s="13">
        <f t="shared" si="103"/>
        <v>56.872882063392389</v>
      </c>
      <c r="GC130" s="20">
        <f t="shared" si="79"/>
        <v>504.39424070485211</v>
      </c>
      <c r="GD130" s="59">
        <f t="shared" si="80"/>
        <v>797.72757403818537</v>
      </c>
      <c r="GE130" s="59">
        <f ca="1">AVERAGE(OFFSET($GD$3,0,0,'Données projet'!$E$17+1,1))-AVERAGE(OFFSET($H$3,0,0,'Données projet'!$E$17+1,1))</f>
        <v>336.2911850338175</v>
      </c>
      <c r="GF130" s="59">
        <f t="shared" si="104"/>
        <v>225.01415116995503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43.820306796231236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43.820306796231236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5.2446581196581219</v>
      </c>
      <c r="GU130" s="12">
        <f>IF('Données projet'!$A$270&gt;35,GU129+GT130-HC129,IF(A130&lt;'Données projet'!$A$270,$GR$205^A130,IF(A130='Données projet'!$A$270,'Données projet'!$B$270,GU129+GT130-HC129)))</f>
        <v>240.62393162393116</v>
      </c>
      <c r="GV130" s="17">
        <f>GU130*VLOOKUP('Données projet'!$B$18,Paramètres!$A$1:$I$89,3,0)*VLOOKUP('Données projet'!$B$18,Paramètres!$A$1:$I$89,5,0)</f>
        <v>161.41053333333303</v>
      </c>
      <c r="GW130" s="13">
        <f t="shared" si="105"/>
        <v>41.160502433597848</v>
      </c>
      <c r="GX130" s="20">
        <f t="shared" si="82"/>
        <v>352.81122062740457</v>
      </c>
      <c r="GY130" s="59">
        <f t="shared" si="83"/>
        <v>646.14455396073788</v>
      </c>
      <c r="GZ130" s="59">
        <f ca="1">AVERAGE(OFFSET($GY$3,0,0,'Données projet'!$E$18+1,1))-AVERAGE(OFFSET($H$3,0,0,'Données projet'!$E$18+1,1))</f>
        <v>266.37807768393191</v>
      </c>
      <c r="HA130" s="59">
        <f t="shared" si="106"/>
        <v>168.52019826233425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37.459294519358956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84"/>
        <v>37.459294519358956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266.99999999999983</v>
      </c>
      <c r="O131" s="13">
        <f>N131*VLOOKUP('Données projet'!$B$9,Paramètres!$A$1:$I$89,3,0)*VLOOKUP('Données projet'!$B$9,Paramètres!$A$1:$I$89,5,0)</f>
        <v>233.2511999999999</v>
      </c>
      <c r="P131" s="13">
        <f t="shared" si="87"/>
        <v>56.985091661350864</v>
      </c>
      <c r="Q131" s="20">
        <f t="shared" ref="Q131:Q153" si="108">(O131+P131)*0.475*44/12</f>
        <v>505.49487464351915</v>
      </c>
      <c r="R131" s="59">
        <f t="shared" ref="R131:R194" si="109">Q131+(I131+J131)*44/12</f>
        <v>798.82820797685247</v>
      </c>
      <c r="S131" s="59">
        <f ca="1">AVERAGE(OFFSET($R$3,0,0,'Données projet'!$E$9+1,1))-AVERAGE(OFFSET($H$3,0,0,'Données projet'!$E$9+1,1))</f>
        <v>324.86930206492627</v>
      </c>
      <c r="T131" s="59">
        <f t="shared" si="88"/>
        <v>317.03005098025352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12.219074761257353</v>
      </c>
      <c r="AA131" s="21">
        <f>EXP(-LN(2)/25)*AA130+(1-EXP(-LN(2)/25))/(LN(2)/25)*Calculateur!V131*Calculateur!X131*VLOOKUP('Données projet'!$B$9,Paramètres!$A$1:$I$89,3,0)*0.475*44/12</f>
        <v>2.4167346069989777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14.63580936825633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1.5064102564102591</v>
      </c>
      <c r="AI131" s="13">
        <f>IF('Données projet'!$A$62&gt;35,AI130+AH131-AQ130,IF(A131&lt;'Données projet'!$A$62,$AF$205^A131,IF(A131='Données projet'!$A$62,'Données projet'!$B$62,AI130+AH131-AQ130)))</f>
        <v>106.39102564102619</v>
      </c>
      <c r="AJ131" s="13">
        <f>AI131*VLOOKUP('Données projet'!$B$10,Paramètres!$A$1:$I$89,3,0)*VLOOKUP('Données projet'!$B$10,Paramètres!$A$1:$I$89,5,0)</f>
        <v>101.24170000000052</v>
      </c>
      <c r="AK131" s="13">
        <f t="shared" si="89"/>
        <v>27.257602653564337</v>
      </c>
      <c r="AL131" s="20">
        <f t="shared" si="58"/>
        <v>223.80295212162545</v>
      </c>
      <c r="AM131" s="59">
        <f t="shared" si="59"/>
        <v>517.13628545495874</v>
      </c>
      <c r="AN131" s="59">
        <f ca="1">AVERAGE(OFFSET($AM$3,0,0,'Données projet'!$E$10+1,1))-AVERAGE(OFFSET($H$3,0,0,'Données projet'!$E$10+1,1))</f>
        <v>401.81944956556271</v>
      </c>
      <c r="AO131" s="59">
        <f t="shared" si="90"/>
        <v>292.20785523952651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142.9211593681982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142.9211593681982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1.7053025658242404E-13</v>
      </c>
      <c r="BE131" s="13">
        <f>BD131*VLOOKUP('Données projet'!$B$11,Paramètres!$A$1:$I$89,3,0)*VLOOKUP('Données projet'!$B$11,Paramètres!$A$1:$I$89,5,0)</f>
        <v>1.3301360013429075E-13</v>
      </c>
      <c r="BF131" s="13">
        <f t="shared" si="91"/>
        <v>1.9329766731057041E-12</v>
      </c>
      <c r="BG131" s="20">
        <f t="shared" si="61"/>
        <v>3.5982663925596575E-12</v>
      </c>
      <c r="BH131" s="59">
        <f t="shared" si="62"/>
        <v>293.3333333333369</v>
      </c>
      <c r="BI131" s="59">
        <f ca="1">AVERAGE(OFFSET($BH$3,0,0,'Données projet'!$E$11+1,1))-AVERAGE(OFFSET($H$3,0,0,'Données projet'!$E$11+1,1))</f>
        <v>288.80569134263209</v>
      </c>
      <c r="BJ131" s="59">
        <f t="shared" si="92"/>
        <v>283.48738729114024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25.220310125573285</v>
      </c>
      <c r="BQ131" s="21">
        <f>EXP(-LN(2)/25)*BQ130+(1-EXP(-LN(2)/25))/(LN(2)/25)*Calculateur!BL131*Calculateur!BN131*VLOOKUP('Données projet'!$B$11,Paramètres!$A$1:$I$89,3,0)*0.475*44/12</f>
        <v>13.286614497566042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38.506924623139327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212.00000000000009</v>
      </c>
      <c r="BZ131" s="13">
        <f>BY131*VLOOKUP('Données projet'!$B$12,Paramètres!$A$1:$I$89,3,0)*VLOOKUP('Données projet'!$B$12,Paramètres!$A$1:$I$89,5,0)</f>
        <v>221.58240000000012</v>
      </c>
      <c r="CA131" s="13">
        <f t="shared" si="93"/>
        <v>54.458668952651578</v>
      </c>
      <c r="CB131" s="20">
        <f t="shared" si="64"/>
        <v>480.77152842586838</v>
      </c>
      <c r="CC131" s="59">
        <f t="shared" si="65"/>
        <v>774.10486175920164</v>
      </c>
      <c r="CD131" s="59">
        <f ca="1">AVERAGE(OFFSET($CC$3,0,0,'Données projet'!$E$12+1,1))-AVERAGE(OFFSET($H$3,0,0,'Données projet'!$E$12+1,1))</f>
        <v>352.22281362023102</v>
      </c>
      <c r="CE131" s="59">
        <f t="shared" si="94"/>
        <v>310.2353747925161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10.262540475048981</v>
      </c>
      <c r="CL131" s="21">
        <f>EXP(-LN(2)/25)*CL130+(1-EXP(-LN(2)/25))/(LN(2)/25)*Calculateur!CG131*Calculateur!CI131*VLOOKUP('Données projet'!$B$12,Paramètres!$A$1:$I$89,3,0)*0.475*44/12</f>
        <v>7.6994838138939956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17.962024288942978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5.2446581196581219</v>
      </c>
      <c r="CT131" s="12">
        <f>IF('Données projet'!$A$140&gt;35,CT130+CS131-DB130,IF(A131&lt;'Données projet'!$A$140,$CQ$205^A131,IF(A131='Données projet'!$A$140,'Données projet'!$B$140,CT130+CS131-DB130)))</f>
        <v>245.86858974358927</v>
      </c>
      <c r="CU131" s="17">
        <f>CT131*VLOOKUP('Données projet'!$B$13,Paramètres!$A$1:$I$89,3,0)*VLOOKUP('Données projet'!$B$13,Paramètres!$A$1:$I$89,5,0)</f>
        <v>222.46189999999956</v>
      </c>
      <c r="CV131" s="13">
        <f t="shared" si="95"/>
        <v>54.649620474067063</v>
      </c>
      <c r="CW131" s="20">
        <f t="shared" si="67"/>
        <v>482.6358981589994</v>
      </c>
      <c r="CX131" s="59">
        <f t="shared" si="68"/>
        <v>775.96923149233271</v>
      </c>
      <c r="CY131" s="59">
        <f ca="1">AVERAGE(OFFSET($CX$3,0,0,'Données projet'!$E$13+1,1))-AVERAGE(OFFSET($H$3,0,0,'Données projet'!$E$13+1,1))</f>
        <v>345.49688858037996</v>
      </c>
      <c r="CZ131" s="59">
        <f t="shared" si="96"/>
        <v>213.15872113755023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40.189338771724152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40.189338771724152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5.2446581196581219</v>
      </c>
      <c r="DO131" s="12">
        <f>IF('Données projet'!$A$166&gt;35,DO130+DN131-DW130,IF(A131&lt;'Données projet'!$A$166,$DL$205^A131,IF(A131='Données projet'!$A$166,'Données projet'!$B$166,DO130+DN131-DW130)))</f>
        <v>245.86858974358927</v>
      </c>
      <c r="DP131" s="17">
        <f>DO131*VLOOKUP('Données projet'!$B$14,Paramètres!$A$1:$I$89,3,0)*VLOOKUP('Données projet'!$B$14,Paramètres!$A$1:$I$89,5,0)</f>
        <v>249.31074999999953</v>
      </c>
      <c r="DQ131" s="13">
        <f t="shared" si="97"/>
        <v>60.438324631862308</v>
      </c>
      <c r="DR131" s="20">
        <f t="shared" si="70"/>
        <v>539.47963831715936</v>
      </c>
      <c r="DS131" s="59">
        <f t="shared" si="71"/>
        <v>832.81297165049273</v>
      </c>
      <c r="DT131" s="59">
        <f ca="1">AVERAGE(OFFSET($DS$3,0,0,'Données projet'!$E$14+1,1))-AVERAGE(OFFSET($H$3,0,0,'Données projet'!$E$14+1,1))</f>
        <v>382.26108489744581</v>
      </c>
      <c r="DU131" s="59">
        <f t="shared" si="98"/>
        <v>233.89423996158826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45.039776209690871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45.039776209690871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-2.4158453015843406E-13</v>
      </c>
      <c r="EK131" s="17">
        <f>EJ131*VLOOKUP('Données projet'!$B$15,Paramètres!$A$1:$I$89,3,0)*VLOOKUP('Données projet'!$B$15,Paramètres!$A$1:$I$89,5,0)</f>
        <v>-2.0351080820546486E-13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312.48716825299158</v>
      </c>
      <c r="EP131" s="59">
        <f t="shared" si="100"/>
        <v>258.68277822755357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104.28233455688095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104.28233455688095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5.2446581196581219</v>
      </c>
      <c r="FE131" s="12">
        <f>IF('Données projet'!$A$218&gt;35,FE130+FD131-FM130,IF(A131&lt;'Données projet'!$A$218,$FB$205^A131,IF(A131='Données projet'!$A$218,'Données projet'!$B$218,FE130+FD131-FM130)))</f>
        <v>245.86858974358927</v>
      </c>
      <c r="FF131" s="17">
        <f>FE131*VLOOKUP('Données projet'!$B$16,Paramètres!$A$1:$I$89,3,0)*VLOOKUP('Données projet'!$B$16,Paramètres!$A$1:$I$89,5,0)</f>
        <v>264.65294999999946</v>
      </c>
      <c r="FG131" s="13">
        <f t="shared" si="101"/>
        <v>63.713172655326758</v>
      </c>
      <c r="FH131" s="20">
        <f t="shared" si="76"/>
        <v>571.90433029135977</v>
      </c>
      <c r="FI131" s="59">
        <f t="shared" si="77"/>
        <v>865.23766362469314</v>
      </c>
      <c r="FJ131" s="59">
        <f ca="1">AVERAGE(OFFSET($FI$3,0,0,'Données projet'!$E$16+1,1))-AVERAGE(OFFSET($H$3,0,0,'Données projet'!$E$16+1,1))</f>
        <v>403.23110963096246</v>
      </c>
      <c r="FK131" s="59">
        <f t="shared" si="102"/>
        <v>245.72000393124898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47.811454745671831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47.811454745671831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5.2446581196581219</v>
      </c>
      <c r="FZ131" s="12">
        <f>IF('Données projet'!$A$244&gt;35,FZ130+FY131-GH130,IF(A131&lt;'Données projet'!$A$244,$FW$205^A131,IF(A131='Données projet'!$A$244,'Données projet'!$B$244,FZ130+FY131-GH130)))</f>
        <v>245.86858974358927</v>
      </c>
      <c r="GA131" s="17">
        <f>FZ131*VLOOKUP('Données projet'!$B$17,Paramètres!$A$1:$I$89,3,0)*VLOOKUP('Données projet'!$B$17,Paramètres!$A$1:$I$89,5,0)</f>
        <v>237.80409999999952</v>
      </c>
      <c r="GB131" s="13">
        <f t="shared" si="103"/>
        <v>57.966819452422889</v>
      </c>
      <c r="GC131" s="20">
        <f t="shared" si="79"/>
        <v>515.13435137963563</v>
      </c>
      <c r="GD131" s="59">
        <f t="shared" si="80"/>
        <v>808.467684712969</v>
      </c>
      <c r="GE131" s="59">
        <f ca="1">AVERAGE(OFFSET($GD$3,0,0,'Données projet'!$E$17+1,1))-AVERAGE(OFFSET($H$3,0,0,'Données projet'!$E$17+1,1))</f>
        <v>336.2911850338175</v>
      </c>
      <c r="GF131" s="59">
        <f t="shared" si="104"/>
        <v>225.01415116995503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42.961017307705141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42.961017307705141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5.2446581196581219</v>
      </c>
      <c r="GU131" s="12">
        <f>IF('Données projet'!$A$270&gt;35,GU130+GT131-HC130,IF(A131&lt;'Données projet'!$A$270,$GR$205^A131,IF(A131='Données projet'!$A$270,'Données projet'!$B$270,GU130+GT131-HC130)))</f>
        <v>245.86858974358927</v>
      </c>
      <c r="GV131" s="17">
        <f>GU131*VLOOKUP('Données projet'!$B$18,Paramètres!$A$1:$I$89,3,0)*VLOOKUP('Données projet'!$B$18,Paramètres!$A$1:$I$89,5,0)</f>
        <v>164.92864999999969</v>
      </c>
      <c r="GW131" s="13">
        <f t="shared" si="105"/>
        <v>41.952215653146048</v>
      </c>
      <c r="GX131" s="20">
        <f t="shared" si="82"/>
        <v>360.31750767922881</v>
      </c>
      <c r="GY131" s="59">
        <f t="shared" si="83"/>
        <v>653.65084101256207</v>
      </c>
      <c r="GZ131" s="59">
        <f ca="1">AVERAGE(OFFSET($GY$3,0,0,'Données projet'!$E$18+1,1))-AVERAGE(OFFSET($H$3,0,0,'Données projet'!$E$18+1,1))</f>
        <v>266.37807768393191</v>
      </c>
      <c r="HA131" s="59">
        <f t="shared" si="106"/>
        <v>168.52019826233425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36.724740601747939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84"/>
        <v>36.724740601747939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266.99999999999983</v>
      </c>
      <c r="O132" s="13">
        <f>N132*VLOOKUP('Données projet'!$B$9,Paramètres!$A$1:$I$89,3,0)*VLOOKUP('Données projet'!$B$9,Paramètres!$A$1:$I$89,5,0)</f>
        <v>233.2511999999999</v>
      </c>
      <c r="P132" s="13">
        <f t="shared" si="87"/>
        <v>56.985091661350864</v>
      </c>
      <c r="Q132" s="20">
        <f t="shared" si="108"/>
        <v>505.49487464351915</v>
      </c>
      <c r="R132" s="59">
        <f t="shared" si="109"/>
        <v>798.82820797685247</v>
      </c>
      <c r="S132" s="59">
        <f ca="1">AVERAGE(OFFSET($R$3,0,0,'Données projet'!$E$9+1,1))-AVERAGE(OFFSET($H$3,0,0,'Données projet'!$E$9+1,1))</f>
        <v>324.86930206492627</v>
      </c>
      <c r="T132" s="59">
        <f t="shared" si="88"/>
        <v>317.03005098025352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11.979466158088789</v>
      </c>
      <c r="AA132" s="21">
        <f>EXP(-LN(2)/25)*AA131+(1-EXP(-LN(2)/25))/(LN(2)/25)*Calculateur!V132*Calculateur!X132*VLOOKUP('Données projet'!$B$9,Paramètres!$A$1:$I$89,3,0)*0.475*44/12</f>
        <v>2.3506488720800411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14.33011503016883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1.5064102564102591</v>
      </c>
      <c r="AI132" s="13">
        <f>IF('Données projet'!$A$62&gt;35,AI131+AH132-AQ131,IF(A132&lt;'Données projet'!$A$62,$AF$205^A132,IF(A132='Données projet'!$A$62,'Données projet'!$B$62,AI131+AH132-AQ131)))</f>
        <v>107.89743589743645</v>
      </c>
      <c r="AJ132" s="13">
        <f>AI132*VLOOKUP('Données projet'!$B$10,Paramètres!$A$1:$I$89,3,0)*VLOOKUP('Données projet'!$B$10,Paramètres!$A$1:$I$89,5,0)</f>
        <v>102.67520000000054</v>
      </c>
      <c r="AK132" s="13">
        <f t="shared" si="89"/>
        <v>27.598344498736139</v>
      </c>
      <c r="AL132" s="20">
        <f t="shared" ref="AL132:AL153" si="112">(AJ132+AK132)*0.475*44/12</f>
        <v>226.89309000196636</v>
      </c>
      <c r="AM132" s="59">
        <f t="shared" ref="AM132:AM195" si="113">AL132+(AD132+AE132)*44/12</f>
        <v>520.22642333529961</v>
      </c>
      <c r="AN132" s="59">
        <f ca="1">AVERAGE(OFFSET($AM$3,0,0,'Données projet'!$E$10+1,1))-AVERAGE(OFFSET($H$3,0,0,'Données projet'!$E$10+1,1))</f>
        <v>401.81944956556271</v>
      </c>
      <c r="AO132" s="59">
        <f t="shared" si="90"/>
        <v>292.20785523952651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140.11856260628741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140.11856260628741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1.7053025658242404E-13</v>
      </c>
      <c r="BE132" s="13">
        <f>BD132*VLOOKUP('Données projet'!$B$11,Paramètres!$A$1:$I$89,3,0)*VLOOKUP('Données projet'!$B$11,Paramètres!$A$1:$I$89,5,0)</f>
        <v>1.3301360013429075E-13</v>
      </c>
      <c r="BF132" s="13">
        <f t="shared" si="91"/>
        <v>1.9329766731057041E-12</v>
      </c>
      <c r="BG132" s="20">
        <f t="shared" ref="BG132:BG153" si="115">(BE132+BF132)*0.475*44/12</f>
        <v>3.5982663925596575E-12</v>
      </c>
      <c r="BH132" s="59">
        <f t="shared" ref="BH132:BH195" si="116">BG132+(AY132+AZ132)*44/12</f>
        <v>293.3333333333369</v>
      </c>
      <c r="BI132" s="59">
        <f ca="1">AVERAGE(OFFSET($BH$3,0,0,'Données projet'!$E$11+1,1))-AVERAGE(OFFSET($H$3,0,0,'Données projet'!$E$11+1,1))</f>
        <v>288.80569134263209</v>
      </c>
      <c r="BJ132" s="59">
        <f t="shared" si="92"/>
        <v>283.48738729114024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24.725755226881038</v>
      </c>
      <c r="BQ132" s="21">
        <f>EXP(-LN(2)/25)*BQ131+(1-EXP(-LN(2)/25))/(LN(2)/25)*Calculateur!BL132*Calculateur!BN132*VLOOKUP('Données projet'!$B$11,Paramètres!$A$1:$I$89,3,0)*0.475*44/12</f>
        <v>12.923291325417409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37.649046552298444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212.00000000000009</v>
      </c>
      <c r="BZ132" s="13">
        <f>BY132*VLOOKUP('Données projet'!$B$12,Paramètres!$A$1:$I$89,3,0)*VLOOKUP('Données projet'!$B$12,Paramètres!$A$1:$I$89,5,0)</f>
        <v>221.58240000000012</v>
      </c>
      <c r="CA132" s="13">
        <f t="shared" si="93"/>
        <v>54.458668952651578</v>
      </c>
      <c r="CB132" s="20">
        <f t="shared" ref="CB132:CB153" si="118">(BZ132+CA132)*0.475*44/12</f>
        <v>480.77152842586838</v>
      </c>
      <c r="CC132" s="59">
        <f t="shared" ref="CC132:CC195" si="119">CB132+(BT132+BU132)*44/12</f>
        <v>774.10486175920164</v>
      </c>
      <c r="CD132" s="59">
        <f ca="1">AVERAGE(OFFSET($CC$3,0,0,'Données projet'!$E$12+1,1))-AVERAGE(OFFSET($H$3,0,0,'Données projet'!$E$12+1,1))</f>
        <v>352.22281362023102</v>
      </c>
      <c r="CE132" s="59">
        <f t="shared" si="94"/>
        <v>310.2353747925161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10.061298315864883</v>
      </c>
      <c r="CL132" s="21">
        <f>EXP(-LN(2)/25)*CL131+(1-EXP(-LN(2)/25))/(LN(2)/25)*Calculateur!CG132*Calculateur!CI132*VLOOKUP('Données projet'!$B$12,Paramètres!$A$1:$I$89,3,0)*0.475*44/12</f>
        <v>7.4889410241048076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17.550239339969693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5.2446581196581219</v>
      </c>
      <c r="CT132" s="12">
        <f>IF('Données projet'!$A$140&gt;35,CT131+CS132-DB131,IF(A132&lt;'Données projet'!$A$140,$CQ$205^A132,IF(A132='Données projet'!$A$140,'Données projet'!$B$140,CT131+CS132-DB131)))</f>
        <v>251.11324786324738</v>
      </c>
      <c r="CU132" s="17">
        <f>CT132*VLOOKUP('Données projet'!$B$13,Paramètres!$A$1:$I$89,3,0)*VLOOKUP('Données projet'!$B$13,Paramètres!$A$1:$I$89,5,0)</f>
        <v>227.20726666666624</v>
      </c>
      <c r="CV132" s="13">
        <f t="shared" si="95"/>
        <v>55.678398616153615</v>
      </c>
      <c r="CW132" s="20">
        <f t="shared" ref="CW132:CW153" si="121">(CU132+CV132)*0.475*44/12</f>
        <v>492.69253370091127</v>
      </c>
      <c r="CX132" s="59">
        <f t="shared" ref="CX132:CX195" si="122">CW132+(CO132+CP132)*44/12</f>
        <v>786.02586703424458</v>
      </c>
      <c r="CY132" s="59">
        <f ca="1">AVERAGE(OFFSET($CX$3,0,0,'Données projet'!$E$13+1,1))-AVERAGE(OFFSET($H$3,0,0,'Données projet'!$E$13+1,1))</f>
        <v>345.49688858037996</v>
      </c>
      <c r="CZ132" s="59">
        <f t="shared" si="96"/>
        <v>213.15872113755023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39.40125035148683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39.40125035148683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5.2446581196581219</v>
      </c>
      <c r="DO132" s="12">
        <f>IF('Données projet'!$A$166&gt;35,DO131+DN132-DW131,IF(A132&lt;'Données projet'!$A$166,$DL$205^A132,IF(A132='Données projet'!$A$166,'Données projet'!$B$166,DO131+DN132-DW131)))</f>
        <v>251.11324786324738</v>
      </c>
      <c r="DP132" s="17">
        <f>DO132*VLOOKUP('Données projet'!$B$14,Paramètres!$A$1:$I$89,3,0)*VLOOKUP('Données projet'!$B$14,Paramètres!$A$1:$I$89,5,0)</f>
        <v>254.62883333333286</v>
      </c>
      <c r="DQ132" s="13">
        <f t="shared" si="97"/>
        <v>61.576075027678748</v>
      </c>
      <c r="DR132" s="20">
        <f t="shared" ref="DR132:DR153" si="124">(DP132+DQ132)*0.475*44/12</f>
        <v>550.7235487287619</v>
      </c>
      <c r="DS132" s="59">
        <f t="shared" ref="DS132:DS195" si="125">DR132+(DJ132+DK132)*44/12</f>
        <v>844.05688206209516</v>
      </c>
      <c r="DT132" s="59">
        <f ca="1">AVERAGE(OFFSET($DS$3,0,0,'Données projet'!$E$14+1,1))-AVERAGE(OFFSET($H$3,0,0,'Données projet'!$E$14+1,1))</f>
        <v>382.26108489744581</v>
      </c>
      <c r="DU132" s="59">
        <f t="shared" si="98"/>
        <v>233.89423996158826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44.156573669769728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44.156573669769728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-2.4158453015843406E-13</v>
      </c>
      <c r="EK132" s="17">
        <f>EJ132*VLOOKUP('Données projet'!$B$15,Paramètres!$A$1:$I$89,3,0)*VLOOKUP('Données projet'!$B$15,Paramètres!$A$1:$I$89,5,0)</f>
        <v>-2.0351080820546486E-13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312.48716825299158</v>
      </c>
      <c r="EP132" s="59">
        <f t="shared" si="100"/>
        <v>258.68277822755357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102.23742158216403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102.23742158216403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5.2446581196581219</v>
      </c>
      <c r="FE132" s="12">
        <f>IF('Données projet'!$A$218&gt;35,FE131+FD132-FM131,IF(A132&lt;'Données projet'!$A$218,$FB$205^A132,IF(A132='Données projet'!$A$218,'Données projet'!$B$218,FE131+FD132-FM131)))</f>
        <v>251.11324786324738</v>
      </c>
      <c r="FF132" s="17">
        <f>FE132*VLOOKUP('Données projet'!$B$16,Paramètres!$A$1:$I$89,3,0)*VLOOKUP('Données projet'!$B$16,Paramètres!$A$1:$I$89,5,0)</f>
        <v>270.29829999999947</v>
      </c>
      <c r="FG132" s="13">
        <f t="shared" si="101"/>
        <v>64.912572007457499</v>
      </c>
      <c r="FH132" s="20">
        <f t="shared" ref="FH132:FH153" si="130">(FF132+FG132)*0.475*44/12</f>
        <v>583.82560207965423</v>
      </c>
      <c r="FI132" s="59">
        <f t="shared" ref="FI132:FI195" si="131">FH132+(EZ132+FA132)*44/12</f>
        <v>877.1589354129876</v>
      </c>
      <c r="FJ132" s="59">
        <f ca="1">AVERAGE(OFFSET($FI$3,0,0,'Données projet'!$E$16+1,1))-AVERAGE(OFFSET($H$3,0,0,'Données projet'!$E$16+1,1))</f>
        <v>403.23110963096246</v>
      </c>
      <c r="FK132" s="59">
        <f t="shared" si="102"/>
        <v>245.72000393124898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46.873901280217083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46.873901280217083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5.2446581196581219</v>
      </c>
      <c r="FZ132" s="12">
        <f>IF('Données projet'!$A$244&gt;35,FZ131+FY132-GH131,IF(A132&lt;'Données projet'!$A$244,$FW$205^A132,IF(A132='Données projet'!$A$244,'Données projet'!$B$244,FZ131+FY132-GH131)))</f>
        <v>251.11324786324738</v>
      </c>
      <c r="GA132" s="17">
        <f>FZ132*VLOOKUP('Données projet'!$B$17,Paramètres!$A$1:$I$89,3,0)*VLOOKUP('Données projet'!$B$17,Paramètres!$A$1:$I$89,5,0)</f>
        <v>242.87673333333288</v>
      </c>
      <c r="GB132" s="13">
        <f t="shared" si="103"/>
        <v>59.058043806802971</v>
      </c>
      <c r="GC132" s="20">
        <f t="shared" ref="GC132:GC153" si="133">(GA132+GB132)*0.475*44/12</f>
        <v>525.86973685240321</v>
      </c>
      <c r="GD132" s="59">
        <f t="shared" ref="GD132:GD195" si="134">GC132+(FU132+FV132)*44/12</f>
        <v>819.20307018573658</v>
      </c>
      <c r="GE132" s="59">
        <f ca="1">AVERAGE(OFFSET($GD$3,0,0,'Données projet'!$E$17+1,1))-AVERAGE(OFFSET($H$3,0,0,'Données projet'!$E$17+1,1))</f>
        <v>336.2911850338175</v>
      </c>
      <c r="GF132" s="59">
        <f t="shared" si="104"/>
        <v>225.01415116995503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42.118577961934207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42.118577961934207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5.2446581196581219</v>
      </c>
      <c r="GU132" s="12">
        <f>IF('Données projet'!$A$270&gt;35,GU131+GT132-HC131,IF(A132&lt;'Données projet'!$A$270,$GR$205^A132,IF(A132='Données projet'!$A$270,'Données projet'!$B$270,GU131+GT132-HC131)))</f>
        <v>251.11324786324738</v>
      </c>
      <c r="GV132" s="17">
        <f>GU132*VLOOKUP('Données projet'!$B$18,Paramètres!$A$1:$I$89,3,0)*VLOOKUP('Données projet'!$B$18,Paramètres!$A$1:$I$89,5,0)</f>
        <v>168.44676666666635</v>
      </c>
      <c r="GW132" s="13">
        <f t="shared" si="105"/>
        <v>42.741965373302634</v>
      </c>
      <c r="GX132" s="20">
        <f t="shared" ref="GX132:GX153" si="136">(GV132+GW132)*0.475*44/12</f>
        <v>367.8203749696126</v>
      </c>
      <c r="GY132" s="59">
        <f t="shared" ref="GY132:GY195" si="137">GX132+(GP132+GQ132)*44/12</f>
        <v>661.15370830294592</v>
      </c>
      <c r="GZ132" s="59">
        <f ca="1">AVERAGE(OFFSET($GY$3,0,0,'Données projet'!$E$18+1,1))-AVERAGE(OFFSET($H$3,0,0,'Données projet'!$E$18+1,1))</f>
        <v>266.37807768393191</v>
      </c>
      <c r="HA132" s="59">
        <f t="shared" si="106"/>
        <v>168.52019826233425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36.004590838427625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138">SUM(HG132:HI132)</f>
        <v>36.004590838427625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266.99999999999983</v>
      </c>
      <c r="O133" s="13">
        <f>N133*VLOOKUP('Données projet'!$B$9,Paramètres!$A$1:$I$89,3,0)*VLOOKUP('Données projet'!$B$9,Paramètres!$A$1:$I$89,5,0)</f>
        <v>233.2511999999999</v>
      </c>
      <c r="P133" s="13">
        <f t="shared" ref="P133:P196" si="141">EXP(-1.0587+0.8836*LN(O133)+0.284)</f>
        <v>56.985091661350864</v>
      </c>
      <c r="Q133" s="20">
        <f t="shared" si="108"/>
        <v>505.49487464351915</v>
      </c>
      <c r="R133" s="59">
        <f t="shared" si="109"/>
        <v>798.82820797685247</v>
      </c>
      <c r="S133" s="59">
        <f ca="1">AVERAGE(OFFSET($R$3,0,0,'Données projet'!$E$9+1,1))-AVERAGE(OFFSET($H$3,0,0,'Données projet'!$E$9+1,1))</f>
        <v>324.86930206492627</v>
      </c>
      <c r="T133" s="59">
        <f t="shared" ref="T133:T196" si="142">$T$3</f>
        <v>317.03005098025352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11.744556133481542</v>
      </c>
      <c r="AA133" s="21">
        <f>EXP(-LN(2)/25)*AA132+(1-EXP(-LN(2)/25))/(LN(2)/25)*Calculateur!V133*Calculateur!X133*VLOOKUP('Données projet'!$B$9,Paramètres!$A$1:$I$89,3,0)*0.475*44/12</f>
        <v>2.2863702550577609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14.030926388539303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1.5064102564102591</v>
      </c>
      <c r="AI133" s="13">
        <f>IF('Données projet'!$A$62&gt;35,AI132+AH133-AQ132,IF(A133&lt;'Données projet'!$A$62,$AF$205^A133,IF(A133='Données projet'!$A$62,'Données projet'!$B$62,AI132+AH133-AQ132)))</f>
        <v>109.40384615384671</v>
      </c>
      <c r="AJ133" s="13">
        <f>AI133*VLOOKUP('Données projet'!$B$10,Paramètres!$A$1:$I$89,3,0)*VLOOKUP('Données projet'!$B$10,Paramètres!$A$1:$I$89,5,0)</f>
        <v>104.10870000000054</v>
      </c>
      <c r="AK133" s="13">
        <f t="shared" ref="AK133:AK153" si="143">EXP(-1.0587+0.8836*LN(AJ133)+0.284)</f>
        <v>27.938533028622686</v>
      </c>
      <c r="AL133" s="20">
        <f t="shared" si="112"/>
        <v>229.98226419151877</v>
      </c>
      <c r="AM133" s="59">
        <f t="shared" si="113"/>
        <v>523.31559752485214</v>
      </c>
      <c r="AN133" s="59">
        <f ca="1">AVERAGE(OFFSET($AM$3,0,0,'Données projet'!$E$10+1,1))-AVERAGE(OFFSET($H$3,0,0,'Données projet'!$E$10+1,1))</f>
        <v>401.81944956556271</v>
      </c>
      <c r="AO133" s="59">
        <f t="shared" ref="AO133:AO196" si="144">$AO$3</f>
        <v>292.20785523952651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137.37092305746245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137.37092305746245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1.7053025658242404E-13</v>
      </c>
      <c r="BE133" s="13">
        <f>BD133*VLOOKUP('Données projet'!$B$11,Paramètres!$A$1:$I$89,3,0)*VLOOKUP('Données projet'!$B$11,Paramètres!$A$1:$I$89,5,0)</f>
        <v>1.3301360013429075E-13</v>
      </c>
      <c r="BF133" s="13">
        <f t="shared" ref="BF133:BF153" si="145">EXP(-1.0587+0.8836*LN(BE133)+0.284)</f>
        <v>1.9329766731057041E-12</v>
      </c>
      <c r="BG133" s="20">
        <f t="shared" si="115"/>
        <v>3.5982663925596575E-12</v>
      </c>
      <c r="BH133" s="59">
        <f t="shared" si="116"/>
        <v>293.3333333333369</v>
      </c>
      <c r="BI133" s="59">
        <f ca="1">AVERAGE(OFFSET($BH$3,0,0,'Données projet'!$E$11+1,1))-AVERAGE(OFFSET($H$3,0,0,'Données projet'!$E$11+1,1))</f>
        <v>288.80569134263209</v>
      </c>
      <c r="BJ133" s="59">
        <f t="shared" ref="BJ133:BJ196" si="146">$BJ$3</f>
        <v>283.48738729114024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24.240898248103441</v>
      </c>
      <c r="BQ133" s="21">
        <f>EXP(-LN(2)/25)*BQ132+(1-EXP(-LN(2)/25))/(LN(2)/25)*Calculateur!BL133*Calculateur!BN133*VLOOKUP('Données projet'!$B$11,Paramètres!$A$1:$I$89,3,0)*0.475*44/12</f>
        <v>12.569903244517516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36.810801492620953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212.00000000000009</v>
      </c>
      <c r="BZ133" s="13">
        <f>BY133*VLOOKUP('Données projet'!$B$12,Paramètres!$A$1:$I$89,3,0)*VLOOKUP('Données projet'!$B$12,Paramètres!$A$1:$I$89,5,0)</f>
        <v>221.58240000000012</v>
      </c>
      <c r="CA133" s="13">
        <f t="shared" ref="CA133:CA153" si="147">EXP(-1.0587+0.8836*LN(BZ133)+0.284)</f>
        <v>54.458668952651578</v>
      </c>
      <c r="CB133" s="20">
        <f t="shared" si="118"/>
        <v>480.77152842586838</v>
      </c>
      <c r="CC133" s="59">
        <f t="shared" si="119"/>
        <v>774.10486175920164</v>
      </c>
      <c r="CD133" s="59">
        <f ca="1">AVERAGE(OFFSET($CC$3,0,0,'Données projet'!$E$12+1,1))-AVERAGE(OFFSET($H$3,0,0,'Données projet'!$E$12+1,1))</f>
        <v>352.22281362023102</v>
      </c>
      <c r="CE133" s="59">
        <f t="shared" ref="CE133:CE196" si="148">$CE$3</f>
        <v>310.2353747925161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9.8640023926767881</v>
      </c>
      <c r="CL133" s="21">
        <f>EXP(-LN(2)/25)*CL132+(1-EXP(-LN(2)/25))/(LN(2)/25)*Calculateur!CG133*Calculateur!CI133*VLOOKUP('Données projet'!$B$12,Paramètres!$A$1:$I$89,3,0)*0.475*44/12</f>
        <v>7.2841555379743692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17.148157930651159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5.2446581196581219</v>
      </c>
      <c r="CT133" s="12">
        <f>IF('Données projet'!$A$140&gt;35,CT132+CS133-DB132,IF(A133&lt;'Données projet'!$A$140,$CQ$205^A133,IF(A133='Données projet'!$A$140,'Données projet'!$B$140,CT132+CS133-DB132)))</f>
        <v>256.35790598290549</v>
      </c>
      <c r="CU133" s="17">
        <f>CT133*VLOOKUP('Données projet'!$B$13,Paramètres!$A$1:$I$89,3,0)*VLOOKUP('Données projet'!$B$13,Paramètres!$A$1:$I$89,5,0)</f>
        <v>231.95263333333287</v>
      </c>
      <c r="CV133" s="13">
        <f t="shared" ref="CV133:CV153" si="149">EXP(-1.0587+0.8836*LN(CU133)+0.284)</f>
        <v>56.704678554548856</v>
      </c>
      <c r="CW133" s="20">
        <f t="shared" si="121"/>
        <v>502.74481820472732</v>
      </c>
      <c r="CX133" s="59">
        <f t="shared" si="122"/>
        <v>796.07815153806064</v>
      </c>
      <c r="CY133" s="59">
        <f ca="1">AVERAGE(OFFSET($CX$3,0,0,'Données projet'!$E$13+1,1))-AVERAGE(OFFSET($H$3,0,0,'Données projet'!$E$13+1,1))</f>
        <v>345.49688858037996</v>
      </c>
      <c r="CZ133" s="59">
        <f t="shared" ref="CZ133:CZ196" si="150">$CZ$3</f>
        <v>213.15872113755023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38.628615864483884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38.628615864483884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5.2446581196581219</v>
      </c>
      <c r="DO133" s="12">
        <f>IF('Données projet'!$A$166&gt;35,DO132+DN133-DW132,IF(A133&lt;'Données projet'!$A$166,$DL$205^A133,IF(A133='Données projet'!$A$166,'Données projet'!$B$166,DO132+DN133-DW132)))</f>
        <v>256.35790598290549</v>
      </c>
      <c r="DP133" s="17">
        <f>DO133*VLOOKUP('Données projet'!$B$14,Paramètres!$A$1:$I$89,3,0)*VLOOKUP('Données projet'!$B$14,Paramètres!$A$1:$I$89,5,0)</f>
        <v>259.9469166666662</v>
      </c>
      <c r="DQ133" s="13">
        <f t="shared" ref="DQ133:DQ153" si="151">EXP(-1.0587+0.8836*LN(DP133)+0.284)</f>
        <v>62.71106260017865</v>
      </c>
      <c r="DR133" s="20">
        <f t="shared" si="124"/>
        <v>561.96264722308808</v>
      </c>
      <c r="DS133" s="59">
        <f t="shared" si="125"/>
        <v>855.29598055642145</v>
      </c>
      <c r="DT133" s="59">
        <f ca="1">AVERAGE(OFFSET($DS$3,0,0,'Données projet'!$E$14+1,1))-AVERAGE(OFFSET($H$3,0,0,'Données projet'!$E$14+1,1))</f>
        <v>382.26108489744581</v>
      </c>
      <c r="DU133" s="59">
        <f t="shared" ref="DU133:DU196" si="152">$DU$3</f>
        <v>233.89423996158826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43.290690192956085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43.290690192956085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-2.4158453015843406E-13</v>
      </c>
      <c r="EK133" s="17">
        <f>EJ133*VLOOKUP('Données projet'!$B$15,Paramètres!$A$1:$I$89,3,0)*VLOOKUP('Données projet'!$B$15,Paramètres!$A$1:$I$89,5,0)</f>
        <v>-2.0351080820546486E-13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312.48716825299158</v>
      </c>
      <c r="EP133" s="59">
        <f t="shared" ref="EP133:EP196" si="154">$EP$3</f>
        <v>258.68277822755357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100.23260810360755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100.23260810360755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5.2446581196581219</v>
      </c>
      <c r="FE133" s="12">
        <f>IF('Données projet'!$A$218&gt;35,FE132+FD133-FM132,IF(A133&lt;'Données projet'!$A$218,$FB$205^A133,IF(A133='Données projet'!$A$218,'Données projet'!$B$218,FE132+FD133-FM132)))</f>
        <v>256.35790598290549</v>
      </c>
      <c r="FF133" s="17">
        <f>FE133*VLOOKUP('Données projet'!$B$16,Paramètres!$A$1:$I$89,3,0)*VLOOKUP('Données projet'!$B$16,Paramètres!$A$1:$I$89,5,0)</f>
        <v>275.94364999999948</v>
      </c>
      <c r="FG133" s="13">
        <f t="shared" ref="FG133:FG153" si="155">EXP(-1.0587+0.8836*LN(FF133)+0.284)</f>
        <v>66.10905883280887</v>
      </c>
      <c r="FH133" s="20">
        <f t="shared" si="130"/>
        <v>595.74180121714119</v>
      </c>
      <c r="FI133" s="59">
        <f t="shared" si="131"/>
        <v>889.07513455047456</v>
      </c>
      <c r="FJ133" s="59">
        <f ca="1">AVERAGE(OFFSET($FI$3,0,0,'Données projet'!$E$16+1,1))-AVERAGE(OFFSET($H$3,0,0,'Données projet'!$E$16+1,1))</f>
        <v>403.23110963096246</v>
      </c>
      <c r="FK133" s="59">
        <f t="shared" ref="FK133:FK196" si="156">$FK$3</f>
        <v>245.72000393124898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45.954732666368756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45.954732666368756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5.2446581196581219</v>
      </c>
      <c r="FZ133" s="12">
        <f>IF('Données projet'!$A$244&gt;35,FZ132+FY133-GH132,IF(A133&lt;'Données projet'!$A$244,$FW$205^A133,IF(A133='Données projet'!$A$244,'Données projet'!$B$244,FZ132+FY133-GH132)))</f>
        <v>256.35790598290549</v>
      </c>
      <c r="GA133" s="17">
        <f>FZ133*VLOOKUP('Données projet'!$B$17,Paramètres!$A$1:$I$89,3,0)*VLOOKUP('Données projet'!$B$17,Paramètres!$A$1:$I$89,5,0)</f>
        <v>247.94936666666621</v>
      </c>
      <c r="GB133" s="13">
        <f t="shared" ref="GB133:GB153" si="157">EXP(-1.0587+0.8836*LN(GA133)+0.284)</f>
        <v>60.14661831803555</v>
      </c>
      <c r="GC133" s="20">
        <f t="shared" si="133"/>
        <v>536.60050718168884</v>
      </c>
      <c r="GD133" s="59">
        <f t="shared" si="134"/>
        <v>829.93384051502221</v>
      </c>
      <c r="GE133" s="59">
        <f ca="1">AVERAGE(OFFSET($GD$3,0,0,'Données projet'!$E$17+1,1))-AVERAGE(OFFSET($H$3,0,0,'Données projet'!$E$17+1,1))</f>
        <v>336.2911850338175</v>
      </c>
      <c r="GF133" s="59">
        <f t="shared" ref="GF133:GF196" si="158">$GF$3</f>
        <v>225.01415116995503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41.292658337896576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41.292658337896576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5.2446581196581219</v>
      </c>
      <c r="GU133" s="12">
        <f>IF('Données projet'!$A$270&gt;35,GU132+GT133-HC132,IF(A133&lt;'Données projet'!$A$270,$GR$205^A133,IF(A133='Données projet'!$A$270,'Données projet'!$B$270,GU132+GT133-HC132)))</f>
        <v>256.35790598290549</v>
      </c>
      <c r="GV133" s="17">
        <f>GU133*VLOOKUP('Données projet'!$B$18,Paramètres!$A$1:$I$89,3,0)*VLOOKUP('Données projet'!$B$18,Paramètres!$A$1:$I$89,5,0)</f>
        <v>171.96488333333301</v>
      </c>
      <c r="GW133" s="13">
        <f t="shared" ref="GW133:GW153" si="159">EXP(-1.0587+0.8836*LN(GV133)+0.284)</f>
        <v>43.529797327533451</v>
      </c>
      <c r="GX133" s="20">
        <f t="shared" si="136"/>
        <v>375.31990215100905</v>
      </c>
      <c r="GY133" s="59">
        <f t="shared" si="137"/>
        <v>668.6532354843423</v>
      </c>
      <c r="GZ133" s="59">
        <f ca="1">AVERAGE(OFFSET($GY$3,0,0,'Données projet'!$E$18+1,1))-AVERAGE(OFFSET($H$3,0,0,'Données projet'!$E$18+1,1))</f>
        <v>266.37807768393191</v>
      </c>
      <c r="HA133" s="59">
        <f t="shared" ref="HA133:HA196" si="160">$HA$3</f>
        <v>168.52019826233425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35.298562772718036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138"/>
        <v>35.298562772718036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266.99999999999983</v>
      </c>
      <c r="O134" s="13">
        <f>N134*VLOOKUP('Données projet'!$B$9,Paramètres!$A$1:$I$89,3,0)*VLOOKUP('Données projet'!$B$9,Paramètres!$A$1:$I$89,5,0)</f>
        <v>233.2511999999999</v>
      </c>
      <c r="P134" s="13">
        <f t="shared" si="141"/>
        <v>56.985091661350864</v>
      </c>
      <c r="Q134" s="20">
        <f t="shared" si="108"/>
        <v>505.49487464351915</v>
      </c>
      <c r="R134" s="59">
        <f t="shared" si="109"/>
        <v>798.82820797685247</v>
      </c>
      <c r="S134" s="59">
        <f ca="1">AVERAGE(OFFSET($R$3,0,0,'Données projet'!$E$9+1,1))-AVERAGE(OFFSET($H$3,0,0,'Données projet'!$E$9+1,1))</f>
        <v>324.86930206492627</v>
      </c>
      <c r="T134" s="59">
        <f t="shared" si="142"/>
        <v>317.03005098025352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11.514252551175876</v>
      </c>
      <c r="AA134" s="21">
        <f>EXP(-LN(2)/25)*AA133+(1-EXP(-LN(2)/25))/(LN(2)/25)*Calculateur!V134*Calculateur!X134*VLOOKUP('Données projet'!$B$9,Paramètres!$A$1:$I$89,3,0)*0.475*44/12</f>
        <v>2.2238493401982202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13.738101891374097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110.91025641025641</v>
      </c>
      <c r="AG134" s="12">
        <f>VLOOKUP(A134,'Données projet'!$A$61:$I$81,9,0)</f>
        <v>1.5064102564102591</v>
      </c>
      <c r="AH134" s="12">
        <f t="array" ref="AH134">INDEX(AG:AG,MIN(IF(ISNUMBER(AG134:AG330),ROW(AG134:AG330),"")))</f>
        <v>1.5064102564102591</v>
      </c>
      <c r="AI134" s="13">
        <f>IF('Données projet'!$A$62&gt;35,AI133+AH134-AQ133,IF(A134&lt;'Données projet'!$A$62,$AF$205^A134,IF(A134='Données projet'!$A$62,'Données projet'!$B$62,AI133+AH134-AQ133)))</f>
        <v>110.91025641025698</v>
      </c>
      <c r="AJ134" s="13">
        <f>AI134*VLOOKUP('Données projet'!$B$10,Paramètres!$A$1:$I$89,3,0)*VLOOKUP('Données projet'!$B$10,Paramètres!$A$1:$I$89,5,0)</f>
        <v>105.54220000000053</v>
      </c>
      <c r="AK134" s="13">
        <f t="shared" si="143"/>
        <v>28.278176742516997</v>
      </c>
      <c r="AL134" s="20">
        <f t="shared" si="112"/>
        <v>233.07048949321802</v>
      </c>
      <c r="AM134" s="59">
        <f t="shared" si="113"/>
        <v>526.40382282655128</v>
      </c>
      <c r="AN134" s="59">
        <f ca="1">AVERAGE(OFFSET($AM$3,0,0,'Données projet'!$E$10+1,1))-AVERAGE(OFFSET($H$3,0,0,'Données projet'!$E$10+1,1))</f>
        <v>401.81944956556271</v>
      </c>
      <c r="AO134" s="59">
        <f t="shared" si="144"/>
        <v>292.20785523952651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110.91025641025641</v>
      </c>
      <c r="AR134" s="16">
        <f>IF(ISNA(VLOOKUP(A134,'Données projet'!$A$61:$I$81,5,0)),0%,VLOOKUP(A134,'Données projet'!$A$61:$I$81,5,0)*VLOOKUP('Données projet'!$B$10,Paramètres!$A$1:$I$89,7,0))</f>
        <v>0.38700000000000001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179.82991431401265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179.82991431401265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1.7053025658242404E-13</v>
      </c>
      <c r="BE134" s="13">
        <f>BD134*VLOOKUP('Données projet'!$B$11,Paramètres!$A$1:$I$89,3,0)*VLOOKUP('Données projet'!$B$11,Paramètres!$A$1:$I$89,5,0)</f>
        <v>1.3301360013429075E-13</v>
      </c>
      <c r="BF134" s="13">
        <f t="shared" si="145"/>
        <v>1.9329766731057041E-12</v>
      </c>
      <c r="BG134" s="20">
        <f t="shared" si="115"/>
        <v>3.5982663925596575E-12</v>
      </c>
      <c r="BH134" s="59">
        <f t="shared" si="116"/>
        <v>293.3333333333369</v>
      </c>
      <c r="BI134" s="59">
        <f ca="1">AVERAGE(OFFSET($BH$3,0,0,'Données projet'!$E$11+1,1))-AVERAGE(OFFSET($H$3,0,0,'Données projet'!$E$11+1,1))</f>
        <v>288.80569134263209</v>
      </c>
      <c r="BJ134" s="59">
        <f t="shared" si="146"/>
        <v>283.48738729114024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23.765549018946118</v>
      </c>
      <c r="BQ134" s="21">
        <f>EXP(-LN(2)/25)*BQ133+(1-EXP(-LN(2)/25))/(LN(2)/25)*Calculateur!BL134*Calculateur!BN134*VLOOKUP('Données projet'!$B$11,Paramètres!$A$1:$I$89,3,0)*0.475*44/12</f>
        <v>12.226178579273702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35.991727598219818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212.00000000000009</v>
      </c>
      <c r="BZ134" s="13">
        <f>BY134*VLOOKUP('Données projet'!$B$12,Paramètres!$A$1:$I$89,3,0)*VLOOKUP('Données projet'!$B$12,Paramètres!$A$1:$I$89,5,0)</f>
        <v>221.58240000000012</v>
      </c>
      <c r="CA134" s="13">
        <f t="shared" si="147"/>
        <v>54.458668952651578</v>
      </c>
      <c r="CB134" s="20">
        <f t="shared" si="118"/>
        <v>480.77152842586838</v>
      </c>
      <c r="CC134" s="59">
        <f t="shared" si="119"/>
        <v>774.10486175920164</v>
      </c>
      <c r="CD134" s="59">
        <f ca="1">AVERAGE(OFFSET($CC$3,0,0,'Données projet'!$E$12+1,1))-AVERAGE(OFFSET($H$3,0,0,'Données projet'!$E$12+1,1))</f>
        <v>352.22281362023102</v>
      </c>
      <c r="CE134" s="59">
        <f t="shared" si="148"/>
        <v>310.2353747925161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9.6705753222037814</v>
      </c>
      <c r="CL134" s="21">
        <f>EXP(-LN(2)/25)*CL133+(1-EXP(-LN(2)/25))/(LN(2)/25)*Calculateur!CG134*Calculateur!CI134*VLOOKUP('Données projet'!$B$12,Paramètres!$A$1:$I$89,3,0)*0.475*44/12</f>
        <v>7.0849699217313686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16.755545243935149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5.2446581196581219</v>
      </c>
      <c r="CT134" s="12">
        <f>IF('Données projet'!$A$140&gt;35,CT133+CS134-DB133,IF(A134&lt;'Données projet'!$A$140,$CQ$205^A134,IF(A134='Données projet'!$A$140,'Données projet'!$B$140,CT133+CS134-DB133)))</f>
        <v>261.60256410256363</v>
      </c>
      <c r="CU134" s="17">
        <f>CT134*VLOOKUP('Données projet'!$B$13,Paramètres!$A$1:$I$89,3,0)*VLOOKUP('Données projet'!$B$13,Paramètres!$A$1:$I$89,5,0)</f>
        <v>236.69799999999958</v>
      </c>
      <c r="CV134" s="13">
        <f t="shared" si="149"/>
        <v>57.728517287605179</v>
      </c>
      <c r="CW134" s="20">
        <f t="shared" si="121"/>
        <v>512.7928509425783</v>
      </c>
      <c r="CX134" s="59">
        <f t="shared" si="122"/>
        <v>806.12618427591156</v>
      </c>
      <c r="CY134" s="59">
        <f ca="1">AVERAGE(OFFSET($CX$3,0,0,'Données projet'!$E$13+1,1))-AVERAGE(OFFSET($H$3,0,0,'Données projet'!$E$13+1,1))</f>
        <v>345.49688858037996</v>
      </c>
      <c r="CZ134" s="59">
        <f t="shared" si="150"/>
        <v>213.15872113755023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37.871132268510564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37.871132268510564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5.2446581196581219</v>
      </c>
      <c r="DO134" s="12">
        <f>IF('Données projet'!$A$166&gt;35,DO133+DN134-DW133,IF(A134&lt;'Données projet'!$A$166,$DL$205^A134,IF(A134='Données projet'!$A$166,'Données projet'!$B$166,DO133+DN134-DW133)))</f>
        <v>261.60256410256363</v>
      </c>
      <c r="DP134" s="17">
        <f>DO134*VLOOKUP('Données projet'!$B$14,Paramètres!$A$1:$I$89,3,0)*VLOOKUP('Données projet'!$B$14,Paramètres!$A$1:$I$89,5,0)</f>
        <v>265.26499999999953</v>
      </c>
      <c r="DQ134" s="13">
        <f t="shared" si="151"/>
        <v>63.843350385205326</v>
      </c>
      <c r="DR134" s="20">
        <f t="shared" si="124"/>
        <v>573.19704358756508</v>
      </c>
      <c r="DS134" s="59">
        <f t="shared" si="125"/>
        <v>866.53037692089833</v>
      </c>
      <c r="DT134" s="59">
        <f ca="1">AVERAGE(OFFSET($DS$3,0,0,'Données projet'!$E$14+1,1))-AVERAGE(OFFSET($H$3,0,0,'Données projet'!$E$14+1,1))</f>
        <v>382.26108489744581</v>
      </c>
      <c r="DU134" s="59">
        <f t="shared" si="152"/>
        <v>233.89423996158826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42.441786162985984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42.441786162985984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-2.4158453015843406E-13</v>
      </c>
      <c r="EK134" s="17">
        <f>EJ134*VLOOKUP('Données projet'!$B$15,Paramètres!$A$1:$I$89,3,0)*VLOOKUP('Données projet'!$B$15,Paramètres!$A$1:$I$89,5,0)</f>
        <v>-2.0351080820546486E-13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312.48716825299158</v>
      </c>
      <c r="EP134" s="59">
        <f t="shared" si="154"/>
        <v>258.68277822755357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98.267107794550085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98.267107794550085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5.2446581196581219</v>
      </c>
      <c r="FE134" s="12">
        <f>IF('Données projet'!$A$218&gt;35,FE133+FD134-FM133,IF(A134&lt;'Données projet'!$A$218,$FB$205^A134,IF(A134='Données projet'!$A$218,'Données projet'!$B$218,FE133+FD134-FM133)))</f>
        <v>261.60256410256363</v>
      </c>
      <c r="FF134" s="17">
        <f>FE134*VLOOKUP('Données projet'!$B$16,Paramètres!$A$1:$I$89,3,0)*VLOOKUP('Données projet'!$B$16,Paramètres!$A$1:$I$89,5,0)</f>
        <v>281.58899999999949</v>
      </c>
      <c r="FG134" s="13">
        <f t="shared" si="155"/>
        <v>67.302699582818846</v>
      </c>
      <c r="FH134" s="20">
        <f t="shared" si="130"/>
        <v>607.65304344007518</v>
      </c>
      <c r="FI134" s="59">
        <f t="shared" si="131"/>
        <v>900.98637677340844</v>
      </c>
      <c r="FJ134" s="59">
        <f ca="1">AVERAGE(OFFSET($FI$3,0,0,'Données projet'!$E$16+1,1))-AVERAGE(OFFSET($H$3,0,0,'Données projet'!$E$16+1,1))</f>
        <v>403.23110963096246</v>
      </c>
      <c r="FK134" s="59">
        <f t="shared" si="156"/>
        <v>245.72000393124898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45.053588388400499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45.053588388400499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5.2446581196581219</v>
      </c>
      <c r="FZ134" s="12">
        <f>IF('Données projet'!$A$244&gt;35,FZ133+FY134-GH133,IF(A134&lt;'Données projet'!$A$244,$FW$205^A134,IF(A134='Données projet'!$A$244,'Données projet'!$B$244,FZ133+FY134-GH133)))</f>
        <v>261.60256410256363</v>
      </c>
      <c r="GA134" s="17">
        <f>FZ134*VLOOKUP('Données projet'!$B$17,Paramètres!$A$1:$I$89,3,0)*VLOOKUP('Données projet'!$B$17,Paramètres!$A$1:$I$89,5,0)</f>
        <v>253.02199999999957</v>
      </c>
      <c r="GB134" s="13">
        <f t="shared" si="157"/>
        <v>61.232603444238507</v>
      </c>
      <c r="GC134" s="20">
        <f t="shared" si="133"/>
        <v>547.32676766538123</v>
      </c>
      <c r="GD134" s="59">
        <f t="shared" si="134"/>
        <v>840.6601009987146</v>
      </c>
      <c r="GE134" s="59">
        <f ca="1">AVERAGE(OFFSET($GD$3,0,0,'Données projet'!$E$17+1,1))-AVERAGE(OFFSET($H$3,0,0,'Données projet'!$E$17+1,1))</f>
        <v>336.2911850338175</v>
      </c>
      <c r="GF134" s="59">
        <f t="shared" si="158"/>
        <v>225.01415116995503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40.482934493925093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40.482934493925093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5.2446581196581219</v>
      </c>
      <c r="GU134" s="12">
        <f>IF('Données projet'!$A$270&gt;35,GU133+GT134-HC133,IF(A134&lt;'Données projet'!$A$270,$GR$205^A134,IF(A134='Données projet'!$A$270,'Données projet'!$B$270,GU133+GT134-HC133)))</f>
        <v>261.60256410256363</v>
      </c>
      <c r="GV134" s="17">
        <f>GU134*VLOOKUP('Données projet'!$B$18,Paramètres!$A$1:$I$89,3,0)*VLOOKUP('Données projet'!$B$18,Paramètres!$A$1:$I$89,5,0)</f>
        <v>175.48299999999969</v>
      </c>
      <c r="GW134" s="13">
        <f t="shared" si="159"/>
        <v>44.315755271076767</v>
      </c>
      <c r="GX134" s="20">
        <f t="shared" si="136"/>
        <v>382.81616543045817</v>
      </c>
      <c r="GY134" s="59">
        <f t="shared" si="137"/>
        <v>676.14949876379148</v>
      </c>
      <c r="GZ134" s="59">
        <f ca="1">AVERAGE(OFFSET($GY$3,0,0,'Données projet'!$E$18+1,1))-AVERAGE(OFFSET($H$3,0,0,'Données projet'!$E$18+1,1))</f>
        <v>266.37807768393191</v>
      </c>
      <c r="HA134" s="59">
        <f t="shared" si="160"/>
        <v>168.52019826233425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34.606379486742419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138"/>
        <v>34.606379486742419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266.99999999999983</v>
      </c>
      <c r="O135" s="13">
        <f>N135*VLOOKUP('Données projet'!$B$9,Paramètres!$A$1:$I$89,3,0)*VLOOKUP('Données projet'!$B$9,Paramètres!$A$1:$I$89,5,0)</f>
        <v>233.2511999999999</v>
      </c>
      <c r="P135" s="13">
        <f t="shared" si="141"/>
        <v>56.985091661350864</v>
      </c>
      <c r="Q135" s="20">
        <f t="shared" si="108"/>
        <v>505.49487464351915</v>
      </c>
      <c r="R135" s="59">
        <f t="shared" si="109"/>
        <v>798.82820797685247</v>
      </c>
      <c r="S135" s="59">
        <f ca="1">AVERAGE(OFFSET($R$3,0,0,'Données projet'!$E$9+1,1))-AVERAGE(OFFSET($H$3,0,0,'Données projet'!$E$9+1,1))</f>
        <v>324.86930206492627</v>
      </c>
      <c r="T135" s="59">
        <f t="shared" si="142"/>
        <v>317.03005098025352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11.288465081647908</v>
      </c>
      <c r="AA135" s="21">
        <f>EXP(-LN(2)/25)*AA134+(1-EXP(-LN(2)/25))/(LN(2)/25)*Calculateur!V135*Calculateur!X135*VLOOKUP('Données projet'!$B$9,Paramètres!$A$1:$I$89,3,0)*0.475*44/12</f>
        <v>2.1630380630433459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13.451503144691255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5.4092197387944907E-13</v>
      </c>
      <c r="AK135" s="13">
        <f t="shared" si="143"/>
        <v>6.6765148417791561E-12</v>
      </c>
      <c r="AL135" s="20">
        <f t="shared" si="112"/>
        <v>1.2570369120605403E-11</v>
      </c>
      <c r="AM135" s="59">
        <f t="shared" si="113"/>
        <v>293.33333333334588</v>
      </c>
      <c r="AN135" s="59">
        <f ca="1">AVERAGE(OFFSET($AM$3,0,0,'Données projet'!$E$10+1,1))-AVERAGE(OFFSET($H$3,0,0,'Données projet'!$E$10+1,1))</f>
        <v>401.81944956556271</v>
      </c>
      <c r="AO135" s="59">
        <f t="shared" si="144"/>
        <v>292.20785523952651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176.30355937973206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176.30355937973206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1.7053025658242404E-13</v>
      </c>
      <c r="BE135" s="13">
        <f>BD135*VLOOKUP('Données projet'!$B$11,Paramètres!$A$1:$I$89,3,0)*VLOOKUP('Données projet'!$B$11,Paramètres!$A$1:$I$89,5,0)</f>
        <v>1.3301360013429075E-13</v>
      </c>
      <c r="BF135" s="13">
        <f t="shared" si="145"/>
        <v>1.9329766731057041E-12</v>
      </c>
      <c r="BG135" s="20">
        <f t="shared" si="115"/>
        <v>3.5982663925596575E-12</v>
      </c>
      <c r="BH135" s="59">
        <f t="shared" si="116"/>
        <v>293.3333333333369</v>
      </c>
      <c r="BI135" s="59">
        <f ca="1">AVERAGE(OFFSET($BH$3,0,0,'Données projet'!$E$11+1,1))-AVERAGE(OFFSET($H$3,0,0,'Données projet'!$E$11+1,1))</f>
        <v>288.80569134263209</v>
      </c>
      <c r="BJ135" s="59">
        <f t="shared" si="146"/>
        <v>283.48738729114024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23.29952109823817</v>
      </c>
      <c r="BQ135" s="21">
        <f>EXP(-LN(2)/25)*BQ134+(1-EXP(-LN(2)/25))/(LN(2)/25)*Calculateur!BL135*Calculateur!BN135*VLOOKUP('Données projet'!$B$11,Paramètres!$A$1:$I$89,3,0)*0.475*44/12</f>
        <v>11.891853083076674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35.191374181314842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212.00000000000009</v>
      </c>
      <c r="BZ135" s="13">
        <f>BY135*VLOOKUP('Données projet'!$B$12,Paramètres!$A$1:$I$89,3,0)*VLOOKUP('Données projet'!$B$12,Paramètres!$A$1:$I$89,5,0)</f>
        <v>221.58240000000012</v>
      </c>
      <c r="CA135" s="13">
        <f t="shared" si="147"/>
        <v>54.458668952651578</v>
      </c>
      <c r="CB135" s="20">
        <f t="shared" si="118"/>
        <v>480.77152842586838</v>
      </c>
      <c r="CC135" s="59">
        <f t="shared" si="119"/>
        <v>774.10486175920164</v>
      </c>
      <c r="CD135" s="59">
        <f ca="1">AVERAGE(OFFSET($CC$3,0,0,'Données projet'!$E$12+1,1))-AVERAGE(OFFSET($H$3,0,0,'Données projet'!$E$12+1,1))</f>
        <v>352.22281362023102</v>
      </c>
      <c r="CE135" s="59">
        <f t="shared" si="148"/>
        <v>310.2353747925161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9.4809412386038865</v>
      </c>
      <c r="CL135" s="21">
        <f>EXP(-LN(2)/25)*CL134+(1-EXP(-LN(2)/25))/(LN(2)/25)*Calculateur!CG135*Calculateur!CI135*VLOOKUP('Données projet'!$B$12,Paramètres!$A$1:$I$89,3,0)*0.475*44/12</f>
        <v>6.8912310466392492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16.372172285243135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5.2446581196581219</v>
      </c>
      <c r="CT135" s="12">
        <f>IF('Données projet'!$A$140&gt;35,CT134+CS135-DB134,IF(A135&lt;'Données projet'!$A$140,$CQ$205^A135,IF(A135='Données projet'!$A$140,'Données projet'!$B$140,CT134+CS135-DB134)))</f>
        <v>266.84722222222177</v>
      </c>
      <c r="CU135" s="17">
        <f>CT135*VLOOKUP('Données projet'!$B$13,Paramètres!$A$1:$I$89,3,0)*VLOOKUP('Données projet'!$B$13,Paramètres!$A$1:$I$89,5,0)</f>
        <v>241.44336666666626</v>
      </c>
      <c r="CV135" s="13">
        <f t="shared" si="149"/>
        <v>58.749969397569316</v>
      </c>
      <c r="CW135" s="20">
        <f t="shared" si="121"/>
        <v>522.83672697854365</v>
      </c>
      <c r="CX135" s="59">
        <f t="shared" si="122"/>
        <v>816.17006031187702</v>
      </c>
      <c r="CY135" s="59">
        <f ca="1">AVERAGE(OFFSET($CX$3,0,0,'Données projet'!$E$13+1,1))-AVERAGE(OFFSET($H$3,0,0,'Données projet'!$E$13+1,1))</f>
        <v>345.49688858037996</v>
      </c>
      <c r="CZ135" s="59">
        <f t="shared" si="150"/>
        <v>213.15872113755023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37.128502463834906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37.128502463834906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5.2446581196581219</v>
      </c>
      <c r="DO135" s="12">
        <f>IF('Données projet'!$A$166&gt;35,DO134+DN135-DW134,IF(A135&lt;'Données projet'!$A$166,$DL$205^A135,IF(A135='Données projet'!$A$166,'Données projet'!$B$166,DO134+DN135-DW134)))</f>
        <v>266.84722222222177</v>
      </c>
      <c r="DP135" s="17">
        <f>DO135*VLOOKUP('Données projet'!$B$14,Paramètres!$A$1:$I$89,3,0)*VLOOKUP('Données projet'!$B$14,Paramètres!$A$1:$I$89,5,0)</f>
        <v>270.58308333333292</v>
      </c>
      <c r="DQ135" s="13">
        <f t="shared" si="151"/>
        <v>64.972998746573325</v>
      </c>
      <c r="DR135" s="20">
        <f t="shared" si="124"/>
        <v>584.42684295583661</v>
      </c>
      <c r="DS135" s="59">
        <f t="shared" si="125"/>
        <v>877.76017628916998</v>
      </c>
      <c r="DT135" s="59">
        <f ca="1">AVERAGE(OFFSET($DS$3,0,0,'Données projet'!$E$14+1,1))-AVERAGE(OFFSET($H$3,0,0,'Données projet'!$E$14+1,1))</f>
        <v>382.26108489744581</v>
      </c>
      <c r="DU135" s="59">
        <f t="shared" si="152"/>
        <v>233.89423996158826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41.609528623263266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41.609528623263266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-2.4158453015843406E-13</v>
      </c>
      <c r="EK135" s="17">
        <f>EJ135*VLOOKUP('Données projet'!$B$15,Paramètres!$A$1:$I$89,3,0)*VLOOKUP('Données projet'!$B$15,Paramètres!$A$1:$I$89,5,0)</f>
        <v>-2.0351080820546486E-13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312.48716825299158</v>
      </c>
      <c r="EP135" s="59">
        <f t="shared" si="154"/>
        <v>258.68277822755357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96.340149747716424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96.340149747716424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5.2446581196581219</v>
      </c>
      <c r="FE135" s="12">
        <f>IF('Données projet'!$A$218&gt;35,FE134+FD135-FM134,IF(A135&lt;'Données projet'!$A$218,$FB$205^A135,IF(A135='Données projet'!$A$218,'Données projet'!$B$218,FE134+FD135-FM134)))</f>
        <v>266.84722222222177</v>
      </c>
      <c r="FF135" s="17">
        <f>FE135*VLOOKUP('Données projet'!$B$16,Paramètres!$A$1:$I$89,3,0)*VLOOKUP('Données projet'!$B$16,Paramètres!$A$1:$I$89,5,0)</f>
        <v>287.23434999999949</v>
      </c>
      <c r="FG135" s="13">
        <f t="shared" si="155"/>
        <v>68.493557892112591</v>
      </c>
      <c r="FH135" s="20">
        <f t="shared" si="130"/>
        <v>619.55943957876173</v>
      </c>
      <c r="FI135" s="59">
        <f t="shared" si="131"/>
        <v>912.8927729120951</v>
      </c>
      <c r="FJ135" s="59">
        <f ca="1">AVERAGE(OFFSET($FI$3,0,0,'Données projet'!$E$16+1,1))-AVERAGE(OFFSET($H$3,0,0,'Données projet'!$E$16+1,1))</f>
        <v>403.23110963096246</v>
      </c>
      <c r="FK135" s="59">
        <f t="shared" si="156"/>
        <v>245.72000393124898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44.170115000079463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44.170115000079463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5.2446581196581219</v>
      </c>
      <c r="FZ135" s="12">
        <f>IF('Données projet'!$A$244&gt;35,FZ134+FY135-GH134,IF(A135&lt;'Données projet'!$A$244,$FW$205^A135,IF(A135='Données projet'!$A$244,'Données projet'!$B$244,FZ134+FY135-GH134)))</f>
        <v>266.84722222222177</v>
      </c>
      <c r="GA135" s="17">
        <f>FZ135*VLOOKUP('Données projet'!$B$17,Paramètres!$A$1:$I$89,3,0)*VLOOKUP('Données projet'!$B$17,Paramètres!$A$1:$I$89,5,0)</f>
        <v>258.09463333333292</v>
      </c>
      <c r="GB135" s="13">
        <f t="shared" si="157"/>
        <v>62.316057080767997</v>
      </c>
      <c r="GC135" s="20">
        <f t="shared" si="133"/>
        <v>558.0486191378925</v>
      </c>
      <c r="GD135" s="59">
        <f t="shared" si="134"/>
        <v>851.38195247122576</v>
      </c>
      <c r="GE135" s="59">
        <f ca="1">AVERAGE(OFFSET($GD$3,0,0,'Données projet'!$E$17+1,1))-AVERAGE(OFFSET($H$3,0,0,'Données projet'!$E$17+1,1))</f>
        <v>336.2911850338175</v>
      </c>
      <c r="GF135" s="59">
        <f t="shared" si="158"/>
        <v>225.01415116995503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39.689088840651117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39.689088840651117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5.2446581196581219</v>
      </c>
      <c r="GU135" s="12">
        <f>IF('Données projet'!$A$270&gt;35,GU134+GT135-HC134,IF(A135&lt;'Données projet'!$A$270,$GR$205^A135,IF(A135='Données projet'!$A$270,'Données projet'!$B$270,GU134+GT135-HC134)))</f>
        <v>266.84722222222177</v>
      </c>
      <c r="GV135" s="17">
        <f>GU135*VLOOKUP('Données projet'!$B$18,Paramètres!$A$1:$I$89,3,0)*VLOOKUP('Données projet'!$B$18,Paramètres!$A$1:$I$89,5,0)</f>
        <v>179.00111666666638</v>
      </c>
      <c r="GW135" s="13">
        <f t="shared" si="159"/>
        <v>45.09988110442837</v>
      </c>
      <c r="GX135" s="20">
        <f t="shared" si="136"/>
        <v>390.30923778465666</v>
      </c>
      <c r="GY135" s="59">
        <f t="shared" si="137"/>
        <v>683.64257111798997</v>
      </c>
      <c r="GZ135" s="59">
        <f ca="1">AVERAGE(OFFSET($GY$3,0,0,'Données projet'!$E$18+1,1))-AVERAGE(OFFSET($H$3,0,0,'Données projet'!$E$18+1,1))</f>
        <v>266.37807768393191</v>
      </c>
      <c r="HA135" s="59">
        <f t="shared" si="160"/>
        <v>168.52019826233425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33.927769492814662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138"/>
        <v>33.927769492814662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266.99999999999983</v>
      </c>
      <c r="O136" s="13">
        <f>N136*VLOOKUP('Données projet'!$B$9,Paramètres!$A$1:$I$89,3,0)*VLOOKUP('Données projet'!$B$9,Paramètres!$A$1:$I$89,5,0)</f>
        <v>233.2511999999999</v>
      </c>
      <c r="P136" s="13">
        <f t="shared" si="141"/>
        <v>56.985091661350864</v>
      </c>
      <c r="Q136" s="20">
        <f t="shared" si="108"/>
        <v>505.49487464351915</v>
      </c>
      <c r="R136" s="59">
        <f t="shared" si="109"/>
        <v>798.82820797685247</v>
      </c>
      <c r="S136" s="59">
        <f ca="1">AVERAGE(OFFSET($R$3,0,0,'Données projet'!$E$9+1,1))-AVERAGE(OFFSET($H$3,0,0,'Données projet'!$E$9+1,1))</f>
        <v>324.86930206492627</v>
      </c>
      <c r="T136" s="59">
        <f t="shared" si="142"/>
        <v>317.03005098025352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11.067105166680628</v>
      </c>
      <c r="AA136" s="21">
        <f>EXP(-LN(2)/25)*AA135+(1-EXP(-LN(2)/25))/(LN(2)/25)*Calculateur!V136*Calculateur!X136*VLOOKUP('Données projet'!$B$9,Paramètres!$A$1:$I$89,3,0)*0.475*44/12</f>
        <v>2.1038896734601975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13.170994840140825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5.4092197387944907E-13</v>
      </c>
      <c r="AK136" s="13">
        <f t="shared" si="143"/>
        <v>6.6765148417791561E-12</v>
      </c>
      <c r="AL136" s="20">
        <f t="shared" si="112"/>
        <v>1.2570369120605403E-11</v>
      </c>
      <c r="AM136" s="59">
        <f t="shared" si="113"/>
        <v>293.33333333334588</v>
      </c>
      <c r="AN136" s="59">
        <f ca="1">AVERAGE(OFFSET($AM$3,0,0,'Données projet'!$E$10+1,1))-AVERAGE(OFFSET($H$3,0,0,'Données projet'!$E$10+1,1))</f>
        <v>401.81944956556271</v>
      </c>
      <c r="AO136" s="59">
        <f t="shared" si="144"/>
        <v>292.20785523952651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172.84635411484859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172.84635411484859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1.7053025658242404E-13</v>
      </c>
      <c r="BE136" s="13">
        <f>BD136*VLOOKUP('Données projet'!$B$11,Paramètres!$A$1:$I$89,3,0)*VLOOKUP('Données projet'!$B$11,Paramètres!$A$1:$I$89,5,0)</f>
        <v>1.3301360013429075E-13</v>
      </c>
      <c r="BF136" s="13">
        <f t="shared" si="145"/>
        <v>1.9329766731057041E-12</v>
      </c>
      <c r="BG136" s="20">
        <f t="shared" si="115"/>
        <v>3.5982663925596575E-12</v>
      </c>
      <c r="BH136" s="59">
        <f t="shared" si="116"/>
        <v>293.3333333333369</v>
      </c>
      <c r="BI136" s="59">
        <f ca="1">AVERAGE(OFFSET($BH$3,0,0,'Données projet'!$E$11+1,1))-AVERAGE(OFFSET($H$3,0,0,'Données projet'!$E$11+1,1))</f>
        <v>288.80569134263209</v>
      </c>
      <c r="BJ136" s="59">
        <f t="shared" si="146"/>
        <v>283.48738729114024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22.84263170080634</v>
      </c>
      <c r="BQ136" s="21">
        <f>EXP(-LN(2)/25)*BQ135+(1-EXP(-LN(2)/25))/(LN(2)/25)*Calculateur!BL136*Calculateur!BN136*VLOOKUP('Données projet'!$B$11,Paramètres!$A$1:$I$89,3,0)*0.475*44/12</f>
        <v>11.566669735154568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34.409301435960906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212.00000000000009</v>
      </c>
      <c r="BZ136" s="13">
        <f>BY136*VLOOKUP('Données projet'!$B$12,Paramètres!$A$1:$I$89,3,0)*VLOOKUP('Données projet'!$B$12,Paramètres!$A$1:$I$89,5,0)</f>
        <v>221.58240000000012</v>
      </c>
      <c r="CA136" s="13">
        <f t="shared" si="147"/>
        <v>54.458668952651578</v>
      </c>
      <c r="CB136" s="20">
        <f t="shared" si="118"/>
        <v>480.77152842586838</v>
      </c>
      <c r="CC136" s="59">
        <f t="shared" si="119"/>
        <v>774.10486175920164</v>
      </c>
      <c r="CD136" s="59">
        <f ca="1">AVERAGE(OFFSET($CC$3,0,0,'Données projet'!$E$12+1,1))-AVERAGE(OFFSET($H$3,0,0,'Données projet'!$E$12+1,1))</f>
        <v>352.22281362023102</v>
      </c>
      <c r="CE136" s="59">
        <f t="shared" si="148"/>
        <v>310.2353747925161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9.2950257637180158</v>
      </c>
      <c r="CL136" s="21">
        <f>EXP(-LN(2)/25)*CL135+(1-EXP(-LN(2)/25))/(LN(2)/25)*Calculateur!CG136*Calculateur!CI136*VLOOKUP('Données projet'!$B$12,Paramètres!$A$1:$I$89,3,0)*0.475*44/12</f>
        <v>6.7027899712748082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15.997815734992823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5.2446581196581219</v>
      </c>
      <c r="CT136" s="12">
        <f>IF('Données projet'!$A$140&gt;35,CT135+CS136-DB135,IF(A136&lt;'Données projet'!$A$140,$CQ$205^A136,IF(A136='Données projet'!$A$140,'Données projet'!$B$140,CT135+CS136-DB135)))</f>
        <v>272.09188034187991</v>
      </c>
      <c r="CU136" s="17">
        <f>CT136*VLOOKUP('Données projet'!$B$13,Paramètres!$A$1:$I$89,3,0)*VLOOKUP('Données projet'!$B$13,Paramètres!$A$1:$I$89,5,0)</f>
        <v>246.18873333333292</v>
      </c>
      <c r="CV136" s="13">
        <f t="shared" si="149"/>
        <v>59.769087198438612</v>
      </c>
      <c r="CW136" s="20">
        <f t="shared" si="121"/>
        <v>532.87653742616862</v>
      </c>
      <c r="CX136" s="59">
        <f t="shared" si="122"/>
        <v>826.20987075950188</v>
      </c>
      <c r="CY136" s="59">
        <f ca="1">AVERAGE(OFFSET($CX$3,0,0,'Données projet'!$E$13+1,1))-AVERAGE(OFFSET($H$3,0,0,'Données projet'!$E$13+1,1))</f>
        <v>345.49688858037996</v>
      </c>
      <c r="CZ136" s="59">
        <f t="shared" si="150"/>
        <v>213.15872113755023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36.400435176669482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36.400435176669482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5.2446581196581219</v>
      </c>
      <c r="DO136" s="12">
        <f>IF('Données projet'!$A$166&gt;35,DO135+DN136-DW135,IF(A136&lt;'Données projet'!$A$166,$DL$205^A136,IF(A136='Données projet'!$A$166,'Données projet'!$B$166,DO135+DN136-DW135)))</f>
        <v>272.09188034187991</v>
      </c>
      <c r="DP136" s="17">
        <f>DO136*VLOOKUP('Données projet'!$B$14,Paramètres!$A$1:$I$89,3,0)*VLOOKUP('Données projet'!$B$14,Paramètres!$A$1:$I$89,5,0)</f>
        <v>275.90116666666626</v>
      </c>
      <c r="DQ136" s="13">
        <f t="shared" si="151"/>
        <v>66.100065539585671</v>
      </c>
      <c r="DR136" s="20">
        <f t="shared" si="124"/>
        <v>595.65214609255543</v>
      </c>
      <c r="DS136" s="59">
        <f t="shared" si="125"/>
        <v>888.9854794258888</v>
      </c>
      <c r="DT136" s="59">
        <f ca="1">AVERAGE(OFFSET($DS$3,0,0,'Données projet'!$E$14+1,1))-AVERAGE(OFFSET($H$3,0,0,'Données projet'!$E$14+1,1))</f>
        <v>382.26108489744581</v>
      </c>
      <c r="DU136" s="59">
        <f t="shared" si="152"/>
        <v>233.89423996158826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40.793591146267538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40.793591146267538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-2.4158453015843406E-13</v>
      </c>
      <c r="EK136" s="17">
        <f>EJ136*VLOOKUP('Données projet'!$B$15,Paramètres!$A$1:$I$89,3,0)*VLOOKUP('Données projet'!$B$15,Paramètres!$A$1:$I$89,5,0)</f>
        <v>-2.0351080820546486E-13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312.48716825299158</v>
      </c>
      <c r="EP136" s="59">
        <f t="shared" si="154"/>
        <v>258.68277822755357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94.450978172852814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94.450978172852814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5.2446581196581219</v>
      </c>
      <c r="FE136" s="12">
        <f>IF('Données projet'!$A$218&gt;35,FE135+FD136-FM135,IF(A136&lt;'Données projet'!$A$218,$FB$205^A136,IF(A136='Données projet'!$A$218,'Données projet'!$B$218,FE135+FD136-FM135)))</f>
        <v>272.09188034187991</v>
      </c>
      <c r="FF136" s="17">
        <f>FE136*VLOOKUP('Données projet'!$B$16,Paramètres!$A$1:$I$89,3,0)*VLOOKUP('Données projet'!$B$16,Paramètres!$A$1:$I$89,5,0)</f>
        <v>292.8796999999995</v>
      </c>
      <c r="FG136" s="13">
        <f t="shared" si="155"/>
        <v>69.68169475088024</v>
      </c>
      <c r="FH136" s="20">
        <f t="shared" si="130"/>
        <v>631.4610958577822</v>
      </c>
      <c r="FI136" s="59">
        <f t="shared" si="131"/>
        <v>924.79442919111557</v>
      </c>
      <c r="FJ136" s="59">
        <f ca="1">AVERAGE(OFFSET($FI$3,0,0,'Données projet'!$E$16+1,1))-AVERAGE(OFFSET($H$3,0,0,'Données projet'!$E$16+1,1))</f>
        <v>403.23110963096246</v>
      </c>
      <c r="FK136" s="59">
        <f t="shared" si="156"/>
        <v>245.72000393124898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43.303965986037838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43.303965986037838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5.2446581196581219</v>
      </c>
      <c r="FZ136" s="12">
        <f>IF('Données projet'!$A$244&gt;35,FZ135+FY136-GH135,IF(A136&lt;'Données projet'!$A$244,$FW$205^A136,IF(A136='Données projet'!$A$244,'Données projet'!$B$244,FZ135+FY136-GH135)))</f>
        <v>272.09188034187991</v>
      </c>
      <c r="GA136" s="17">
        <f>FZ136*VLOOKUP('Données projet'!$B$17,Paramètres!$A$1:$I$89,3,0)*VLOOKUP('Données projet'!$B$17,Paramètres!$A$1:$I$89,5,0)</f>
        <v>263.16726666666625</v>
      </c>
      <c r="GB136" s="13">
        <f t="shared" si="157"/>
        <v>63.39703471704955</v>
      </c>
      <c r="GC136" s="20">
        <f t="shared" si="133"/>
        <v>568.76615824330497</v>
      </c>
      <c r="GD136" s="59">
        <f t="shared" si="134"/>
        <v>862.09949157663823</v>
      </c>
      <c r="GE136" s="59">
        <f ca="1">AVERAGE(OFFSET($GD$3,0,0,'Données projet'!$E$17+1,1))-AVERAGE(OFFSET($H$3,0,0,'Données projet'!$E$17+1,1))</f>
        <v>336.2911850338175</v>
      </c>
      <c r="GF136" s="59">
        <f t="shared" si="158"/>
        <v>225.01415116995503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38.910810016439804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38.910810016439804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5.2446581196581219</v>
      </c>
      <c r="GU136" s="12">
        <f>IF('Données projet'!$A$270&gt;35,GU135+GT136-HC135,IF(A136&lt;'Données projet'!$A$270,$GR$205^A136,IF(A136='Données projet'!$A$270,'Données projet'!$B$270,GU135+GT136-HC135)))</f>
        <v>272.09188034187991</v>
      </c>
      <c r="GV136" s="17">
        <f>GU136*VLOOKUP('Données projet'!$B$18,Paramètres!$A$1:$I$89,3,0)*VLOOKUP('Données projet'!$B$18,Paramètres!$A$1:$I$89,5,0)</f>
        <v>182.51923333333306</v>
      </c>
      <c r="GW136" s="13">
        <f t="shared" si="159"/>
        <v>45.882214986844161</v>
      </c>
      <c r="GX136" s="20">
        <f t="shared" si="136"/>
        <v>397.79918915764193</v>
      </c>
      <c r="GY136" s="59">
        <f t="shared" si="137"/>
        <v>691.13252249097525</v>
      </c>
      <c r="GZ136" s="59">
        <f ca="1">AVERAGE(OFFSET($GY$3,0,0,'Données projet'!$E$18+1,1))-AVERAGE(OFFSET($H$3,0,0,'Données projet'!$E$18+1,1))</f>
        <v>266.37807768393191</v>
      </c>
      <c r="HA136" s="59">
        <f t="shared" si="160"/>
        <v>168.52019826233425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33.262466626956602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138"/>
        <v>33.262466626956602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266.99999999999983</v>
      </c>
      <c r="O137" s="13">
        <f>N137*VLOOKUP('Données projet'!$B$9,Paramètres!$A$1:$I$89,3,0)*VLOOKUP('Données projet'!$B$9,Paramètres!$A$1:$I$89,5,0)</f>
        <v>233.2511999999999</v>
      </c>
      <c r="P137" s="13">
        <f t="shared" si="141"/>
        <v>56.985091661350864</v>
      </c>
      <c r="Q137" s="20">
        <f t="shared" si="108"/>
        <v>505.49487464351915</v>
      </c>
      <c r="R137" s="59">
        <f t="shared" si="109"/>
        <v>798.82820797685247</v>
      </c>
      <c r="S137" s="59">
        <f ca="1">AVERAGE(OFFSET($R$3,0,0,'Données projet'!$E$9+1,1))-AVERAGE(OFFSET($H$3,0,0,'Données projet'!$E$9+1,1))</f>
        <v>324.86930206492627</v>
      </c>
      <c r="T137" s="59">
        <f t="shared" si="142"/>
        <v>317.03005098025352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10.85008598462964</v>
      </c>
      <c r="AA137" s="21">
        <f>EXP(-LN(2)/25)*AA136+(1-EXP(-LN(2)/25))/(LN(2)/25)*Calculateur!V137*Calculateur!X137*VLOOKUP('Données projet'!$B$9,Paramètres!$A$1:$I$89,3,0)*0.475*44/12</f>
        <v>2.0463586997006789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12.896444684330319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5.4092197387944907E-13</v>
      </c>
      <c r="AK137" s="13">
        <f t="shared" si="143"/>
        <v>6.6765148417791561E-12</v>
      </c>
      <c r="AL137" s="20">
        <f t="shared" si="112"/>
        <v>1.2570369120605403E-11</v>
      </c>
      <c r="AM137" s="59">
        <f t="shared" si="113"/>
        <v>293.33333333334588</v>
      </c>
      <c r="AN137" s="59">
        <f ca="1">AVERAGE(OFFSET($AM$3,0,0,'Données projet'!$E$10+1,1))-AVERAGE(OFFSET($H$3,0,0,'Données projet'!$E$10+1,1))</f>
        <v>401.81944956556271</v>
      </c>
      <c r="AO137" s="59">
        <f t="shared" si="144"/>
        <v>292.20785523952651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169.45694253652249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169.45694253652249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1.7053025658242404E-13</v>
      </c>
      <c r="BE137" s="13">
        <f>BD137*VLOOKUP('Données projet'!$B$11,Paramètres!$A$1:$I$89,3,0)*VLOOKUP('Données projet'!$B$11,Paramètres!$A$1:$I$89,5,0)</f>
        <v>1.3301360013429075E-13</v>
      </c>
      <c r="BF137" s="13">
        <f t="shared" si="145"/>
        <v>1.9329766731057041E-12</v>
      </c>
      <c r="BG137" s="20">
        <f t="shared" si="115"/>
        <v>3.5982663925596575E-12</v>
      </c>
      <c r="BH137" s="59">
        <f t="shared" si="116"/>
        <v>293.3333333333369</v>
      </c>
      <c r="BI137" s="59">
        <f ca="1">AVERAGE(OFFSET($BH$3,0,0,'Données projet'!$E$11+1,1))-AVERAGE(OFFSET($H$3,0,0,'Données projet'!$E$11+1,1))</f>
        <v>288.80569134263209</v>
      </c>
      <c r="BJ137" s="59">
        <f t="shared" si="146"/>
        <v>283.48738729114024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22.394701625783132</v>
      </c>
      <c r="BQ137" s="21">
        <f>EXP(-LN(2)/25)*BQ136+(1-EXP(-LN(2)/25))/(LN(2)/25)*Calculateur!BL137*Calculateur!BN137*VLOOKUP('Données projet'!$B$11,Paramètres!$A$1:$I$89,3,0)*0.475*44/12</f>
        <v>11.250378542982041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33.645080168765176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212.00000000000009</v>
      </c>
      <c r="BZ137" s="13">
        <f>BY137*VLOOKUP('Données projet'!$B$12,Paramètres!$A$1:$I$89,3,0)*VLOOKUP('Données projet'!$B$12,Paramètres!$A$1:$I$89,5,0)</f>
        <v>221.58240000000012</v>
      </c>
      <c r="CA137" s="13">
        <f t="shared" si="147"/>
        <v>54.458668952651578</v>
      </c>
      <c r="CB137" s="20">
        <f t="shared" si="118"/>
        <v>480.77152842586838</v>
      </c>
      <c r="CC137" s="59">
        <f t="shared" si="119"/>
        <v>774.10486175920164</v>
      </c>
      <c r="CD137" s="59">
        <f ca="1">AVERAGE(OFFSET($CC$3,0,0,'Données projet'!$E$12+1,1))-AVERAGE(OFFSET($H$3,0,0,'Données projet'!$E$12+1,1))</f>
        <v>352.22281362023102</v>
      </c>
      <c r="CE137" s="59">
        <f t="shared" si="148"/>
        <v>310.2353747925161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9.1127559778974145</v>
      </c>
      <c r="CL137" s="21">
        <f>EXP(-LN(2)/25)*CL136+(1-EXP(-LN(2)/25))/(LN(2)/25)*Calculateur!CG137*Calculateur!CI137*VLOOKUP('Données projet'!$B$12,Paramètres!$A$1:$I$89,3,0)*0.475*44/12</f>
        <v>6.5195018270258931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15.632257804923308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5.2446581196581219</v>
      </c>
      <c r="CT137" s="12">
        <f>IF('Données projet'!$A$140&gt;35,CT136+CS137-DB136,IF(A137&lt;'Données projet'!$A$140,$CQ$205^A137,IF(A137='Données projet'!$A$140,'Données projet'!$B$140,CT136+CS137-DB136)))</f>
        <v>277.33653846153805</v>
      </c>
      <c r="CU137" s="17">
        <f>CT137*VLOOKUP('Données projet'!$B$13,Paramètres!$A$1:$I$89,3,0)*VLOOKUP('Données projet'!$B$13,Paramètres!$A$1:$I$89,5,0)</f>
        <v>250.9340999999996</v>
      </c>
      <c r="CV137" s="13">
        <f t="shared" si="149"/>
        <v>60.785920872094742</v>
      </c>
      <c r="CW137" s="20">
        <f t="shared" si="121"/>
        <v>542.91236968556427</v>
      </c>
      <c r="CX137" s="59">
        <f t="shared" si="122"/>
        <v>836.24570301889753</v>
      </c>
      <c r="CY137" s="59">
        <f ca="1">AVERAGE(OFFSET($CX$3,0,0,'Données projet'!$E$13+1,1))-AVERAGE(OFFSET($H$3,0,0,'Données projet'!$E$13+1,1))</f>
        <v>345.49688858037996</v>
      </c>
      <c r="CZ137" s="59">
        <f t="shared" si="150"/>
        <v>213.15872113755023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35.686644844928182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35.686644844928182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5.2446581196581219</v>
      </c>
      <c r="DO137" s="12">
        <f>IF('Données projet'!$A$166&gt;35,DO136+DN137-DW136,IF(A137&lt;'Données projet'!$A$166,$DL$205^A137,IF(A137='Données projet'!$A$166,'Données projet'!$B$166,DO136+DN137-DW136)))</f>
        <v>277.33653846153805</v>
      </c>
      <c r="DP137" s="17">
        <f>DO137*VLOOKUP('Données projet'!$B$14,Paramètres!$A$1:$I$89,3,0)*VLOOKUP('Données projet'!$B$14,Paramètres!$A$1:$I$89,5,0)</f>
        <v>281.21924999999965</v>
      </c>
      <c r="DQ137" s="13">
        <f t="shared" si="151"/>
        <v>67.224606261587638</v>
      </c>
      <c r="DR137" s="20">
        <f t="shared" si="124"/>
        <v>606.87304965559781</v>
      </c>
      <c r="DS137" s="59">
        <f t="shared" si="125"/>
        <v>900.20638298893118</v>
      </c>
      <c r="DT137" s="59">
        <f ca="1">AVERAGE(OFFSET($DS$3,0,0,'Données projet'!$E$14+1,1))-AVERAGE(OFFSET($H$3,0,0,'Données projet'!$E$14+1,1))</f>
        <v>382.26108489744581</v>
      </c>
      <c r="DU137" s="59">
        <f t="shared" si="152"/>
        <v>233.89423996158826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39.993653705522973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39.993653705522973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-2.4158453015843406E-13</v>
      </c>
      <c r="EK137" s="17">
        <f>EJ137*VLOOKUP('Données projet'!$B$15,Paramètres!$A$1:$I$89,3,0)*VLOOKUP('Données projet'!$B$15,Paramètres!$A$1:$I$89,5,0)</f>
        <v>-2.0351080820546486E-13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312.48716825299158</v>
      </c>
      <c r="EP137" s="59">
        <f t="shared" si="154"/>
        <v>258.68277822755357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92.598852100291396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92.598852100291396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5.2446581196581219</v>
      </c>
      <c r="FE137" s="12">
        <f>IF('Données projet'!$A$218&gt;35,FE136+FD137-FM136,IF(A137&lt;'Données projet'!$A$218,$FB$205^A137,IF(A137='Données projet'!$A$218,'Données projet'!$B$218,FE136+FD137-FM136)))</f>
        <v>277.33653846153805</v>
      </c>
      <c r="FF137" s="17">
        <f>FE137*VLOOKUP('Données projet'!$B$16,Paramètres!$A$1:$I$89,3,0)*VLOOKUP('Données projet'!$B$16,Paramètres!$A$1:$I$89,5,0)</f>
        <v>298.52504999999957</v>
      </c>
      <c r="FG137" s="13">
        <f t="shared" si="155"/>
        <v>70.867168663588373</v>
      </c>
      <c r="FH137" s="20">
        <f t="shared" si="130"/>
        <v>643.35811417241564</v>
      </c>
      <c r="FI137" s="59">
        <f t="shared" si="131"/>
        <v>936.69144750574901</v>
      </c>
      <c r="FJ137" s="59">
        <f ca="1">AVERAGE(OFFSET($FI$3,0,0,'Données projet'!$E$16+1,1))-AVERAGE(OFFSET($H$3,0,0,'Données projet'!$E$16+1,1))</f>
        <v>403.23110963096246</v>
      </c>
      <c r="FK137" s="59">
        <f t="shared" si="156"/>
        <v>245.72000393124898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42.454801625862842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42.454801625862842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5.2446581196581219</v>
      </c>
      <c r="FZ137" s="12">
        <f>IF('Données projet'!$A$244&gt;35,FZ136+FY137-GH136,IF(A137&lt;'Données projet'!$A$244,$FW$205^A137,IF(A137='Données projet'!$A$244,'Données projet'!$B$244,FZ136+FY137-GH136)))</f>
        <v>277.33653846153805</v>
      </c>
      <c r="GA137" s="17">
        <f>FZ137*VLOOKUP('Données projet'!$B$17,Paramètres!$A$1:$I$89,3,0)*VLOOKUP('Données projet'!$B$17,Paramètres!$A$1:$I$89,5,0)</f>
        <v>268.23989999999964</v>
      </c>
      <c r="GB137" s="13">
        <f t="shared" si="157"/>
        <v>64.475589580974699</v>
      </c>
      <c r="GC137" s="20">
        <f t="shared" si="133"/>
        <v>579.47947768686356</v>
      </c>
      <c r="GD137" s="59">
        <f t="shared" si="134"/>
        <v>872.81281102019693</v>
      </c>
      <c r="GE137" s="59">
        <f ca="1">AVERAGE(OFFSET($GD$3,0,0,'Données projet'!$E$17+1,1))-AVERAGE(OFFSET($H$3,0,0,'Données projet'!$E$17+1,1))</f>
        <v>336.2911850338175</v>
      </c>
      <c r="GF137" s="59">
        <f t="shared" si="158"/>
        <v>225.01415116995503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38.147792765268065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38.147792765268065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5.2446581196581219</v>
      </c>
      <c r="GU137" s="12">
        <f>IF('Données projet'!$A$270&gt;35,GU136+GT137-HC136,IF(A137&lt;'Données projet'!$A$270,$GR$205^A137,IF(A137='Données projet'!$A$270,'Données projet'!$B$270,GU136+GT137-HC136)))</f>
        <v>277.33653846153805</v>
      </c>
      <c r="GV137" s="17">
        <f>GU137*VLOOKUP('Données projet'!$B$18,Paramètres!$A$1:$I$89,3,0)*VLOOKUP('Données projet'!$B$18,Paramètres!$A$1:$I$89,5,0)</f>
        <v>186.03734999999975</v>
      </c>
      <c r="GW137" s="13">
        <f t="shared" si="159"/>
        <v>46.662795440844711</v>
      </c>
      <c r="GX137" s="20">
        <f t="shared" si="136"/>
        <v>405.28608664280409</v>
      </c>
      <c r="GY137" s="59">
        <f t="shared" si="137"/>
        <v>698.61941997613735</v>
      </c>
      <c r="GZ137" s="59">
        <f ca="1">AVERAGE(OFFSET($GY$3,0,0,'Données projet'!$E$18+1,1))-AVERAGE(OFFSET($H$3,0,0,'Données projet'!$E$18+1,1))</f>
        <v>266.37807768393191</v>
      </c>
      <c r="HA137" s="59">
        <f t="shared" si="160"/>
        <v>168.52019826233425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32.610209944503339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138"/>
        <v>32.610209944503339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266.99999999999983</v>
      </c>
      <c r="O138" s="13">
        <f>N138*VLOOKUP('Données projet'!$B$9,Paramètres!$A$1:$I$89,3,0)*VLOOKUP('Données projet'!$B$9,Paramètres!$A$1:$I$89,5,0)</f>
        <v>233.2511999999999</v>
      </c>
      <c r="P138" s="13">
        <f t="shared" si="141"/>
        <v>56.985091661350864</v>
      </c>
      <c r="Q138" s="20">
        <f t="shared" si="108"/>
        <v>505.49487464351915</v>
      </c>
      <c r="R138" s="59">
        <f t="shared" si="109"/>
        <v>798.82820797685247</v>
      </c>
      <c r="S138" s="59">
        <f ca="1">AVERAGE(OFFSET($R$3,0,0,'Données projet'!$E$9+1,1))-AVERAGE(OFFSET($H$3,0,0,'Données projet'!$E$9+1,1))</f>
        <v>324.86930206492627</v>
      </c>
      <c r="T138" s="59">
        <f t="shared" si="142"/>
        <v>317.03005098025352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10.63732241637004</v>
      </c>
      <c r="AA138" s="21">
        <f>EXP(-LN(2)/25)*AA137+(1-EXP(-LN(2)/25))/(LN(2)/25)*Calculateur!V138*Calculateur!X138*VLOOKUP('Données projet'!$B$9,Paramètres!$A$1:$I$89,3,0)*0.475*44/12</f>
        <v>1.9904009134440368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12.627723329814076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5.4092197387944907E-13</v>
      </c>
      <c r="AK138" s="13">
        <f t="shared" si="143"/>
        <v>6.6765148417791561E-12</v>
      </c>
      <c r="AL138" s="20">
        <f t="shared" si="112"/>
        <v>1.2570369120605403E-11</v>
      </c>
      <c r="AM138" s="59">
        <f t="shared" si="113"/>
        <v>293.33333333334588</v>
      </c>
      <c r="AN138" s="59">
        <f ca="1">AVERAGE(OFFSET($AM$3,0,0,'Données projet'!$E$10+1,1))-AVERAGE(OFFSET($H$3,0,0,'Données projet'!$E$10+1,1))</f>
        <v>401.81944956556271</v>
      </c>
      <c r="AO138" s="59">
        <f t="shared" si="144"/>
        <v>292.20785523952651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166.13399525191042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166.13399525191042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1.7053025658242404E-13</v>
      </c>
      <c r="BE138" s="13">
        <f>BD138*VLOOKUP('Données projet'!$B$11,Paramètres!$A$1:$I$89,3,0)*VLOOKUP('Données projet'!$B$11,Paramètres!$A$1:$I$89,5,0)</f>
        <v>1.3301360013429075E-13</v>
      </c>
      <c r="BF138" s="13">
        <f t="shared" si="145"/>
        <v>1.9329766731057041E-12</v>
      </c>
      <c r="BG138" s="20">
        <f t="shared" si="115"/>
        <v>3.5982663925596575E-12</v>
      </c>
      <c r="BH138" s="59">
        <f t="shared" si="116"/>
        <v>293.3333333333369</v>
      </c>
      <c r="BI138" s="59">
        <f ca="1">AVERAGE(OFFSET($BH$3,0,0,'Données projet'!$E$11+1,1))-AVERAGE(OFFSET($H$3,0,0,'Données projet'!$E$11+1,1))</f>
        <v>288.80569134263209</v>
      </c>
      <c r="BJ138" s="59">
        <f t="shared" si="146"/>
        <v>283.48738729114024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21.955555186320762</v>
      </c>
      <c r="BQ138" s="21">
        <f>EXP(-LN(2)/25)*BQ137+(1-EXP(-LN(2)/25))/(LN(2)/25)*Calculateur!BL138*Calculateur!BN138*VLOOKUP('Données projet'!$B$11,Paramètres!$A$1:$I$89,3,0)*0.475*44/12</f>
        <v>10.942736350092503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32.898291536413268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212.00000000000009</v>
      </c>
      <c r="BZ138" s="13">
        <f>BY138*VLOOKUP('Données projet'!$B$12,Paramètres!$A$1:$I$89,3,0)*VLOOKUP('Données projet'!$B$12,Paramètres!$A$1:$I$89,5,0)</f>
        <v>221.58240000000012</v>
      </c>
      <c r="CA138" s="13">
        <f t="shared" si="147"/>
        <v>54.458668952651578</v>
      </c>
      <c r="CB138" s="20">
        <f t="shared" si="118"/>
        <v>480.77152842586838</v>
      </c>
      <c r="CC138" s="59">
        <f t="shared" si="119"/>
        <v>774.10486175920164</v>
      </c>
      <c r="CD138" s="59">
        <f ca="1">AVERAGE(OFFSET($CC$3,0,0,'Données projet'!$E$12+1,1))-AVERAGE(OFFSET($H$3,0,0,'Données projet'!$E$12+1,1))</f>
        <v>352.22281362023102</v>
      </c>
      <c r="CE138" s="59">
        <f t="shared" si="148"/>
        <v>310.2353747925161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8.9340603914031629</v>
      </c>
      <c r="CL138" s="21">
        <f>EXP(-LN(2)/25)*CL137+(1-EXP(-LN(2)/25))/(LN(2)/25)*Calculateur!CG138*Calculateur!CI138*VLOOKUP('Données projet'!$B$12,Paramètres!$A$1:$I$89,3,0)*0.475*44/12</f>
        <v>6.3412257067201692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15.275286098123331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5.2446581196581219</v>
      </c>
      <c r="CT138" s="12">
        <f>IF('Données projet'!$A$140&gt;35,CT137+CS138-DB137,IF(A138&lt;'Données projet'!$A$140,$CQ$205^A138,IF(A138='Données projet'!$A$140,'Données projet'!$B$140,CT137+CS138-DB137)))</f>
        <v>282.5811965811962</v>
      </c>
      <c r="CU138" s="17">
        <f>CT138*VLOOKUP('Données projet'!$B$13,Paramètres!$A$1:$I$89,3,0)*VLOOKUP('Données projet'!$B$13,Paramètres!$A$1:$I$89,5,0)</f>
        <v>255.67946666666631</v>
      </c>
      <c r="CV138" s="13">
        <f t="shared" si="149"/>
        <v>61.800518593848722</v>
      </c>
      <c r="CW138" s="20">
        <f t="shared" si="121"/>
        <v>552.94430766206358</v>
      </c>
      <c r="CX138" s="59">
        <f t="shared" si="122"/>
        <v>846.27764099539695</v>
      </c>
      <c r="CY138" s="59">
        <f ca="1">AVERAGE(OFFSET($CX$3,0,0,'Données projet'!$E$13+1,1))-AVERAGE(OFFSET($H$3,0,0,'Données projet'!$E$13+1,1))</f>
        <v>345.49688858037996</v>
      </c>
      <c r="CZ138" s="59">
        <f t="shared" si="150"/>
        <v>213.15872113755023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34.986851506223211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34.986851506223211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5.2446581196581219</v>
      </c>
      <c r="DO138" s="12">
        <f>IF('Données projet'!$A$166&gt;35,DO137+DN138-DW137,IF(A138&lt;'Données projet'!$A$166,$DL$205^A138,IF(A138='Données projet'!$A$166,'Données projet'!$B$166,DO137+DN138-DW137)))</f>
        <v>282.5811965811962</v>
      </c>
      <c r="DP138" s="17">
        <f>DO138*VLOOKUP('Données projet'!$B$14,Paramètres!$A$1:$I$89,3,0)*VLOOKUP('Données projet'!$B$14,Paramètres!$A$1:$I$89,5,0)</f>
        <v>286.53733333333292</v>
      </c>
      <c r="DQ138" s="13">
        <f t="shared" si="151"/>
        <v>68.346674190809836</v>
      </c>
      <c r="DR138" s="20">
        <f t="shared" si="124"/>
        <v>618.08964643788192</v>
      </c>
      <c r="DS138" s="59">
        <f t="shared" si="125"/>
        <v>911.4229797712153</v>
      </c>
      <c r="DT138" s="59">
        <f ca="1">AVERAGE(OFFSET($DS$3,0,0,'Données projet'!$E$14+1,1))-AVERAGE(OFFSET($H$3,0,0,'Données projet'!$E$14+1,1))</f>
        <v>382.26108489744581</v>
      </c>
      <c r="DU138" s="59">
        <f t="shared" si="152"/>
        <v>233.89423996158826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39.209402550077748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39.209402550077748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-2.4158453015843406E-13</v>
      </c>
      <c r="EK138" s="17">
        <f>EJ138*VLOOKUP('Données projet'!$B$15,Paramètres!$A$1:$I$89,3,0)*VLOOKUP('Données projet'!$B$15,Paramètres!$A$1:$I$89,5,0)</f>
        <v>-2.0351080820546486E-13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312.48716825299158</v>
      </c>
      <c r="EP138" s="59">
        <f t="shared" si="154"/>
        <v>258.68277822755357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90.783045090327548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90.783045090327548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5.2446581196581219</v>
      </c>
      <c r="FE138" s="12">
        <f>IF('Données projet'!$A$218&gt;35,FE137+FD138-FM137,IF(A138&lt;'Données projet'!$A$218,$FB$205^A138,IF(A138='Données projet'!$A$218,'Données projet'!$B$218,FE137+FD138-FM137)))</f>
        <v>282.5811965811962</v>
      </c>
      <c r="FF138" s="17">
        <f>FE138*VLOOKUP('Données projet'!$B$16,Paramètres!$A$1:$I$89,3,0)*VLOOKUP('Données projet'!$B$16,Paramètres!$A$1:$I$89,5,0)</f>
        <v>304.17039999999957</v>
      </c>
      <c r="FG138" s="13">
        <f t="shared" si="155"/>
        <v>72.05003579534619</v>
      </c>
      <c r="FH138" s="20">
        <f t="shared" si="130"/>
        <v>655.25059234356047</v>
      </c>
      <c r="FI138" s="59">
        <f t="shared" si="131"/>
        <v>948.58392567689384</v>
      </c>
      <c r="FJ138" s="59">
        <f ca="1">AVERAGE(OFFSET($FI$3,0,0,'Données projet'!$E$16+1,1))-AVERAGE(OFFSET($H$3,0,0,'Données projet'!$E$16+1,1))</f>
        <v>403.23110963096246</v>
      </c>
      <c r="FK138" s="59">
        <f t="shared" si="156"/>
        <v>245.72000393124898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41.622288860851761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41.622288860851761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5.2446581196581219</v>
      </c>
      <c r="FZ138" s="12">
        <f>IF('Données projet'!$A$244&gt;35,FZ137+FY138-GH137,IF(A138&lt;'Données projet'!$A$244,$FW$205^A138,IF(A138='Données projet'!$A$244,'Données projet'!$B$244,FZ137+FY138-GH137)))</f>
        <v>282.5811965811962</v>
      </c>
      <c r="GA138" s="17">
        <f>FZ138*VLOOKUP('Données projet'!$B$17,Paramètres!$A$1:$I$89,3,0)*VLOOKUP('Données projet'!$B$17,Paramètres!$A$1:$I$89,5,0)</f>
        <v>273.31253333333296</v>
      </c>
      <c r="GB138" s="13">
        <f t="shared" si="157"/>
        <v>65.55177277206684</v>
      </c>
      <c r="GC138" s="20">
        <f t="shared" si="133"/>
        <v>590.18866646690458</v>
      </c>
      <c r="GD138" s="59">
        <f t="shared" si="134"/>
        <v>883.52199980023784</v>
      </c>
      <c r="GE138" s="59">
        <f ca="1">AVERAGE(OFFSET($GD$3,0,0,'Données projet'!$E$17+1,1))-AVERAGE(OFFSET($H$3,0,0,'Données projet'!$E$17+1,1))</f>
        <v>336.2911850338175</v>
      </c>
      <c r="GF138" s="59">
        <f t="shared" si="158"/>
        <v>225.01415116995503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37.399737816997238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37.399737816997238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5.2446581196581219</v>
      </c>
      <c r="GU138" s="12">
        <f>IF('Données projet'!$A$270&gt;35,GU137+GT138-HC137,IF(A138&lt;'Données projet'!$A$270,$GR$205^A138,IF(A138='Données projet'!$A$270,'Données projet'!$B$270,GU137+GT138-HC137)))</f>
        <v>282.5811965811962</v>
      </c>
      <c r="GV138" s="17">
        <f>GU138*VLOOKUP('Données projet'!$B$18,Paramètres!$A$1:$I$89,3,0)*VLOOKUP('Données projet'!$B$18,Paramètres!$A$1:$I$89,5,0)</f>
        <v>189.55546666666643</v>
      </c>
      <c r="GW138" s="13">
        <f t="shared" si="159"/>
        <v>47.441659448590457</v>
      </c>
      <c r="GX138" s="20">
        <f t="shared" si="136"/>
        <v>412.76999465073908</v>
      </c>
      <c r="GY138" s="59">
        <f t="shared" si="137"/>
        <v>706.10332798407239</v>
      </c>
      <c r="GZ138" s="59">
        <f ca="1">AVERAGE(OFFSET($GY$3,0,0,'Données projet'!$E$18+1,1))-AVERAGE(OFFSET($H$3,0,0,'Données projet'!$E$18+1,1))</f>
        <v>266.37807768393191</v>
      </c>
      <c r="HA138" s="59">
        <f t="shared" si="160"/>
        <v>168.52019826233425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31.970743617755694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138"/>
        <v>31.970743617755694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266.99999999999983</v>
      </c>
      <c r="O139" s="13">
        <f>N139*VLOOKUP('Données projet'!$B$9,Paramètres!$A$1:$I$89,3,0)*VLOOKUP('Données projet'!$B$9,Paramètres!$A$1:$I$89,5,0)</f>
        <v>233.2511999999999</v>
      </c>
      <c r="P139" s="13">
        <f t="shared" si="141"/>
        <v>56.985091661350864</v>
      </c>
      <c r="Q139" s="20">
        <f t="shared" si="108"/>
        <v>505.49487464351915</v>
      </c>
      <c r="R139" s="59">
        <f t="shared" si="109"/>
        <v>798.82820797685247</v>
      </c>
      <c r="S139" s="59">
        <f ca="1">AVERAGE(OFFSET($R$3,0,0,'Données projet'!$E$9+1,1))-AVERAGE(OFFSET($H$3,0,0,'Données projet'!$E$9+1,1))</f>
        <v>324.86930206492627</v>
      </c>
      <c r="T139" s="59">
        <f t="shared" si="142"/>
        <v>317.03005098025352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10.428731011911049</v>
      </c>
      <c r="AA139" s="21">
        <f>EXP(-LN(2)/25)*AA138+(1-EXP(-LN(2)/25))/(LN(2)/25)*Calculateur!V139*Calculateur!X139*VLOOKUP('Données projet'!$B$9,Paramètres!$A$1:$I$89,3,0)*0.475*44/12</f>
        <v>1.9359732957952747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12.364704307706324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5.4092197387944907E-13</v>
      </c>
      <c r="AK139" s="13">
        <f t="shared" si="143"/>
        <v>6.6765148417791561E-12</v>
      </c>
      <c r="AL139" s="20">
        <f t="shared" si="112"/>
        <v>1.2570369120605403E-11</v>
      </c>
      <c r="AM139" s="59">
        <f t="shared" si="113"/>
        <v>293.33333333334588</v>
      </c>
      <c r="AN139" s="59">
        <f ca="1">AVERAGE(OFFSET($AM$3,0,0,'Données projet'!$E$10+1,1))-AVERAGE(OFFSET($H$3,0,0,'Données projet'!$E$10+1,1))</f>
        <v>401.81944956556271</v>
      </c>
      <c r="AO139" s="59">
        <f t="shared" si="144"/>
        <v>292.20785523952651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162.87620893675188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162.87620893675188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1.7053025658242404E-13</v>
      </c>
      <c r="BE139" s="13">
        <f>BD139*VLOOKUP('Données projet'!$B$11,Paramètres!$A$1:$I$89,3,0)*VLOOKUP('Données projet'!$B$11,Paramètres!$A$1:$I$89,5,0)</f>
        <v>1.3301360013429075E-13</v>
      </c>
      <c r="BF139" s="13">
        <f t="shared" si="145"/>
        <v>1.9329766731057041E-12</v>
      </c>
      <c r="BG139" s="20">
        <f t="shared" si="115"/>
        <v>3.5982663925596575E-12</v>
      </c>
      <c r="BH139" s="59">
        <f t="shared" si="116"/>
        <v>293.3333333333369</v>
      </c>
      <c r="BI139" s="59">
        <f ca="1">AVERAGE(OFFSET($BH$3,0,0,'Données projet'!$E$11+1,1))-AVERAGE(OFFSET($H$3,0,0,'Données projet'!$E$11+1,1))</f>
        <v>288.80569134263209</v>
      </c>
      <c r="BJ139" s="59">
        <f t="shared" si="146"/>
        <v>283.48738729114024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21.525020140683367</v>
      </c>
      <c r="BQ139" s="21">
        <f>EXP(-LN(2)/25)*BQ138+(1-EXP(-LN(2)/25))/(LN(2)/25)*Calculateur!BL139*Calculateur!BN139*VLOOKUP('Données projet'!$B$11,Paramètres!$A$1:$I$89,3,0)*0.475*44/12</f>
        <v>10.643506649145728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32.168526789829095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212.00000000000009</v>
      </c>
      <c r="BZ139" s="13">
        <f>BY139*VLOOKUP('Données projet'!$B$12,Paramètres!$A$1:$I$89,3,0)*VLOOKUP('Données projet'!$B$12,Paramètres!$A$1:$I$89,5,0)</f>
        <v>221.58240000000012</v>
      </c>
      <c r="CA139" s="13">
        <f t="shared" si="147"/>
        <v>54.458668952651578</v>
      </c>
      <c r="CB139" s="20">
        <f t="shared" si="118"/>
        <v>480.77152842586838</v>
      </c>
      <c r="CC139" s="59">
        <f t="shared" si="119"/>
        <v>774.10486175920164</v>
      </c>
      <c r="CD139" s="59">
        <f ca="1">AVERAGE(OFFSET($CC$3,0,0,'Données projet'!$E$12+1,1))-AVERAGE(OFFSET($H$3,0,0,'Données projet'!$E$12+1,1))</f>
        <v>352.22281362023102</v>
      </c>
      <c r="CE139" s="59">
        <f t="shared" si="148"/>
        <v>310.2353747925161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8.7588689163665183</v>
      </c>
      <c r="CL139" s="21">
        <f>EXP(-LN(2)/25)*CL138+(1-EXP(-LN(2)/25))/(LN(2)/25)*Calculateur!CG139*Calculateur!CI139*VLOOKUP('Données projet'!$B$12,Paramètres!$A$1:$I$89,3,0)*0.475*44/12</f>
        <v>6.1678245562993395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14.926693472665857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5.2446581196581219</v>
      </c>
      <c r="CT139" s="12">
        <f>IF('Données projet'!$A$140&gt;35,CT138+CS139-DB138,IF(A139&lt;'Données projet'!$A$140,$CQ$205^A139,IF(A139='Données projet'!$A$140,'Données projet'!$B$140,CT138+CS139-DB138)))</f>
        <v>287.82585470085434</v>
      </c>
      <c r="CU139" s="17">
        <f>CT139*VLOOKUP('Données projet'!$B$13,Paramètres!$A$1:$I$89,3,0)*VLOOKUP('Données projet'!$B$13,Paramètres!$A$1:$I$89,5,0)</f>
        <v>260.42483333333297</v>
      </c>
      <c r="CV139" s="13">
        <f t="shared" si="149"/>
        <v>62.81292664840214</v>
      </c>
      <c r="CW139" s="20">
        <f t="shared" si="121"/>
        <v>562.97243196818863</v>
      </c>
      <c r="CX139" s="59">
        <f t="shared" si="122"/>
        <v>856.30576530152189</v>
      </c>
      <c r="CY139" s="59">
        <f ca="1">AVERAGE(OFFSET($CX$3,0,0,'Données projet'!$E$13+1,1))-AVERAGE(OFFSET($H$3,0,0,'Données projet'!$E$13+1,1))</f>
        <v>345.49688858037996</v>
      </c>
      <c r="CZ139" s="59">
        <f t="shared" si="150"/>
        <v>213.15872113755023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34.300780688058452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34.300780688058452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5.2446581196581219</v>
      </c>
      <c r="DO139" s="12">
        <f>IF('Données projet'!$A$166&gt;35,DO138+DN139-DW138,IF(A139&lt;'Données projet'!$A$166,$DL$205^A139,IF(A139='Données projet'!$A$166,'Données projet'!$B$166,DO138+DN139-DW138)))</f>
        <v>287.82585470085434</v>
      </c>
      <c r="DP139" s="17">
        <f>DO139*VLOOKUP('Données projet'!$B$14,Paramètres!$A$1:$I$89,3,0)*VLOOKUP('Données projet'!$B$14,Paramètres!$A$1:$I$89,5,0)</f>
        <v>291.85541666666631</v>
      </c>
      <c r="DQ139" s="13">
        <f t="shared" si="151"/>
        <v>69.466320514612647</v>
      </c>
      <c r="DR139" s="20">
        <f t="shared" si="124"/>
        <v>629.30202559072757</v>
      </c>
      <c r="DS139" s="59">
        <f t="shared" si="125"/>
        <v>922.63535892406094</v>
      </c>
      <c r="DT139" s="59">
        <f ca="1">AVERAGE(OFFSET($DS$3,0,0,'Données projet'!$E$14+1,1))-AVERAGE(OFFSET($H$3,0,0,'Données projet'!$E$14+1,1))</f>
        <v>382.26108489744581</v>
      </c>
      <c r="DU139" s="59">
        <f t="shared" si="152"/>
        <v>233.89423996158826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38.440530081444834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38.440530081444834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-2.4158453015843406E-13</v>
      </c>
      <c r="EK139" s="17">
        <f>EJ139*VLOOKUP('Données projet'!$B$15,Paramètres!$A$1:$I$89,3,0)*VLOOKUP('Données projet'!$B$15,Paramètres!$A$1:$I$89,5,0)</f>
        <v>-2.0351080820546486E-13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312.48716825299158</v>
      </c>
      <c r="EP139" s="59">
        <f t="shared" si="154"/>
        <v>258.68277822755357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89.002844948296186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89.002844948296186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5.2446581196581219</v>
      </c>
      <c r="FE139" s="12">
        <f>IF('Données projet'!$A$218&gt;35,FE138+FD139-FM138,IF(A139&lt;'Données projet'!$A$218,$FB$205^A139,IF(A139='Données projet'!$A$218,'Données projet'!$B$218,FE138+FD139-FM138)))</f>
        <v>287.82585470085434</v>
      </c>
      <c r="FF139" s="17">
        <f>FE139*VLOOKUP('Données projet'!$B$16,Paramètres!$A$1:$I$89,3,0)*VLOOKUP('Données projet'!$B$16,Paramètres!$A$1:$I$89,5,0)</f>
        <v>309.81574999999958</v>
      </c>
      <c r="FG139" s="13">
        <f t="shared" si="155"/>
        <v>73.230350107099014</v>
      </c>
      <c r="FH139" s="20">
        <f t="shared" si="130"/>
        <v>667.13862435319663</v>
      </c>
      <c r="FI139" s="59">
        <f t="shared" si="131"/>
        <v>960.47195768653</v>
      </c>
      <c r="FJ139" s="59">
        <f ca="1">AVERAGE(OFFSET($FI$3,0,0,'Données projet'!$E$16+1,1))-AVERAGE(OFFSET($H$3,0,0,'Données projet'!$E$16+1,1))</f>
        <v>403.23110963096246</v>
      </c>
      <c r="FK139" s="59">
        <f t="shared" si="156"/>
        <v>245.72000393124898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40.806101163379893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40.806101163379893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5.2446581196581219</v>
      </c>
      <c r="FZ139" s="12">
        <f>IF('Données projet'!$A$244&gt;35,FZ138+FY139-GH138,IF(A139&lt;'Données projet'!$A$244,$FW$205^A139,IF(A139='Données projet'!$A$244,'Données projet'!$B$244,FZ138+FY139-GH138)))</f>
        <v>287.82585470085434</v>
      </c>
      <c r="GA139" s="17">
        <f>FZ139*VLOOKUP('Données projet'!$B$17,Paramètres!$A$1:$I$89,3,0)*VLOOKUP('Données projet'!$B$17,Paramètres!$A$1:$I$89,5,0)</f>
        <v>278.38516666666629</v>
      </c>
      <c r="GB139" s="13">
        <f t="shared" si="157"/>
        <v>66.625633384480764</v>
      </c>
      <c r="GC139" s="20">
        <f t="shared" si="133"/>
        <v>600.89381008908106</v>
      </c>
      <c r="GD139" s="59">
        <f t="shared" si="134"/>
        <v>894.22714342241443</v>
      </c>
      <c r="GE139" s="59">
        <f ca="1">AVERAGE(OFFSET($GD$3,0,0,'Données projet'!$E$17+1,1))-AVERAGE(OFFSET($H$3,0,0,'Données projet'!$E$17+1,1))</f>
        <v>336.2911850338175</v>
      </c>
      <c r="GF139" s="59">
        <f t="shared" si="158"/>
        <v>225.01415116995503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36.666351769993533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36.666351769993533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5.2446581196581219</v>
      </c>
      <c r="GU139" s="12">
        <f>IF('Données projet'!$A$270&gt;35,GU138+GT139-HC138,IF(A139&lt;'Données projet'!$A$270,$GR$205^A139,IF(A139='Données projet'!$A$270,'Données projet'!$B$270,GU138+GT139-HC138)))</f>
        <v>287.82585470085434</v>
      </c>
      <c r="GV139" s="17">
        <f>GU139*VLOOKUP('Données projet'!$B$18,Paramètres!$A$1:$I$89,3,0)*VLOOKUP('Données projet'!$B$18,Paramètres!$A$1:$I$89,5,0)</f>
        <v>193.07358333333309</v>
      </c>
      <c r="GW139" s="13">
        <f t="shared" si="159"/>
        <v>48.21884254090044</v>
      </c>
      <c r="GX139" s="20">
        <f t="shared" si="136"/>
        <v>420.25097506429</v>
      </c>
      <c r="GY139" s="59">
        <f t="shared" si="137"/>
        <v>713.58430839762332</v>
      </c>
      <c r="GZ139" s="59">
        <f ca="1">AVERAGE(OFFSET($GY$3,0,0,'Données projet'!$E$18+1,1))-AVERAGE(OFFSET($H$3,0,0,'Données projet'!$E$18+1,1))</f>
        <v>266.37807768393191</v>
      </c>
      <c r="HA139" s="59">
        <f t="shared" si="160"/>
        <v>168.52019826233425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31.343816835639625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138"/>
        <v>31.343816835639625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266.99999999999983</v>
      </c>
      <c r="O140" s="13">
        <f>N140*VLOOKUP('Données projet'!$B$9,Paramètres!$A$1:$I$89,3,0)*VLOOKUP('Données projet'!$B$9,Paramètres!$A$1:$I$89,5,0)</f>
        <v>233.2511999999999</v>
      </c>
      <c r="P140" s="13">
        <f t="shared" si="141"/>
        <v>56.985091661350864</v>
      </c>
      <c r="Q140" s="20">
        <f t="shared" si="108"/>
        <v>505.49487464351915</v>
      </c>
      <c r="R140" s="59">
        <f t="shared" si="109"/>
        <v>798.82820797685247</v>
      </c>
      <c r="S140" s="59">
        <f ca="1">AVERAGE(OFFSET($R$3,0,0,'Données projet'!$E$9+1,1))-AVERAGE(OFFSET($H$3,0,0,'Données projet'!$E$9+1,1))</f>
        <v>324.86930206492627</v>
      </c>
      <c r="T140" s="59">
        <f t="shared" si="142"/>
        <v>317.03005098025352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10.224229957665305</v>
      </c>
      <c r="AA140" s="21">
        <f>EXP(-LN(2)/25)*AA139+(1-EXP(-LN(2)/25))/(LN(2)/25)*Calculateur!V140*Calculateur!X140*VLOOKUP('Données projet'!$B$9,Paramètres!$A$1:$I$89,3,0)*0.475*44/12</f>
        <v>1.883034004213342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12.107263961878648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5.4092197387944907E-13</v>
      </c>
      <c r="AK140" s="13">
        <f t="shared" si="143"/>
        <v>6.6765148417791561E-12</v>
      </c>
      <c r="AL140" s="20">
        <f t="shared" si="112"/>
        <v>1.2570369120605403E-11</v>
      </c>
      <c r="AM140" s="59">
        <f t="shared" si="113"/>
        <v>293.33333333334588</v>
      </c>
      <c r="AN140" s="59">
        <f ca="1">AVERAGE(OFFSET($AM$3,0,0,'Données projet'!$E$10+1,1))-AVERAGE(OFFSET($H$3,0,0,'Données projet'!$E$10+1,1))</f>
        <v>401.81944956556271</v>
      </c>
      <c r="AO140" s="59">
        <f t="shared" si="144"/>
        <v>292.20785523952651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159.68230582418016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159.68230582418016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1.7053025658242404E-13</v>
      </c>
      <c r="BE140" s="13">
        <f>BD140*VLOOKUP('Données projet'!$B$11,Paramètres!$A$1:$I$89,3,0)*VLOOKUP('Données projet'!$B$11,Paramètres!$A$1:$I$89,5,0)</f>
        <v>1.3301360013429075E-13</v>
      </c>
      <c r="BF140" s="13">
        <f t="shared" si="145"/>
        <v>1.9329766731057041E-12</v>
      </c>
      <c r="BG140" s="20">
        <f t="shared" si="115"/>
        <v>3.5982663925596575E-12</v>
      </c>
      <c r="BH140" s="59">
        <f t="shared" si="116"/>
        <v>293.3333333333369</v>
      </c>
      <c r="BI140" s="59">
        <f ca="1">AVERAGE(OFFSET($BH$3,0,0,'Données projet'!$E$11+1,1))-AVERAGE(OFFSET($H$3,0,0,'Données projet'!$E$11+1,1))</f>
        <v>288.80569134263209</v>
      </c>
      <c r="BJ140" s="59">
        <f t="shared" si="146"/>
        <v>283.48738729114024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21.102927624690473</v>
      </c>
      <c r="BQ140" s="21">
        <f>EXP(-LN(2)/25)*BQ139+(1-EXP(-LN(2)/25))/(LN(2)/25)*Calculateur!BL140*Calculateur!BN140*VLOOKUP('Données projet'!$B$11,Paramètres!$A$1:$I$89,3,0)*0.475*44/12</f>
        <v>10.352459400107149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31.455387024797623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212.00000000000009</v>
      </c>
      <c r="BZ140" s="13">
        <f>BY140*VLOOKUP('Données projet'!$B$12,Paramètres!$A$1:$I$89,3,0)*VLOOKUP('Données projet'!$B$12,Paramètres!$A$1:$I$89,5,0)</f>
        <v>221.58240000000012</v>
      </c>
      <c r="CA140" s="13">
        <f t="shared" si="147"/>
        <v>54.458668952651578</v>
      </c>
      <c r="CB140" s="20">
        <f t="shared" si="118"/>
        <v>480.77152842586838</v>
      </c>
      <c r="CC140" s="59">
        <f t="shared" si="119"/>
        <v>774.10486175920164</v>
      </c>
      <c r="CD140" s="59">
        <f ca="1">AVERAGE(OFFSET($CC$3,0,0,'Données projet'!$E$12+1,1))-AVERAGE(OFFSET($H$3,0,0,'Données projet'!$E$12+1,1))</f>
        <v>352.22281362023102</v>
      </c>
      <c r="CE140" s="59">
        <f t="shared" si="148"/>
        <v>310.2353747925161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8.5871128392990936</v>
      </c>
      <c r="CL140" s="21">
        <f>EXP(-LN(2)/25)*CL139+(1-EXP(-LN(2)/25))/(LN(2)/25)*Calculateur!CG140*Calculateur!CI140*VLOOKUP('Données projet'!$B$12,Paramètres!$A$1:$I$89,3,0)*0.475*44/12</f>
        <v>5.999165069455537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14.586277908754631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>
        <f>VLOOKUP(A140,'Données projet'!$A$139:$I$159,2,0)</f>
        <v>293.07051282051282</v>
      </c>
      <c r="CR140" s="12">
        <f>VLOOKUP(A140,'Données projet'!$A$139:$I$159,9,0)</f>
        <v>5.2446581196581219</v>
      </c>
      <c r="CS140" s="12">
        <f t="array" ref="CS140">INDEX(CR:CR,MIN(IF(ISNUMBER(CR140:CR336),ROW(CR140:CR336),"")))</f>
        <v>5.2446581196581219</v>
      </c>
      <c r="CT140" s="12">
        <f>IF('Données projet'!$A$140&gt;35,CT139+CS140-DB139,IF(A140&lt;'Données projet'!$A$140,$CQ$205^A140,IF(A140='Données projet'!$A$140,'Données projet'!$B$140,CT139+CS140-DB139)))</f>
        <v>293.07051282051248</v>
      </c>
      <c r="CU140" s="17">
        <f>CT140*VLOOKUP('Données projet'!$B$13,Paramètres!$A$1:$I$89,3,0)*VLOOKUP('Données projet'!$B$13,Paramètres!$A$1:$I$89,5,0)</f>
        <v>265.17019999999968</v>
      </c>
      <c r="CV140" s="13">
        <f t="shared" si="149"/>
        <v>63.823189537116463</v>
      </c>
      <c r="CW140" s="20">
        <f t="shared" si="121"/>
        <v>572.9968201104773</v>
      </c>
      <c r="CX140" s="59">
        <f t="shared" si="122"/>
        <v>866.33015344381056</v>
      </c>
      <c r="CY140" s="59">
        <f ca="1">AVERAGE(OFFSET($CX$3,0,0,'Données projet'!$E$13+1,1))-AVERAGE(OFFSET($H$3,0,0,'Données projet'!$E$13+1,1))</f>
        <v>345.49688858037996</v>
      </c>
      <c r="CZ140" s="59">
        <f t="shared" si="150"/>
        <v>213.15872113755023</v>
      </c>
      <c r="DA140" s="15">
        <f>IF(ISNA(VLOOKUP(A140,'Données projet'!$A$139:$I$159,3,0)),0,VLOOKUP(A140,'Données projet'!$A$139:$I$159,3,0))</f>
        <v>11</v>
      </c>
      <c r="DB140" s="15">
        <f>IF(ISNA(VLOOKUP(A140,'Données projet'!$A$139:$I$159,4,0)),0,VLOOKUP(A140,'Données projet'!$A$139:$I$159,4,0))</f>
        <v>51.160256410256409</v>
      </c>
      <c r="DC140" s="16">
        <f>IF(ISNA(VLOOKUP(A140,'Données projet'!$A$139:$I$159,5,0)),0%,VLOOKUP(A140,'Données projet'!$A$139:$I$159,5,0)*VLOOKUP('Données projet'!$B$13,Paramètres!$A$1:$I$89,7,0))</f>
        <v>0.30099999999999999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49.030936135301836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49.030936135301836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>
        <f>VLOOKUP(A140,'Données projet'!$A$165:$I$185,2,0)</f>
        <v>293.07051282051282</v>
      </c>
      <c r="DM140" s="12">
        <f>VLOOKUP(A140,'Données projet'!$A$165:$I$185,9,0)</f>
        <v>5.2446581196581219</v>
      </c>
      <c r="DN140" s="12">
        <f t="array" ref="DN140">INDEX(DM:DM,MIN(IF(ISNUMBER(DM140:DM336),ROW(DM140:DM336),"")))</f>
        <v>5.2446581196581219</v>
      </c>
      <c r="DO140" s="12">
        <f>IF('Données projet'!$A$166&gt;35,DO139+DN140-DW139,IF(A140&lt;'Données projet'!$A$166,$DL$205^A140,IF(A140='Données projet'!$A$166,'Données projet'!$B$166,DO139+DN140-DW139)))</f>
        <v>293.07051282051248</v>
      </c>
      <c r="DP140" s="17">
        <f>DO140*VLOOKUP('Données projet'!$B$14,Paramètres!$A$1:$I$89,3,0)*VLOOKUP('Données projet'!$B$14,Paramètres!$A$1:$I$89,5,0)</f>
        <v>297.17349999999965</v>
      </c>
      <c r="DQ140" s="13">
        <f t="shared" si="151"/>
        <v>70.583594448118191</v>
      </c>
      <c r="DR140" s="20">
        <f t="shared" si="124"/>
        <v>640.51027283047199</v>
      </c>
      <c r="DS140" s="59">
        <f t="shared" si="125"/>
        <v>933.84360616380536</v>
      </c>
      <c r="DT140" s="59">
        <f ca="1">AVERAGE(OFFSET($DS$3,0,0,'Données projet'!$E$14+1,1))-AVERAGE(OFFSET($H$3,0,0,'Données projet'!$E$14+1,1))</f>
        <v>382.26108489744581</v>
      </c>
      <c r="DU140" s="59">
        <f t="shared" si="152"/>
        <v>233.89423996158826</v>
      </c>
      <c r="DV140" s="15">
        <f>IF(ISNA(VLOOKUP(A140,'Données projet'!$A$165:$I$185,3,0)),0,VLOOKUP(A140,'Données projet'!$A$165:$I$185,3,0))</f>
        <v>11</v>
      </c>
      <c r="DW140" s="15">
        <f>IF(ISNA(VLOOKUP(A140,'Données projet'!$A$165:$I$185,4,0)),0,VLOOKUP(A140,'Données projet'!$A$165:$I$185,4,0))</f>
        <v>51.160256410256409</v>
      </c>
      <c r="DX140" s="16">
        <f>IF(ISNA(VLOOKUP(A140,'Données projet'!$A$165:$I$185,5,0)),0%,VLOOKUP(A140,'Données projet'!$A$165:$I$185,5,0)*VLOOKUP('Données projet'!$B$14,Paramètres!$A$1:$I$89,7,0))</f>
        <v>0.30099999999999999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54.948462910252076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54.948462910252076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-2.4158453015843406E-13</v>
      </c>
      <c r="EK140" s="17">
        <f>EJ140*VLOOKUP('Données projet'!$B$15,Paramètres!$A$1:$I$89,3,0)*VLOOKUP('Données projet'!$B$15,Paramètres!$A$1:$I$89,5,0)</f>
        <v>-2.0351080820546486E-13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312.48716825299158</v>
      </c>
      <c r="EP140" s="59">
        <f t="shared" si="154"/>
        <v>258.68277822755357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87.257553445235189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87.257553445235189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>
        <f>VLOOKUP(A140,'Données projet'!$A$217:$I$237,2,0)</f>
        <v>293.07051282051282</v>
      </c>
      <c r="FC140" s="12">
        <f>VLOOKUP(A140,'Données projet'!$A$217:$I$237,9,0)</f>
        <v>5.2446581196581219</v>
      </c>
      <c r="FD140" s="12">
        <f t="array" ref="FD140">INDEX(FC:FC,MIN(IF(ISNUMBER(FC140:FC336),ROW(FC140:FC336),"")))</f>
        <v>5.2446581196581219</v>
      </c>
      <c r="FE140" s="12">
        <f>IF('Données projet'!$A$218&gt;35,FE139+FD140-FM139,IF(A140&lt;'Données projet'!$A$218,$FB$205^A140,IF(A140='Données projet'!$A$218,'Données projet'!$B$218,FE139+FD140-FM139)))</f>
        <v>293.07051282051248</v>
      </c>
      <c r="FF140" s="17">
        <f>FE140*VLOOKUP('Données projet'!$B$16,Paramètres!$A$1:$I$89,3,0)*VLOOKUP('Données projet'!$B$16,Paramètres!$A$1:$I$89,5,0)</f>
        <v>315.46109999999959</v>
      </c>
      <c r="FG140" s="13">
        <f t="shared" si="155"/>
        <v>74.408163480688174</v>
      </c>
      <c r="FH140" s="20">
        <f t="shared" si="130"/>
        <v>679.02230056219787</v>
      </c>
      <c r="FI140" s="59">
        <f t="shared" si="131"/>
        <v>972.35563389553113</v>
      </c>
      <c r="FJ140" s="59">
        <f ca="1">AVERAGE(OFFSET($FI$3,0,0,'Données projet'!$E$16+1,1))-AVERAGE(OFFSET($H$3,0,0,'Données projet'!$E$16+1,1))</f>
        <v>403.23110963096246</v>
      </c>
      <c r="FK140" s="59">
        <f t="shared" si="156"/>
        <v>245.72000393124898</v>
      </c>
      <c r="FL140" s="15">
        <f>IF(ISNA(VLOOKUP(A140,'Données projet'!$A$217:$I$237,3,0)),0,VLOOKUP(A140,'Données projet'!$A$217:$I$237,3,0))</f>
        <v>11</v>
      </c>
      <c r="FM140" s="15">
        <f>IF(ISNA(VLOOKUP(A140,'Données projet'!$A$217:$I$237,4,0)),0,VLOOKUP(A140,'Données projet'!$A$217:$I$237,4,0))</f>
        <v>51.160256410256409</v>
      </c>
      <c r="FN140" s="16">
        <f>IF(ISNA(VLOOKUP(A140,'Données projet'!$A$217:$I$237,5,0)),0%,VLOOKUP(A140,'Données projet'!$A$217:$I$237,5,0)*VLOOKUP('Données projet'!$B$16,Paramètres!$A$1:$I$89,7,0))</f>
        <v>0.30099999999999999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58.329906781652198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58.329906781652198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>
        <f>VLOOKUP(A140,'Données projet'!$A$243:$I$263,2,0)</f>
        <v>293.07051282051282</v>
      </c>
      <c r="FX140" s="12">
        <f>VLOOKUP(A140,'Données projet'!$A$243:$I$263,9,0)</f>
        <v>5.2446581196581219</v>
      </c>
      <c r="FY140" s="12">
        <f t="array" ref="FY140">INDEX(FX:FX,MIN(IF(ISNUMBER(FX140:FX336),ROW(FX140:FX336),"")))</f>
        <v>5.2446581196581219</v>
      </c>
      <c r="FZ140" s="12">
        <f>IF('Données projet'!$A$244&gt;35,FZ139+FY140-GH139,IF(A140&lt;'Données projet'!$A$244,$FW$205^A140,IF(A140='Données projet'!$A$244,'Données projet'!$B$244,FZ139+FY140-GH139)))</f>
        <v>293.07051282051248</v>
      </c>
      <c r="GA140" s="17">
        <f>FZ140*VLOOKUP('Données projet'!$B$17,Paramètres!$A$1:$I$89,3,0)*VLOOKUP('Données projet'!$B$17,Paramètres!$A$1:$I$89,5,0)</f>
        <v>283.45779999999968</v>
      </c>
      <c r="GB140" s="13">
        <f t="shared" si="157"/>
        <v>67.697218620784142</v>
      </c>
      <c r="GC140" s="20">
        <f t="shared" si="133"/>
        <v>611.59499076453187</v>
      </c>
      <c r="GD140" s="59">
        <f t="shared" si="134"/>
        <v>904.92832409786524</v>
      </c>
      <c r="GE140" s="59">
        <f ca="1">AVERAGE(OFFSET($GD$3,0,0,'Données projet'!$E$17+1,1))-AVERAGE(OFFSET($H$3,0,0,'Données projet'!$E$17+1,1))</f>
        <v>336.2911850338175</v>
      </c>
      <c r="GF140" s="59">
        <f t="shared" si="158"/>
        <v>225.01415116995503</v>
      </c>
      <c r="GG140" s="15">
        <f>IF(ISNA(VLOOKUP(A140,'Données projet'!$A$243:$I$263,3,0)),0,VLOOKUP(A140,'Données projet'!$A$243:$I$263,3,0))</f>
        <v>11</v>
      </c>
      <c r="GH140" s="15">
        <f>IF(ISNA(VLOOKUP(A140,'Données projet'!$A$243:$I$263,4,0)),0,VLOOKUP(A140,'Données projet'!$A$243:$I$263,4,0))</f>
        <v>51.160256410256409</v>
      </c>
      <c r="GI140" s="16">
        <f>IF(ISNA(VLOOKUP(A140,'Données projet'!$A$243:$I$263,5,0)),0%,VLOOKUP(A140,'Données projet'!$A$243:$I$263,5,0)*VLOOKUP('Données projet'!$B$17,Paramètres!$A$1:$I$89,7,0))</f>
        <v>0.30099999999999999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52.41238000670198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52.41238000670198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>
        <f>VLOOKUP(A140,'Données projet'!$A$269:$I$289,2,0)</f>
        <v>293.07051282051282</v>
      </c>
      <c r="GS140" s="12">
        <f>VLOOKUP(A140,'Données projet'!$A$269:$I$289,9,0)</f>
        <v>5.2446581196581219</v>
      </c>
      <c r="GT140" s="12">
        <f t="array" ref="GT140">INDEX(GS:GS,MIN(IF(ISNUMBER(GS140:GS336),ROW(GS140:GS336),"")))</f>
        <v>5.2446581196581219</v>
      </c>
      <c r="GU140" s="12">
        <f>IF('Données projet'!$A$270&gt;35,GU139+GT140-HC139,IF(A140&lt;'Données projet'!$A$270,$GR$205^A140,IF(A140='Données projet'!$A$270,'Données projet'!$B$270,GU139+GT140-HC139)))</f>
        <v>293.07051282051248</v>
      </c>
      <c r="GV140" s="17">
        <f>GU140*VLOOKUP('Données projet'!$B$18,Paramètres!$A$1:$I$89,3,0)*VLOOKUP('Données projet'!$B$18,Paramètres!$A$1:$I$89,5,0)</f>
        <v>196.59169999999978</v>
      </c>
      <c r="GW140" s="13">
        <f t="shared" si="159"/>
        <v>48.994378879598898</v>
      </c>
      <c r="GX140" s="20">
        <f t="shared" si="136"/>
        <v>427.7290873819677</v>
      </c>
      <c r="GY140" s="59">
        <f t="shared" si="137"/>
        <v>721.06242071530096</v>
      </c>
      <c r="GZ140" s="59">
        <f ca="1">AVERAGE(OFFSET($GY$3,0,0,'Données projet'!$E$18+1,1))-AVERAGE(OFFSET($H$3,0,0,'Données projet'!$E$18+1,1))</f>
        <v>266.37807768393191</v>
      </c>
      <c r="HA140" s="59">
        <f t="shared" si="160"/>
        <v>168.52019826233425</v>
      </c>
      <c r="HB140" s="15">
        <f>IF(ISNA(VLOOKUP(A140,'Données projet'!$A$269:$I$289,3,0)),0,VLOOKUP(A140,'Données projet'!$A$269:$I$289,3,0))</f>
        <v>11</v>
      </c>
      <c r="HC140" s="15">
        <f>IF(ISNA(VLOOKUP(A140,'Données projet'!$A$269:$I$289,4,0)),0,VLOOKUP(A140,'Données projet'!$A$269:$I$289,4,0))</f>
        <v>51.160256410256409</v>
      </c>
      <c r="HD140" s="16">
        <f>IF(ISNA(VLOOKUP(A140,'Données projet'!$A$269:$I$289,5,0)),0%,VLOOKUP(A140,'Données projet'!$A$269:$I$289,5,0)*VLOOKUP('Données projet'!$B$18,Paramètres!$A$1:$I$89,7,0))</f>
        <v>0.371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44.804131296051686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138"/>
        <v>44.804131296051686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266.99999999999983</v>
      </c>
      <c r="O141" s="13">
        <f>N141*VLOOKUP('Données projet'!$B$9,Paramètres!$A$1:$I$89,3,0)*VLOOKUP('Données projet'!$B$9,Paramètres!$A$1:$I$89,5,0)</f>
        <v>233.2511999999999</v>
      </c>
      <c r="P141" s="13">
        <f t="shared" si="141"/>
        <v>56.985091661350864</v>
      </c>
      <c r="Q141" s="20">
        <f t="shared" si="108"/>
        <v>505.49487464351915</v>
      </c>
      <c r="R141" s="59">
        <f t="shared" si="109"/>
        <v>798.82820797685247</v>
      </c>
      <c r="S141" s="59">
        <f ca="1">AVERAGE(OFFSET($R$3,0,0,'Données projet'!$E$9+1,1))-AVERAGE(OFFSET($H$3,0,0,'Données projet'!$E$9+1,1))</f>
        <v>324.86930206492627</v>
      </c>
      <c r="T141" s="59">
        <f t="shared" si="142"/>
        <v>317.03005098025352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10.023739044359992</v>
      </c>
      <c r="AA141" s="21">
        <f>EXP(-LN(2)/25)*AA140+(1-EXP(-LN(2)/25))/(LN(2)/25)*Calculateur!V141*Calculateur!X141*VLOOKUP('Données projet'!$B$9,Paramètres!$A$1:$I$89,3,0)*0.475*44/12</f>
        <v>1.8315423403436737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11.855281384703666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5.4092197387944907E-13</v>
      </c>
      <c r="AK141" s="13">
        <f t="shared" si="143"/>
        <v>6.6765148417791561E-12</v>
      </c>
      <c r="AL141" s="20">
        <f t="shared" si="112"/>
        <v>1.2570369120605403E-11</v>
      </c>
      <c r="AM141" s="59">
        <f t="shared" si="113"/>
        <v>293.33333333334588</v>
      </c>
      <c r="AN141" s="59">
        <f ca="1">AVERAGE(OFFSET($AM$3,0,0,'Données projet'!$E$10+1,1))-AVERAGE(OFFSET($H$3,0,0,'Données projet'!$E$10+1,1))</f>
        <v>401.81944956556271</v>
      </c>
      <c r="AO141" s="59">
        <f t="shared" si="144"/>
        <v>292.20785523952651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156.55103320355744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156.55103320355744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1.7053025658242404E-13</v>
      </c>
      <c r="BE141" s="13">
        <f>BD141*VLOOKUP('Données projet'!$B$11,Paramètres!$A$1:$I$89,3,0)*VLOOKUP('Données projet'!$B$11,Paramètres!$A$1:$I$89,5,0)</f>
        <v>1.3301360013429075E-13</v>
      </c>
      <c r="BF141" s="13">
        <f t="shared" si="145"/>
        <v>1.9329766731057041E-12</v>
      </c>
      <c r="BG141" s="20">
        <f t="shared" si="115"/>
        <v>3.5982663925596575E-12</v>
      </c>
      <c r="BH141" s="59">
        <f t="shared" si="116"/>
        <v>293.3333333333369</v>
      </c>
      <c r="BI141" s="59">
        <f ca="1">AVERAGE(OFFSET($BH$3,0,0,'Données projet'!$E$11+1,1))-AVERAGE(OFFSET($H$3,0,0,'Données projet'!$E$11+1,1))</f>
        <v>288.80569134263209</v>
      </c>
      <c r="BJ141" s="59">
        <f t="shared" si="146"/>
        <v>283.48738729114024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20.689112085485188</v>
      </c>
      <c r="BQ141" s="21">
        <f>EXP(-LN(2)/25)*BQ140+(1-EXP(-LN(2)/25))/(LN(2)/25)*Calculateur!BL141*Calculateur!BN141*VLOOKUP('Données projet'!$B$11,Paramètres!$A$1:$I$89,3,0)*0.475*44/12</f>
        <v>10.06937085339904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30.758482938884228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212.00000000000009</v>
      </c>
      <c r="BZ141" s="13">
        <f>BY141*VLOOKUP('Données projet'!$B$12,Paramètres!$A$1:$I$89,3,0)*VLOOKUP('Données projet'!$B$12,Paramètres!$A$1:$I$89,5,0)</f>
        <v>221.58240000000012</v>
      </c>
      <c r="CA141" s="13">
        <f t="shared" si="147"/>
        <v>54.458668952651578</v>
      </c>
      <c r="CB141" s="20">
        <f t="shared" si="118"/>
        <v>480.77152842586838</v>
      </c>
      <c r="CC141" s="59">
        <f t="shared" si="119"/>
        <v>774.10486175920164</v>
      </c>
      <c r="CD141" s="59">
        <f ca="1">AVERAGE(OFFSET($CC$3,0,0,'Données projet'!$E$12+1,1))-AVERAGE(OFFSET($H$3,0,0,'Données projet'!$E$12+1,1))</f>
        <v>352.22281362023102</v>
      </c>
      <c r="CE141" s="59">
        <f t="shared" si="148"/>
        <v>310.2353747925161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8.4187247941420988</v>
      </c>
      <c r="CL141" s="21">
        <f>EXP(-LN(2)/25)*CL140+(1-EXP(-LN(2)/25))/(LN(2)/25)*Calculateur!CG141*Calculateur!CI141*VLOOKUP('Données projet'!$B$12,Paramètres!$A$1:$I$89,3,0)*0.475*44/12</f>
        <v>5.8351175851488959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14.253842379290994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5.1063034188034209</v>
      </c>
      <c r="CT141" s="12">
        <f>IF('Données projet'!$A$140&gt;35,CT140+CS141-DB140,IF(A141&lt;'Données projet'!$A$140,$CQ$205^A141,IF(A141='Données projet'!$A$140,'Données projet'!$B$140,CT140+CS141-DB140)))</f>
        <v>247.01655982905947</v>
      </c>
      <c r="CU141" s="17">
        <f>CT141*VLOOKUP('Données projet'!$B$13,Paramètres!$A$1:$I$89,3,0)*VLOOKUP('Données projet'!$B$13,Paramètres!$A$1:$I$89,5,0)</f>
        <v>223.500583333333</v>
      </c>
      <c r="CV141" s="13">
        <f t="shared" si="149"/>
        <v>54.875019768659023</v>
      </c>
      <c r="CW141" s="20">
        <f t="shared" si="121"/>
        <v>484.83750873596932</v>
      </c>
      <c r="CX141" s="59">
        <f t="shared" si="122"/>
        <v>778.17084206930258</v>
      </c>
      <c r="CY141" s="59">
        <f ca="1">AVERAGE(OFFSET($CX$3,0,0,'Données projet'!$E$13+1,1))-AVERAGE(OFFSET($H$3,0,0,'Données projet'!$E$13+1,1))</f>
        <v>345.49688858037996</v>
      </c>
      <c r="CZ141" s="59">
        <f t="shared" si="150"/>
        <v>213.15872113755023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48.069469383606645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48.069469383606645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5.1063034188034209</v>
      </c>
      <c r="DO141" s="12">
        <f>IF('Données projet'!$A$166&gt;35,DO140+DN141-DW140,IF(A141&lt;'Données projet'!$A$166,$DL$205^A141,IF(A141='Données projet'!$A$166,'Données projet'!$B$166,DO140+DN141-DW140)))</f>
        <v>247.01655982905947</v>
      </c>
      <c r="DP141" s="17">
        <f>DO141*VLOOKUP('Données projet'!$B$14,Paramètres!$A$1:$I$89,3,0)*VLOOKUP('Données projet'!$B$14,Paramètres!$A$1:$I$89,5,0)</f>
        <v>250.47479166666631</v>
      </c>
      <c r="DQ141" s="13">
        <f t="shared" si="151"/>
        <v>60.687599112090453</v>
      </c>
      <c r="DR141" s="20">
        <f t="shared" si="124"/>
        <v>541.94116393966794</v>
      </c>
      <c r="DS141" s="59">
        <f t="shared" si="125"/>
        <v>835.27449727300132</v>
      </c>
      <c r="DT141" s="59">
        <f ca="1">AVERAGE(OFFSET($DS$3,0,0,'Données projet'!$E$14+1,1))-AVERAGE(OFFSET($H$3,0,0,'Données projet'!$E$14+1,1))</f>
        <v>382.26108489744581</v>
      </c>
      <c r="DU141" s="59">
        <f t="shared" si="152"/>
        <v>233.89423996158826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53.87095706783505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53.87095706783505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-2.4158453015843406E-13</v>
      </c>
      <c r="EK141" s="17">
        <f>EJ141*VLOOKUP('Données projet'!$B$15,Paramètres!$A$1:$I$89,3,0)*VLOOKUP('Données projet'!$B$15,Paramètres!$A$1:$I$89,5,0)</f>
        <v>-2.0351080820546486E-13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312.48716825299158</v>
      </c>
      <c r="EP141" s="59">
        <f t="shared" si="154"/>
        <v>258.68277822755357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85.546486044026508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85.546486044026508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5.1063034188034209</v>
      </c>
      <c r="FE141" s="12">
        <f>IF('Données projet'!$A$218&gt;35,FE140+FD141-FM140,IF(A141&lt;'Données projet'!$A$218,$FB$205^A141,IF(A141='Données projet'!$A$218,'Données projet'!$B$218,FE140+FD141-FM140)))</f>
        <v>247.01655982905947</v>
      </c>
      <c r="FF141" s="17">
        <f>FE141*VLOOKUP('Données projet'!$B$16,Paramètres!$A$1:$I$89,3,0)*VLOOKUP('Données projet'!$B$16,Paramètres!$A$1:$I$89,5,0)</f>
        <v>265.88862499999959</v>
      </c>
      <c r="FG141" s="13">
        <f t="shared" si="155"/>
        <v>63.97595406255607</v>
      </c>
      <c r="FH141" s="20">
        <f t="shared" si="130"/>
        <v>574.51414186728437</v>
      </c>
      <c r="FI141" s="59">
        <f t="shared" si="131"/>
        <v>867.84747520061774</v>
      </c>
      <c r="FJ141" s="59">
        <f ca="1">AVERAGE(OFFSET($FI$3,0,0,'Données projet'!$E$16+1,1))-AVERAGE(OFFSET($H$3,0,0,'Données projet'!$E$16+1,1))</f>
        <v>403.23110963096246</v>
      </c>
      <c r="FK141" s="59">
        <f t="shared" si="156"/>
        <v>245.72000393124898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57.186092887394125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57.186092887394125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5.1063034188034209</v>
      </c>
      <c r="FZ141" s="12">
        <f>IF('Données projet'!$A$244&gt;35,FZ140+FY141-GH140,IF(A141&lt;'Données projet'!$A$244,$FW$205^A141,IF(A141='Données projet'!$A$244,'Données projet'!$B$244,FZ140+FY141-GH140)))</f>
        <v>247.01655982905947</v>
      </c>
      <c r="GA141" s="17">
        <f>FZ141*VLOOKUP('Données projet'!$B$17,Paramètres!$A$1:$I$89,3,0)*VLOOKUP('Données projet'!$B$17,Paramètres!$A$1:$I$89,5,0)</f>
        <v>238.91441666666631</v>
      </c>
      <c r="GB141" s="13">
        <f t="shared" si="157"/>
        <v>58.205900348154188</v>
      </c>
      <c r="GC141" s="20">
        <f t="shared" si="133"/>
        <v>517.4845521341457</v>
      </c>
      <c r="GD141" s="59">
        <f t="shared" si="134"/>
        <v>810.81788546747907</v>
      </c>
      <c r="GE141" s="59">
        <f ca="1">AVERAGE(OFFSET($GD$3,0,0,'Données projet'!$E$17+1,1))-AVERAGE(OFFSET($H$3,0,0,'Données projet'!$E$17+1,1))</f>
        <v>336.2911850338175</v>
      </c>
      <c r="GF141" s="59">
        <f t="shared" si="158"/>
        <v>225.01415116995503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51.384605203165741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51.384605203165741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5.1063034188034209</v>
      </c>
      <c r="GU141" s="12">
        <f>IF('Données projet'!$A$270&gt;35,GU140+GT141-HC140,IF(A141&lt;'Données projet'!$A$270,$GR$205^A141,IF(A141='Données projet'!$A$270,'Données projet'!$B$270,GU140+GT141-HC140)))</f>
        <v>247.01655982905947</v>
      </c>
      <c r="GV141" s="17">
        <f>GU141*VLOOKUP('Données projet'!$B$18,Paramètres!$A$1:$I$89,3,0)*VLOOKUP('Données projet'!$B$18,Paramètres!$A$1:$I$89,5,0)</f>
        <v>165.69870833333309</v>
      </c>
      <c r="GW141" s="13">
        <f t="shared" si="159"/>
        <v>42.125245213694853</v>
      </c>
      <c r="GX141" s="20">
        <f t="shared" si="136"/>
        <v>361.96005242774027</v>
      </c>
      <c r="GY141" s="59">
        <f t="shared" si="137"/>
        <v>655.29338576107352</v>
      </c>
      <c r="GZ141" s="59">
        <f ca="1">AVERAGE(OFFSET($GY$3,0,0,'Données projet'!$E$18+1,1))-AVERAGE(OFFSET($H$3,0,0,'Données projet'!$E$18+1,1))</f>
        <v>266.37807768393191</v>
      </c>
      <c r="HA141" s="59">
        <f t="shared" si="160"/>
        <v>168.52019826233425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43.925549609157805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138"/>
        <v>43.925549609157805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266.99999999999983</v>
      </c>
      <c r="O142" s="13">
        <f>N142*VLOOKUP('Données projet'!$B$9,Paramètres!$A$1:$I$89,3,0)*VLOOKUP('Données projet'!$B$9,Paramètres!$A$1:$I$89,5,0)</f>
        <v>233.2511999999999</v>
      </c>
      <c r="P142" s="13">
        <f t="shared" si="141"/>
        <v>56.985091661350864</v>
      </c>
      <c r="Q142" s="20">
        <f t="shared" si="108"/>
        <v>505.49487464351915</v>
      </c>
      <c r="R142" s="59">
        <f t="shared" si="109"/>
        <v>798.82820797685247</v>
      </c>
      <c r="S142" s="59">
        <f ca="1">AVERAGE(OFFSET($R$3,0,0,'Données projet'!$E$9+1,1))-AVERAGE(OFFSET($H$3,0,0,'Données projet'!$E$9+1,1))</f>
        <v>324.86930206492627</v>
      </c>
      <c r="T142" s="59">
        <f t="shared" si="142"/>
        <v>317.03005098025352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9.827179635577215</v>
      </c>
      <c r="AA142" s="21">
        <f>EXP(-LN(2)/25)*AA141+(1-EXP(-LN(2)/25))/(LN(2)/25)*Calculateur!V142*Calculateur!X142*VLOOKUP('Données projet'!$B$9,Paramètres!$A$1:$I$89,3,0)*0.475*44/12</f>
        <v>1.7814587187303503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11.608638354307566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5.4092197387944907E-13</v>
      </c>
      <c r="AK142" s="13">
        <f t="shared" si="143"/>
        <v>6.6765148417791561E-12</v>
      </c>
      <c r="AL142" s="20">
        <f t="shared" si="112"/>
        <v>1.2570369120605403E-11</v>
      </c>
      <c r="AM142" s="59">
        <f t="shared" si="113"/>
        <v>293.33333333334588</v>
      </c>
      <c r="AN142" s="59">
        <f ca="1">AVERAGE(OFFSET($AM$3,0,0,'Données projet'!$E$10+1,1))-AVERAGE(OFFSET($H$3,0,0,'Données projet'!$E$10+1,1))</f>
        <v>401.81944956556271</v>
      </c>
      <c r="AO142" s="59">
        <f t="shared" si="144"/>
        <v>292.20785523952651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153.48116292913741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153.48116292913741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1.7053025658242404E-13</v>
      </c>
      <c r="BE142" s="13">
        <f>BD142*VLOOKUP('Données projet'!$B$11,Paramètres!$A$1:$I$89,3,0)*VLOOKUP('Données projet'!$B$11,Paramètres!$A$1:$I$89,5,0)</f>
        <v>1.3301360013429075E-13</v>
      </c>
      <c r="BF142" s="13">
        <f t="shared" si="145"/>
        <v>1.9329766731057041E-12</v>
      </c>
      <c r="BG142" s="20">
        <f t="shared" si="115"/>
        <v>3.5982663925596575E-12</v>
      </c>
      <c r="BH142" s="59">
        <f t="shared" si="116"/>
        <v>293.3333333333369</v>
      </c>
      <c r="BI142" s="59">
        <f ca="1">AVERAGE(OFFSET($BH$3,0,0,'Données projet'!$E$11+1,1))-AVERAGE(OFFSET($H$3,0,0,'Données projet'!$E$11+1,1))</f>
        <v>288.80569134263209</v>
      </c>
      <c r="BJ142" s="59">
        <f t="shared" si="146"/>
        <v>283.48738729114024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20.283411216601163</v>
      </c>
      <c r="BQ142" s="21">
        <f>EXP(-LN(2)/25)*BQ141+(1-EXP(-LN(2)/25))/(LN(2)/25)*Calculateur!BL142*Calculateur!BN142*VLOOKUP('Données projet'!$B$11,Paramètres!$A$1:$I$89,3,0)*0.475*44/12</f>
        <v>9.794023377887644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30.077434594488807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212.00000000000009</v>
      </c>
      <c r="BZ142" s="13">
        <f>BY142*VLOOKUP('Données projet'!$B$12,Paramètres!$A$1:$I$89,3,0)*VLOOKUP('Données projet'!$B$12,Paramètres!$A$1:$I$89,5,0)</f>
        <v>221.58240000000012</v>
      </c>
      <c r="CA142" s="13">
        <f t="shared" si="147"/>
        <v>54.458668952651578</v>
      </c>
      <c r="CB142" s="20">
        <f t="shared" si="118"/>
        <v>480.77152842586838</v>
      </c>
      <c r="CC142" s="59">
        <f t="shared" si="119"/>
        <v>774.10486175920164</v>
      </c>
      <c r="CD142" s="59">
        <f ca="1">AVERAGE(OFFSET($CC$3,0,0,'Données projet'!$E$12+1,1))-AVERAGE(OFFSET($H$3,0,0,'Données projet'!$E$12+1,1))</f>
        <v>352.22281362023102</v>
      </c>
      <c r="CE142" s="59">
        <f t="shared" si="148"/>
        <v>310.2353747925161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8.2536387358440653</v>
      </c>
      <c r="CL142" s="21">
        <f>EXP(-LN(2)/25)*CL141+(1-EXP(-LN(2)/25))/(LN(2)/25)*Calculateur!CG142*Calculateur!CI142*VLOOKUP('Données projet'!$B$12,Paramètres!$A$1:$I$89,3,0)*0.475*44/12</f>
        <v>5.6755559879275017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13.929194723771566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5.1063034188034209</v>
      </c>
      <c r="CT142" s="12">
        <f>IF('Données projet'!$A$140&gt;35,CT141+CS142-DB141,IF(A142&lt;'Données projet'!$A$140,$CQ$205^A142,IF(A142='Données projet'!$A$140,'Données projet'!$B$140,CT141+CS142-DB141)))</f>
        <v>252.12286324786288</v>
      </c>
      <c r="CU142" s="17">
        <f>CT142*VLOOKUP('Données projet'!$B$13,Paramètres!$A$1:$I$89,3,0)*VLOOKUP('Données projet'!$B$13,Paramètres!$A$1:$I$89,5,0)</f>
        <v>228.12076666666633</v>
      </c>
      <c r="CV142" s="13">
        <f t="shared" si="149"/>
        <v>55.876153534759418</v>
      </c>
      <c r="CW142" s="20">
        <f t="shared" si="121"/>
        <v>494.62796935081639</v>
      </c>
      <c r="CX142" s="59">
        <f t="shared" si="122"/>
        <v>787.9613026841497</v>
      </c>
      <c r="CY142" s="59">
        <f ca="1">AVERAGE(OFFSET($CX$3,0,0,'Données projet'!$E$13+1,1))-AVERAGE(OFFSET($H$3,0,0,'Données projet'!$E$13+1,1))</f>
        <v>345.49688858037996</v>
      </c>
      <c r="CZ142" s="59">
        <f t="shared" si="150"/>
        <v>213.15872113755023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47.126856408475383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47.126856408475383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5.1063034188034209</v>
      </c>
      <c r="DO142" s="12">
        <f>IF('Données projet'!$A$166&gt;35,DO141+DN142-DW141,IF(A142&lt;'Données projet'!$A$166,$DL$205^A142,IF(A142='Données projet'!$A$166,'Données projet'!$B$166,DO141+DN142-DW141)))</f>
        <v>252.12286324786288</v>
      </c>
      <c r="DP142" s="17">
        <f>DO142*VLOOKUP('Données projet'!$B$14,Paramètres!$A$1:$I$89,3,0)*VLOOKUP('Données projet'!$B$14,Paramètres!$A$1:$I$89,5,0)</f>
        <v>255.65258333333296</v>
      </c>
      <c r="DQ142" s="13">
        <f t="shared" si="151"/>
        <v>61.794776930172596</v>
      </c>
      <c r="DR142" s="20">
        <f t="shared" si="124"/>
        <v>552.88748579227229</v>
      </c>
      <c r="DS142" s="59">
        <f t="shared" si="125"/>
        <v>846.22081912560566</v>
      </c>
      <c r="DT142" s="59">
        <f ca="1">AVERAGE(OFFSET($DS$3,0,0,'Données projet'!$E$14+1,1))-AVERAGE(OFFSET($H$3,0,0,'Données projet'!$E$14+1,1))</f>
        <v>382.26108489744581</v>
      </c>
      <c r="DU142" s="59">
        <f t="shared" si="152"/>
        <v>233.89423996158826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52.814580457774156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52.814580457774156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-2.4158453015843406E-13</v>
      </c>
      <c r="EK142" s="17">
        <f>EJ142*VLOOKUP('Données projet'!$B$15,Paramètres!$A$1:$I$89,3,0)*VLOOKUP('Données projet'!$B$15,Paramètres!$A$1:$I$89,5,0)</f>
        <v>-2.0351080820546486E-13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312.48716825299158</v>
      </c>
      <c r="EP142" s="59">
        <f t="shared" si="154"/>
        <v>258.68277822755357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83.868971630907467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83.868971630907467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5.1063034188034209</v>
      </c>
      <c r="FE142" s="12">
        <f>IF('Données projet'!$A$218&gt;35,FE141+FD142-FM141,IF(A142&lt;'Données projet'!$A$218,$FB$205^A142,IF(A142='Données projet'!$A$218,'Données projet'!$B$218,FE141+FD142-FM141)))</f>
        <v>252.12286324786288</v>
      </c>
      <c r="FF142" s="17">
        <f>FE142*VLOOKUP('Données projet'!$B$16,Paramètres!$A$1:$I$89,3,0)*VLOOKUP('Données projet'!$B$16,Paramètres!$A$1:$I$89,5,0)</f>
        <v>271.38504999999958</v>
      </c>
      <c r="FG142" s="13">
        <f t="shared" si="155"/>
        <v>65.143124263141459</v>
      </c>
      <c r="FH142" s="20">
        <f t="shared" si="130"/>
        <v>586.11990350830399</v>
      </c>
      <c r="FI142" s="59">
        <f t="shared" si="131"/>
        <v>879.45323684163736</v>
      </c>
      <c r="FJ142" s="59">
        <f ca="1">AVERAGE(OFFSET($FI$3,0,0,'Données projet'!$E$16+1,1))-AVERAGE(OFFSET($H$3,0,0,'Données projet'!$E$16+1,1))</f>
        <v>403.23110963096246</v>
      </c>
      <c r="FK142" s="59">
        <f t="shared" si="156"/>
        <v>245.72000393124898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56.06470848594487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56.06470848594487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5.1063034188034209</v>
      </c>
      <c r="FZ142" s="12">
        <f>IF('Données projet'!$A$244&gt;35,FZ141+FY142-GH141,IF(A142&lt;'Données projet'!$A$244,$FW$205^A142,IF(A142='Données projet'!$A$244,'Données projet'!$B$244,FZ141+FY142-GH141)))</f>
        <v>252.12286324786288</v>
      </c>
      <c r="GA142" s="17">
        <f>FZ142*VLOOKUP('Données projet'!$B$17,Paramètres!$A$1:$I$89,3,0)*VLOOKUP('Données projet'!$B$17,Paramètres!$A$1:$I$89,5,0)</f>
        <v>243.85323333333301</v>
      </c>
      <c r="GB142" s="13">
        <f t="shared" si="157"/>
        <v>59.267802329610895</v>
      </c>
      <c r="GC142" s="20">
        <f t="shared" si="133"/>
        <v>527.93580377962724</v>
      </c>
      <c r="GD142" s="59">
        <f t="shared" si="134"/>
        <v>821.26913711296061</v>
      </c>
      <c r="GE142" s="59">
        <f ca="1">AVERAGE(OFFSET($GD$3,0,0,'Données projet'!$E$17+1,1))-AVERAGE(OFFSET($H$3,0,0,'Données projet'!$E$17+1,1))</f>
        <v>336.2911850338175</v>
      </c>
      <c r="GF142" s="59">
        <f t="shared" si="158"/>
        <v>225.01415116995503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50.376984436646119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50.376984436646119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5.1063034188034209</v>
      </c>
      <c r="GU142" s="12">
        <f>IF('Données projet'!$A$270&gt;35,GU141+GT142-HC141,IF(A142&lt;'Données projet'!$A$270,$GR$205^A142,IF(A142='Données projet'!$A$270,'Données projet'!$B$270,GU141+GT142-HC141)))</f>
        <v>252.12286324786288</v>
      </c>
      <c r="GV142" s="17">
        <f>GU142*VLOOKUP('Données projet'!$B$18,Paramètres!$A$1:$I$89,3,0)*VLOOKUP('Données projet'!$B$18,Paramètres!$A$1:$I$89,5,0)</f>
        <v>169.12401666666642</v>
      </c>
      <c r="GW142" s="13">
        <f t="shared" si="159"/>
        <v>42.893773508836851</v>
      </c>
      <c r="GX142" s="20">
        <f t="shared" si="136"/>
        <v>369.26431788900157</v>
      </c>
      <c r="GY142" s="59">
        <f t="shared" si="137"/>
        <v>662.59765122233489</v>
      </c>
      <c r="GZ142" s="59">
        <f ca="1">AVERAGE(OFFSET($GY$3,0,0,'Données projet'!$E$18+1,1))-AVERAGE(OFFSET($H$3,0,0,'Données projet'!$E$18+1,1))</f>
        <v>266.37807768393191</v>
      </c>
      <c r="HA142" s="59">
        <f t="shared" si="160"/>
        <v>168.52019826233425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43.064196373262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138"/>
        <v>43.064196373262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266.99999999999983</v>
      </c>
      <c r="O143" s="13">
        <f>N143*VLOOKUP('Données projet'!$B$9,Paramètres!$A$1:$I$89,3,0)*VLOOKUP('Données projet'!$B$9,Paramètres!$A$1:$I$89,5,0)</f>
        <v>233.2511999999999</v>
      </c>
      <c r="P143" s="13">
        <f t="shared" si="141"/>
        <v>56.985091661350864</v>
      </c>
      <c r="Q143" s="20">
        <f t="shared" si="108"/>
        <v>505.49487464351915</v>
      </c>
      <c r="R143" s="59">
        <f t="shared" si="109"/>
        <v>798.82820797685247</v>
      </c>
      <c r="S143" s="59">
        <f ca="1">AVERAGE(OFFSET($R$3,0,0,'Données projet'!$E$9+1,1))-AVERAGE(OFFSET($H$3,0,0,'Données projet'!$E$9+1,1))</f>
        <v>324.86930206492627</v>
      </c>
      <c r="T143" s="59">
        <f t="shared" si="142"/>
        <v>317.03005098025352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9.6344746369112659</v>
      </c>
      <c r="AA143" s="21">
        <f>EXP(-LN(2)/25)*AA142+(1-EXP(-LN(2)/25))/(LN(2)/25)*Calculateur!V143*Calculateur!X143*VLOOKUP('Données projet'!$B$9,Paramètres!$A$1:$I$89,3,0)*0.475*44/12</f>
        <v>1.7327446363838264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11.367219273295092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5.4092197387944907E-13</v>
      </c>
      <c r="AK143" s="13">
        <f t="shared" si="143"/>
        <v>6.6765148417791561E-12</v>
      </c>
      <c r="AL143" s="20">
        <f t="shared" si="112"/>
        <v>1.2570369120605403E-11</v>
      </c>
      <c r="AM143" s="59">
        <f t="shared" si="113"/>
        <v>293.33333333334588</v>
      </c>
      <c r="AN143" s="59">
        <f ca="1">AVERAGE(OFFSET($AM$3,0,0,'Données projet'!$E$10+1,1))-AVERAGE(OFFSET($H$3,0,0,'Données projet'!$E$10+1,1))</f>
        <v>401.81944956556271</v>
      </c>
      <c r="AO143" s="59">
        <f t="shared" si="144"/>
        <v>292.20785523952651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150.47149093836276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150.47149093836276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1.7053025658242404E-13</v>
      </c>
      <c r="BE143" s="13">
        <f>BD143*VLOOKUP('Données projet'!$B$11,Paramètres!$A$1:$I$89,3,0)*VLOOKUP('Données projet'!$B$11,Paramètres!$A$1:$I$89,5,0)</f>
        <v>1.3301360013429075E-13</v>
      </c>
      <c r="BF143" s="13">
        <f t="shared" si="145"/>
        <v>1.9329766731057041E-12</v>
      </c>
      <c r="BG143" s="20">
        <f t="shared" si="115"/>
        <v>3.5982663925596575E-12</v>
      </c>
      <c r="BH143" s="59">
        <f t="shared" si="116"/>
        <v>293.3333333333369</v>
      </c>
      <c r="BI143" s="59">
        <f ca="1">AVERAGE(OFFSET($BH$3,0,0,'Données projet'!$E$11+1,1))-AVERAGE(OFFSET($H$3,0,0,'Données projet'!$E$11+1,1))</f>
        <v>288.80569134263209</v>
      </c>
      <c r="BJ143" s="59">
        <f t="shared" si="146"/>
        <v>283.48738729114024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19.885665894302857</v>
      </c>
      <c r="BQ143" s="21">
        <f>EXP(-LN(2)/25)*BQ142+(1-EXP(-LN(2)/25))/(LN(2)/25)*Calculateur!BL143*Calculateur!BN143*VLOOKUP('Données projet'!$B$11,Paramètres!$A$1:$I$89,3,0)*0.475*44/12</f>
        <v>9.5262052935740016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29.411871187876859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212.00000000000009</v>
      </c>
      <c r="BZ143" s="13">
        <f>BY143*VLOOKUP('Données projet'!$B$12,Paramètres!$A$1:$I$89,3,0)*VLOOKUP('Données projet'!$B$12,Paramètres!$A$1:$I$89,5,0)</f>
        <v>221.58240000000012</v>
      </c>
      <c r="CA143" s="13">
        <f t="shared" si="147"/>
        <v>54.458668952651578</v>
      </c>
      <c r="CB143" s="20">
        <f t="shared" si="118"/>
        <v>480.77152842586838</v>
      </c>
      <c r="CC143" s="59">
        <f t="shared" si="119"/>
        <v>774.10486175920164</v>
      </c>
      <c r="CD143" s="59">
        <f ca="1">AVERAGE(OFFSET($CC$3,0,0,'Données projet'!$E$12+1,1))-AVERAGE(OFFSET($H$3,0,0,'Données projet'!$E$12+1,1))</f>
        <v>352.22281362023102</v>
      </c>
      <c r="CE143" s="59">
        <f t="shared" si="148"/>
        <v>310.2353747925161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8.0917899144567045</v>
      </c>
      <c r="CL143" s="21">
        <f>EXP(-LN(2)/25)*CL142+(1-EXP(-LN(2)/25))/(LN(2)/25)*Calculateur!CG143*Calculateur!CI143*VLOOKUP('Données projet'!$B$12,Paramètres!$A$1:$I$89,3,0)*0.475*44/12</f>
        <v>5.5203576109731065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13.612147525429812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5.1063034188034209</v>
      </c>
      <c r="CT143" s="12">
        <f>IF('Données projet'!$A$140&gt;35,CT142+CS143-DB142,IF(A143&lt;'Données projet'!$A$140,$CQ$205^A143,IF(A143='Données projet'!$A$140,'Données projet'!$B$140,CT142+CS143-DB142)))</f>
        <v>257.22916666666629</v>
      </c>
      <c r="CU143" s="17">
        <f>CT143*VLOOKUP('Données projet'!$B$13,Paramètres!$A$1:$I$89,3,0)*VLOOKUP('Données projet'!$B$13,Paramètres!$A$1:$I$89,5,0)</f>
        <v>232.74094999999966</v>
      </c>
      <c r="CV143" s="13">
        <f t="shared" si="149"/>
        <v>56.874929761004168</v>
      </c>
      <c r="CW143" s="20">
        <f t="shared" si="121"/>
        <v>504.41432391708167</v>
      </c>
      <c r="CX143" s="59">
        <f t="shared" si="122"/>
        <v>797.74765725041493</v>
      </c>
      <c r="CY143" s="59">
        <f ca="1">AVERAGE(OFFSET($CX$3,0,0,'Données projet'!$E$13+1,1))-AVERAGE(OFFSET($H$3,0,0,'Données projet'!$E$13+1,1))</f>
        <v>345.49688858037996</v>
      </c>
      <c r="CZ143" s="59">
        <f t="shared" si="150"/>
        <v>213.15872113755023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46.202727498849299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46.202727498849299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5.1063034188034209</v>
      </c>
      <c r="DO143" s="12">
        <f>IF('Données projet'!$A$166&gt;35,DO142+DN143-DW142,IF(A143&lt;'Données projet'!$A$166,$DL$205^A143,IF(A143='Données projet'!$A$166,'Données projet'!$B$166,DO142+DN143-DW142)))</f>
        <v>257.22916666666629</v>
      </c>
      <c r="DP143" s="17">
        <f>DO143*VLOOKUP('Données projet'!$B$14,Paramètres!$A$1:$I$89,3,0)*VLOOKUP('Données projet'!$B$14,Paramètres!$A$1:$I$89,5,0)</f>
        <v>260.83037499999961</v>
      </c>
      <c r="DQ143" s="13">
        <f t="shared" si="151"/>
        <v>62.899347488444107</v>
      </c>
      <c r="DR143" s="20">
        <f t="shared" si="124"/>
        <v>563.82926666737285</v>
      </c>
      <c r="DS143" s="59">
        <f t="shared" si="125"/>
        <v>857.16260000070611</v>
      </c>
      <c r="DT143" s="59">
        <f ca="1">AVERAGE(OFFSET($DS$3,0,0,'Données projet'!$E$14+1,1))-AVERAGE(OFFSET($H$3,0,0,'Données projet'!$E$14+1,1))</f>
        <v>382.26108489744581</v>
      </c>
      <c r="DU143" s="59">
        <f t="shared" si="152"/>
        <v>233.89423996158826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51.778918748710446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51.778918748710446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-2.4158453015843406E-13</v>
      </c>
      <c r="EK143" s="17">
        <f>EJ143*VLOOKUP('Données projet'!$B$15,Paramètres!$A$1:$I$89,3,0)*VLOOKUP('Données projet'!$B$15,Paramètres!$A$1:$I$89,5,0)</f>
        <v>-2.0351080820546486E-13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312.48716825299158</v>
      </c>
      <c r="EP143" s="59">
        <f t="shared" si="154"/>
        <v>258.68277822755357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82.224352252246931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82.224352252246931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5.1063034188034209</v>
      </c>
      <c r="FE143" s="12">
        <f>IF('Données projet'!$A$218&gt;35,FE142+FD143-FM142,IF(A143&lt;'Données projet'!$A$218,$FB$205^A143,IF(A143='Données projet'!$A$218,'Données projet'!$B$218,FE142+FD143-FM142)))</f>
        <v>257.22916666666629</v>
      </c>
      <c r="FF143" s="17">
        <f>FE143*VLOOKUP('Données projet'!$B$16,Paramètres!$A$1:$I$89,3,0)*VLOOKUP('Données projet'!$B$16,Paramètres!$A$1:$I$89,5,0)</f>
        <v>276.88147499999957</v>
      </c>
      <c r="FG143" s="13">
        <f t="shared" si="155"/>
        <v>66.30754592965539</v>
      </c>
      <c r="FH143" s="20">
        <f t="shared" si="130"/>
        <v>597.72087811914889</v>
      </c>
      <c r="FI143" s="59">
        <f t="shared" si="131"/>
        <v>891.05421145248215</v>
      </c>
      <c r="FJ143" s="59">
        <f ca="1">AVERAGE(OFFSET($FI$3,0,0,'Données projet'!$E$16+1,1))-AVERAGE(OFFSET($H$3,0,0,'Données projet'!$E$16+1,1))</f>
        <v>403.23110963096246</v>
      </c>
      <c r="FK143" s="59">
        <f t="shared" si="156"/>
        <v>245.72000393124898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54.965313748631083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54.965313748631083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5.1063034188034209</v>
      </c>
      <c r="FZ143" s="12">
        <f>IF('Données projet'!$A$244&gt;35,FZ142+FY143-GH142,IF(A143&lt;'Données projet'!$A$244,$FW$205^A143,IF(A143='Données projet'!$A$244,'Données projet'!$B$244,FZ142+FY143-GH142)))</f>
        <v>257.22916666666629</v>
      </c>
      <c r="GA143" s="17">
        <f>FZ143*VLOOKUP('Données projet'!$B$17,Paramètres!$A$1:$I$89,3,0)*VLOOKUP('Données projet'!$B$17,Paramètres!$A$1:$I$89,5,0)</f>
        <v>248.79204999999965</v>
      </c>
      <c r="GB143" s="13">
        <f t="shared" si="157"/>
        <v>60.327203669965584</v>
      </c>
      <c r="GC143" s="20">
        <f t="shared" si="133"/>
        <v>538.38270014185616</v>
      </c>
      <c r="GD143" s="59">
        <f t="shared" si="134"/>
        <v>831.71603347518953</v>
      </c>
      <c r="GE143" s="59">
        <f ca="1">AVERAGE(OFFSET($GD$3,0,0,'Données projet'!$E$17+1,1))-AVERAGE(OFFSET($H$3,0,0,'Données projet'!$E$17+1,1))</f>
        <v>336.2911850338175</v>
      </c>
      <c r="GF143" s="59">
        <f t="shared" si="158"/>
        <v>225.01415116995503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49.389122498769964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49.389122498769964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5.1063034188034209</v>
      </c>
      <c r="GU143" s="12">
        <f>IF('Données projet'!$A$270&gt;35,GU142+GT143-HC142,IF(A143&lt;'Données projet'!$A$270,$GR$205^A143,IF(A143='Données projet'!$A$270,'Données projet'!$B$270,GU142+GT143-HC142)))</f>
        <v>257.22916666666629</v>
      </c>
      <c r="GV143" s="17">
        <f>GU143*VLOOKUP('Données projet'!$B$18,Paramètres!$A$1:$I$89,3,0)*VLOOKUP('Données projet'!$B$18,Paramètres!$A$1:$I$89,5,0)</f>
        <v>172.54932499999975</v>
      </c>
      <c r="GW143" s="13">
        <f t="shared" si="159"/>
        <v>43.660492019764817</v>
      </c>
      <c r="GX143" s="20">
        <f t="shared" si="136"/>
        <v>376.56543130942327</v>
      </c>
      <c r="GY143" s="59">
        <f t="shared" si="137"/>
        <v>669.89876464275653</v>
      </c>
      <c r="GZ143" s="59">
        <f ca="1">AVERAGE(OFFSET($GY$3,0,0,'Données projet'!$E$18+1,1))-AVERAGE(OFFSET($H$3,0,0,'Données projet'!$E$18+1,1))</f>
        <v>266.37807768393191</v>
      </c>
      <c r="HA143" s="59">
        <f t="shared" si="160"/>
        <v>168.52019826233425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42.219733748948514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138"/>
        <v>42.219733748948514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266.99999999999983</v>
      </c>
      <c r="O144" s="13">
        <f>N144*VLOOKUP('Données projet'!$B$9,Paramètres!$A$1:$I$89,3,0)*VLOOKUP('Données projet'!$B$9,Paramètres!$A$1:$I$89,5,0)</f>
        <v>233.2511999999999</v>
      </c>
      <c r="P144" s="13">
        <f t="shared" si="141"/>
        <v>56.985091661350864</v>
      </c>
      <c r="Q144" s="20">
        <f t="shared" si="108"/>
        <v>505.49487464351915</v>
      </c>
      <c r="R144" s="59">
        <f t="shared" si="109"/>
        <v>798.82820797685247</v>
      </c>
      <c r="S144" s="59">
        <f ca="1">AVERAGE(OFFSET($R$3,0,0,'Données projet'!$E$9+1,1))-AVERAGE(OFFSET($H$3,0,0,'Données projet'!$E$9+1,1))</f>
        <v>324.86930206492627</v>
      </c>
      <c r="T144" s="59">
        <f t="shared" si="142"/>
        <v>317.03005098025352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9.4455484657307132</v>
      </c>
      <c r="AA144" s="21">
        <f>EXP(-LN(2)/25)*AA143+(1-EXP(-LN(2)/25))/(LN(2)/25)*Calculateur!V144*Calculateur!X144*VLOOKUP('Données projet'!$B$9,Paramètres!$A$1:$I$89,3,0)*0.475*44/12</f>
        <v>1.6853626431808304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11.130911108911544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5.4092197387944907E-13</v>
      </c>
      <c r="AK144" s="13">
        <f t="shared" si="143"/>
        <v>6.6765148417791561E-12</v>
      </c>
      <c r="AL144" s="20">
        <f t="shared" si="112"/>
        <v>1.2570369120605403E-11</v>
      </c>
      <c r="AM144" s="59">
        <f t="shared" si="113"/>
        <v>293.33333333334588</v>
      </c>
      <c r="AN144" s="59">
        <f ca="1">AVERAGE(OFFSET($AM$3,0,0,'Données projet'!$E$10+1,1))-AVERAGE(OFFSET($H$3,0,0,'Données projet'!$E$10+1,1))</f>
        <v>401.81944956556271</v>
      </c>
      <c r="AO144" s="59">
        <f t="shared" si="144"/>
        <v>292.20785523952651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147.52083677960857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147.52083677960857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1.7053025658242404E-13</v>
      </c>
      <c r="BE144" s="13">
        <f>BD144*VLOOKUP('Données projet'!$B$11,Paramètres!$A$1:$I$89,3,0)*VLOOKUP('Données projet'!$B$11,Paramètres!$A$1:$I$89,5,0)</f>
        <v>1.3301360013429075E-13</v>
      </c>
      <c r="BF144" s="13">
        <f t="shared" si="145"/>
        <v>1.9329766731057041E-12</v>
      </c>
      <c r="BG144" s="20">
        <f t="shared" si="115"/>
        <v>3.5982663925596575E-12</v>
      </c>
      <c r="BH144" s="59">
        <f t="shared" si="116"/>
        <v>293.3333333333369</v>
      </c>
      <c r="BI144" s="59">
        <f ca="1">AVERAGE(OFFSET($BH$3,0,0,'Données projet'!$E$11+1,1))-AVERAGE(OFFSET($H$3,0,0,'Données projet'!$E$11+1,1))</f>
        <v>288.80569134263209</v>
      </c>
      <c r="BJ144" s="59">
        <f t="shared" si="146"/>
        <v>283.48738729114024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19.49572011517413</v>
      </c>
      <c r="BQ144" s="21">
        <f>EXP(-LN(2)/25)*BQ143+(1-EXP(-LN(2)/25))/(LN(2)/25)*Calculateur!BL144*Calculateur!BN144*VLOOKUP('Données projet'!$B$11,Paramètres!$A$1:$I$89,3,0)*0.475*44/12</f>
        <v>9.2657107088598565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28.761430824033987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212.00000000000009</v>
      </c>
      <c r="BZ144" s="13">
        <f>BY144*VLOOKUP('Données projet'!$B$12,Paramètres!$A$1:$I$89,3,0)*VLOOKUP('Données projet'!$B$12,Paramètres!$A$1:$I$89,5,0)</f>
        <v>221.58240000000012</v>
      </c>
      <c r="CA144" s="13">
        <f t="shared" si="147"/>
        <v>54.458668952651578</v>
      </c>
      <c r="CB144" s="20">
        <f t="shared" si="118"/>
        <v>480.77152842586838</v>
      </c>
      <c r="CC144" s="59">
        <f t="shared" si="119"/>
        <v>774.10486175920164</v>
      </c>
      <c r="CD144" s="59">
        <f ca="1">AVERAGE(OFFSET($CC$3,0,0,'Données projet'!$E$12+1,1))-AVERAGE(OFFSET($H$3,0,0,'Données projet'!$E$12+1,1))</f>
        <v>352.22281362023102</v>
      </c>
      <c r="CE144" s="59">
        <f t="shared" si="148"/>
        <v>310.2353747925161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7.9331148497387156</v>
      </c>
      <c r="CL144" s="21">
        <f>EXP(-LN(2)/25)*CL143+(1-EXP(-LN(2)/25))/(LN(2)/25)*Calculateur!CG144*Calculateur!CI144*VLOOKUP('Données projet'!$B$12,Paramètres!$A$1:$I$89,3,0)*0.475*44/12</f>
        <v>5.369403141798057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13.302517991536773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5.1063034188034209</v>
      </c>
      <c r="CT144" s="12">
        <f>IF('Données projet'!$A$140&gt;35,CT143+CS144-DB143,IF(A144&lt;'Données projet'!$A$140,$CQ$205^A144,IF(A144='Données projet'!$A$140,'Données projet'!$B$140,CT143+CS144-DB143)))</f>
        <v>262.33547008546969</v>
      </c>
      <c r="CU144" s="17">
        <f>CT144*VLOOKUP('Données projet'!$B$13,Paramètres!$A$1:$I$89,3,0)*VLOOKUP('Données projet'!$B$13,Paramètres!$A$1:$I$89,5,0)</f>
        <v>237.36113333333296</v>
      </c>
      <c r="CV144" s="13">
        <f t="shared" si="149"/>
        <v>57.871400641465833</v>
      </c>
      <c r="CW144" s="20">
        <f t="shared" si="121"/>
        <v>514.19666333944122</v>
      </c>
      <c r="CX144" s="59">
        <f t="shared" si="122"/>
        <v>807.52999667277459</v>
      </c>
      <c r="CY144" s="59">
        <f ca="1">AVERAGE(OFFSET($CX$3,0,0,'Données projet'!$E$13+1,1))-AVERAGE(OFFSET($H$3,0,0,'Données projet'!$E$13+1,1))</f>
        <v>345.49688858037996</v>
      </c>
      <c r="CZ144" s="59">
        <f t="shared" si="150"/>
        <v>213.15872113755023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45.296720193478009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45.296720193478009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5.1063034188034209</v>
      </c>
      <c r="DO144" s="12">
        <f>IF('Données projet'!$A$166&gt;35,DO143+DN144-DW143,IF(A144&lt;'Données projet'!$A$166,$DL$205^A144,IF(A144='Données projet'!$A$166,'Données projet'!$B$166,DO143+DN144-DW143)))</f>
        <v>262.33547008546969</v>
      </c>
      <c r="DP144" s="17">
        <f>DO144*VLOOKUP('Données projet'!$B$14,Paramètres!$A$1:$I$89,3,0)*VLOOKUP('Données projet'!$B$14,Paramètres!$A$1:$I$89,5,0)</f>
        <v>266.00816666666628</v>
      </c>
      <c r="DQ144" s="13">
        <f t="shared" si="151"/>
        <v>64.00136850958036</v>
      </c>
      <c r="DR144" s="20">
        <f t="shared" si="124"/>
        <v>574.76660709862961</v>
      </c>
      <c r="DS144" s="59">
        <f t="shared" si="125"/>
        <v>868.09994043196298</v>
      </c>
      <c r="DT144" s="59">
        <f ca="1">AVERAGE(OFFSET($DS$3,0,0,'Données projet'!$E$14+1,1))-AVERAGE(OFFSET($H$3,0,0,'Données projet'!$E$14+1,1))</f>
        <v>382.26108489744581</v>
      </c>
      <c r="DU144" s="59">
        <f t="shared" si="152"/>
        <v>233.89423996158826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50.763565734070205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50.763565734070205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-2.4158453015843406E-13</v>
      </c>
      <c r="EK144" s="17">
        <f>EJ144*VLOOKUP('Données projet'!$B$15,Paramètres!$A$1:$I$89,3,0)*VLOOKUP('Données projet'!$B$15,Paramètres!$A$1:$I$89,5,0)</f>
        <v>-2.0351080820546486E-13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312.48716825299158</v>
      </c>
      <c r="EP144" s="59">
        <f t="shared" si="154"/>
        <v>258.68277822755357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80.611982856483152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80.611982856483152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5.1063034188034209</v>
      </c>
      <c r="FE144" s="12">
        <f>IF('Données projet'!$A$218&gt;35,FE143+FD144-FM143,IF(A144&lt;'Données projet'!$A$218,$FB$205^A144,IF(A144='Données projet'!$A$218,'Données projet'!$B$218,FE143+FD144-FM143)))</f>
        <v>262.33547008546969</v>
      </c>
      <c r="FF144" s="17">
        <f>FE144*VLOOKUP('Données projet'!$B$16,Paramètres!$A$1:$I$89,3,0)*VLOOKUP('Données projet'!$B$16,Paramètres!$A$1:$I$89,5,0)</f>
        <v>282.37789999999956</v>
      </c>
      <c r="FG144" s="13">
        <f t="shared" si="155"/>
        <v>67.469279912473937</v>
      </c>
      <c r="FH144" s="20">
        <f t="shared" si="130"/>
        <v>609.31717168089131</v>
      </c>
      <c r="FI144" s="59">
        <f t="shared" si="131"/>
        <v>902.65050501422456</v>
      </c>
      <c r="FJ144" s="59">
        <f ca="1">AVERAGE(OFFSET($FI$3,0,0,'Données projet'!$E$16+1,1))-AVERAGE(OFFSET($H$3,0,0,'Données projet'!$E$16+1,1))</f>
        <v>403.23110963096246</v>
      </c>
      <c r="FK144" s="59">
        <f t="shared" si="156"/>
        <v>245.72000393124898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53.887477471551442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53.887477471551442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5.1063034188034209</v>
      </c>
      <c r="FZ144" s="12">
        <f>IF('Données projet'!$A$244&gt;35,FZ143+FY144-GH143,IF(A144&lt;'Données projet'!$A$244,$FW$205^A144,IF(A144='Données projet'!$A$244,'Données projet'!$B$244,FZ143+FY144-GH143)))</f>
        <v>262.33547008546969</v>
      </c>
      <c r="GA144" s="17">
        <f>FZ144*VLOOKUP('Données projet'!$B$17,Paramètres!$A$1:$I$89,3,0)*VLOOKUP('Données projet'!$B$17,Paramètres!$A$1:$I$89,5,0)</f>
        <v>253.73086666666632</v>
      </c>
      <c r="GB144" s="13">
        <f t="shared" si="157"/>
        <v>61.38415973143946</v>
      </c>
      <c r="GC144" s="20">
        <f t="shared" si="133"/>
        <v>548.82533764336756</v>
      </c>
      <c r="GD144" s="59">
        <f t="shared" si="134"/>
        <v>842.15867097670093</v>
      </c>
      <c r="GE144" s="59">
        <f ca="1">AVERAGE(OFFSET($GD$3,0,0,'Données projet'!$E$17+1,1))-AVERAGE(OFFSET($H$3,0,0,'Données projet'!$E$17+1,1))</f>
        <v>336.2911850338175</v>
      </c>
      <c r="GF144" s="59">
        <f t="shared" si="158"/>
        <v>225.01415116995503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48.420631930959274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48.420631930959274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5.1063034188034209</v>
      </c>
      <c r="GU144" s="12">
        <f>IF('Données projet'!$A$270&gt;35,GU143+GT144-HC143,IF(A144&lt;'Données projet'!$A$270,$GR$205^A144,IF(A144='Données projet'!$A$270,'Données projet'!$B$270,GU143+GT144-HC143)))</f>
        <v>262.33547008546969</v>
      </c>
      <c r="GV144" s="17">
        <f>GU144*VLOOKUP('Données projet'!$B$18,Paramètres!$A$1:$I$89,3,0)*VLOOKUP('Données projet'!$B$18,Paramètres!$A$1:$I$89,5,0)</f>
        <v>175.97463333333309</v>
      </c>
      <c r="GW144" s="13">
        <f t="shared" si="159"/>
        <v>44.425440813673518</v>
      </c>
      <c r="GX144" s="20">
        <f t="shared" si="136"/>
        <v>383.86346247270313</v>
      </c>
      <c r="GY144" s="59">
        <f t="shared" si="137"/>
        <v>677.19679580603645</v>
      </c>
      <c r="GZ144" s="59">
        <f ca="1">AVERAGE(OFFSET($GY$3,0,0,'Données projet'!$E$18+1,1))-AVERAGE(OFFSET($H$3,0,0,'Données projet'!$E$18+1,1))</f>
        <v>266.37807768393191</v>
      </c>
      <c r="HA144" s="59">
        <f t="shared" si="160"/>
        <v>168.52019826233425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41.391830521626474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138"/>
        <v>41.391830521626474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266.99999999999983</v>
      </c>
      <c r="O145" s="13">
        <f>N145*VLOOKUP('Données projet'!$B$9,Paramètres!$A$1:$I$89,3,0)*VLOOKUP('Données projet'!$B$9,Paramètres!$A$1:$I$89,5,0)</f>
        <v>233.2511999999999</v>
      </c>
      <c r="P145" s="13">
        <f t="shared" si="141"/>
        <v>56.985091661350864</v>
      </c>
      <c r="Q145" s="20">
        <f t="shared" si="108"/>
        <v>505.49487464351915</v>
      </c>
      <c r="R145" s="59">
        <f t="shared" si="109"/>
        <v>798.82820797685247</v>
      </c>
      <c r="S145" s="59">
        <f ca="1">AVERAGE(OFFSET($R$3,0,0,'Données projet'!$E$9+1,1))-AVERAGE(OFFSET($H$3,0,0,'Données projet'!$E$9+1,1))</f>
        <v>324.86930206492627</v>
      </c>
      <c r="T145" s="59">
        <f t="shared" si="142"/>
        <v>317.03005098025352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9.2603270215334259</v>
      </c>
      <c r="AA145" s="21">
        <f>EXP(-LN(2)/25)*AA144+(1-EXP(-LN(2)/25))/(LN(2)/25)*Calculateur!V145*Calculateur!X145*VLOOKUP('Données projet'!$B$9,Paramètres!$A$1:$I$89,3,0)*0.475*44/12</f>
        <v>1.6392763130736812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10.899603334607107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5.4092197387944907E-13</v>
      </c>
      <c r="AK145" s="13">
        <f t="shared" si="143"/>
        <v>6.6765148417791561E-12</v>
      </c>
      <c r="AL145" s="20">
        <f t="shared" si="112"/>
        <v>1.2570369120605403E-11</v>
      </c>
      <c r="AM145" s="59">
        <f t="shared" si="113"/>
        <v>293.33333333334588</v>
      </c>
      <c r="AN145" s="59">
        <f ca="1">AVERAGE(OFFSET($AM$3,0,0,'Données projet'!$E$10+1,1))-AVERAGE(OFFSET($H$3,0,0,'Données projet'!$E$10+1,1))</f>
        <v>401.81944956556271</v>
      </c>
      <c r="AO145" s="59">
        <f t="shared" si="144"/>
        <v>292.20785523952651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144.62804314918623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144.62804314918623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1.7053025658242404E-13</v>
      </c>
      <c r="BE145" s="13">
        <f>BD145*VLOOKUP('Données projet'!$B$11,Paramètres!$A$1:$I$89,3,0)*VLOOKUP('Données projet'!$B$11,Paramètres!$A$1:$I$89,5,0)</f>
        <v>1.3301360013429075E-13</v>
      </c>
      <c r="BF145" s="13">
        <f t="shared" si="145"/>
        <v>1.9329766731057041E-12</v>
      </c>
      <c r="BG145" s="20">
        <f t="shared" si="115"/>
        <v>3.5982663925596575E-12</v>
      </c>
      <c r="BH145" s="59">
        <f t="shared" si="116"/>
        <v>293.3333333333369</v>
      </c>
      <c r="BI145" s="59">
        <f ca="1">AVERAGE(OFFSET($BH$3,0,0,'Données projet'!$E$11+1,1))-AVERAGE(OFFSET($H$3,0,0,'Données projet'!$E$11+1,1))</f>
        <v>288.80569134263209</v>
      </c>
      <c r="BJ145" s="59">
        <f t="shared" si="146"/>
        <v>283.48738729114024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19.113420934930677</v>
      </c>
      <c r="BQ145" s="21">
        <f>EXP(-LN(2)/25)*BQ144+(1-EXP(-LN(2)/25))/(LN(2)/25)*Calculateur!BL145*Calculateur!BN145*VLOOKUP('Données projet'!$B$11,Paramètres!$A$1:$I$89,3,0)*0.475*44/12</f>
        <v>9.0123393622635337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28.125760297194212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212.00000000000009</v>
      </c>
      <c r="BZ145" s="13">
        <f>BY145*VLOOKUP('Données projet'!$B$12,Paramètres!$A$1:$I$89,3,0)*VLOOKUP('Données projet'!$B$12,Paramètres!$A$1:$I$89,5,0)</f>
        <v>221.58240000000012</v>
      </c>
      <c r="CA145" s="13">
        <f t="shared" si="147"/>
        <v>54.458668952651578</v>
      </c>
      <c r="CB145" s="20">
        <f t="shared" si="118"/>
        <v>480.77152842586838</v>
      </c>
      <c r="CC145" s="59">
        <f t="shared" si="119"/>
        <v>774.10486175920164</v>
      </c>
      <c r="CD145" s="59">
        <f ca="1">AVERAGE(OFFSET($CC$3,0,0,'Données projet'!$E$12+1,1))-AVERAGE(OFFSET($H$3,0,0,'Données projet'!$E$12+1,1))</f>
        <v>352.22281362023102</v>
      </c>
      <c r="CE145" s="59">
        <f t="shared" si="148"/>
        <v>310.2353747925161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7.7775513062576138</v>
      </c>
      <c r="CL145" s="21">
        <f>EXP(-LN(2)/25)*CL144+(1-EXP(-LN(2)/25))/(LN(2)/25)*Calculateur!CG145*Calculateur!CI145*VLOOKUP('Données projet'!$B$12,Paramètres!$A$1:$I$89,3,0)*0.475*44/12</f>
        <v>5.2225765305209499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13.000127836778564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5.1063034188034209</v>
      </c>
      <c r="CT145" s="12">
        <f>IF('Données projet'!$A$140&gt;35,CT144+CS145-DB144,IF(A145&lt;'Données projet'!$A$140,$CQ$205^A145,IF(A145='Données projet'!$A$140,'Données projet'!$B$140,CT144+CS145-DB144)))</f>
        <v>267.4417735042731</v>
      </c>
      <c r="CU145" s="17">
        <f>CT145*VLOOKUP('Données projet'!$B$13,Paramètres!$A$1:$I$89,3,0)*VLOOKUP('Données projet'!$B$13,Paramètres!$A$1:$I$89,5,0)</f>
        <v>241.98131666666632</v>
      </c>
      <c r="CV145" s="13">
        <f t="shared" si="149"/>
        <v>58.865616222095206</v>
      </c>
      <c r="CW145" s="20">
        <f t="shared" si="121"/>
        <v>523.97507478125954</v>
      </c>
      <c r="CX145" s="59">
        <f t="shared" si="122"/>
        <v>817.30840811459279</v>
      </c>
      <c r="CY145" s="59">
        <f ca="1">AVERAGE(OFFSET($CX$3,0,0,'Données projet'!$E$13+1,1))-AVERAGE(OFFSET($H$3,0,0,'Données projet'!$E$13+1,1))</f>
        <v>345.49688858037996</v>
      </c>
      <c r="CZ145" s="59">
        <f t="shared" si="150"/>
        <v>213.15872113755023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44.408479138755162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44.408479138755162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5.1063034188034209</v>
      </c>
      <c r="DO145" s="12">
        <f>IF('Données projet'!$A$166&gt;35,DO144+DN145-DW144,IF(A145&lt;'Données projet'!$A$166,$DL$205^A145,IF(A145='Données projet'!$A$166,'Données projet'!$B$166,DO144+DN145-DW144)))</f>
        <v>267.4417735042731</v>
      </c>
      <c r="DP145" s="17">
        <f>DO145*VLOOKUP('Données projet'!$B$14,Paramètres!$A$1:$I$89,3,0)*VLOOKUP('Données projet'!$B$14,Paramètres!$A$1:$I$89,5,0)</f>
        <v>271.18595833333296</v>
      </c>
      <c r="DQ145" s="13">
        <f t="shared" si="151"/>
        <v>65.100895340597489</v>
      </c>
      <c r="DR145" s="20">
        <f t="shared" si="124"/>
        <v>585.69960348209554</v>
      </c>
      <c r="DS145" s="59">
        <f t="shared" si="125"/>
        <v>879.03293681542891</v>
      </c>
      <c r="DT145" s="59">
        <f ca="1">AVERAGE(OFFSET($DS$3,0,0,'Données projet'!$E$14+1,1))-AVERAGE(OFFSET($H$3,0,0,'Données projet'!$E$14+1,1))</f>
        <v>382.26108489744581</v>
      </c>
      <c r="DU145" s="59">
        <f t="shared" si="152"/>
        <v>233.89423996158826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49.768123172742875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49.768123172742875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-2.4158453015843406E-13</v>
      </c>
      <c r="EK145" s="17">
        <f>EJ145*VLOOKUP('Données projet'!$B$15,Paramètres!$A$1:$I$89,3,0)*VLOOKUP('Données projet'!$B$15,Paramètres!$A$1:$I$89,5,0)</f>
        <v>-2.0351080820546486E-13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312.48716825299158</v>
      </c>
      <c r="EP145" s="59">
        <f t="shared" si="154"/>
        <v>258.68277822755357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79.031231041122084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79.031231041122084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5.1063034188034209</v>
      </c>
      <c r="FE145" s="12">
        <f>IF('Données projet'!$A$218&gt;35,FE144+FD145-FM144,IF(A145&lt;'Données projet'!$A$218,$FB$205^A145,IF(A145='Données projet'!$A$218,'Données projet'!$B$218,FE144+FD145-FM144)))</f>
        <v>267.4417735042731</v>
      </c>
      <c r="FF145" s="17">
        <f>FE145*VLOOKUP('Données projet'!$B$16,Paramètres!$A$1:$I$89,3,0)*VLOOKUP('Données projet'!$B$16,Paramètres!$A$1:$I$89,5,0)</f>
        <v>287.87432499999954</v>
      </c>
      <c r="FG145" s="13">
        <f t="shared" si="155"/>
        <v>68.628384557588845</v>
      </c>
      <c r="FH145" s="20">
        <f t="shared" si="130"/>
        <v>620.90888581279978</v>
      </c>
      <c r="FI145" s="59">
        <f t="shared" si="131"/>
        <v>914.24221914613304</v>
      </c>
      <c r="FJ145" s="59">
        <f ca="1">AVERAGE(OFFSET($FI$3,0,0,'Données projet'!$E$16+1,1))-AVERAGE(OFFSET($H$3,0,0,'Données projet'!$E$16+1,1))</f>
        <v>403.23110963096246</v>
      </c>
      <c r="FK145" s="59">
        <f t="shared" si="156"/>
        <v>245.72000393124898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52.830776906450119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52.830776906450119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5.1063034188034209</v>
      </c>
      <c r="FZ145" s="12">
        <f>IF('Données projet'!$A$244&gt;35,FZ144+FY145-GH144,IF(A145&lt;'Données projet'!$A$244,$FW$205^A145,IF(A145='Données projet'!$A$244,'Données projet'!$B$244,FZ144+FY145-GH144)))</f>
        <v>267.4417735042731</v>
      </c>
      <c r="GA145" s="17">
        <f>FZ145*VLOOKUP('Données projet'!$B$17,Paramètres!$A$1:$I$89,3,0)*VLOOKUP('Données projet'!$B$17,Paramètres!$A$1:$I$89,5,0)</f>
        <v>258.66968333333296</v>
      </c>
      <c r="GB145" s="13">
        <f t="shared" si="157"/>
        <v>62.438723597742666</v>
      </c>
      <c r="GC145" s="20">
        <f t="shared" si="133"/>
        <v>559.26380873828998</v>
      </c>
      <c r="GD145" s="59">
        <f t="shared" si="134"/>
        <v>852.59714207162324</v>
      </c>
      <c r="GE145" s="59">
        <f ca="1">AVERAGE(OFFSET($GD$3,0,0,'Données projet'!$E$17+1,1))-AVERAGE(OFFSET($H$3,0,0,'Données projet'!$E$17+1,1))</f>
        <v>336.2911850338175</v>
      </c>
      <c r="GF145" s="59">
        <f t="shared" si="158"/>
        <v>225.01415116995503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47.471132872462434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47.471132872462434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5.1063034188034209</v>
      </c>
      <c r="GU145" s="12">
        <f>IF('Données projet'!$A$270&gt;35,GU144+GT145-HC144,IF(A145&lt;'Données projet'!$A$270,$GR$205^A145,IF(A145='Données projet'!$A$270,'Données projet'!$B$270,GU144+GT145-HC144)))</f>
        <v>267.4417735042731</v>
      </c>
      <c r="GV145" s="17">
        <f>GU145*VLOOKUP('Données projet'!$B$18,Paramètres!$A$1:$I$89,3,0)*VLOOKUP('Données projet'!$B$18,Paramètres!$A$1:$I$89,5,0)</f>
        <v>179.39994166666639</v>
      </c>
      <c r="GW145" s="13">
        <f t="shared" si="159"/>
        <v>45.188658308735143</v>
      </c>
      <c r="GX145" s="20">
        <f t="shared" si="136"/>
        <v>391.15847829049102</v>
      </c>
      <c r="GY145" s="59">
        <f t="shared" si="137"/>
        <v>684.49181162382433</v>
      </c>
      <c r="GZ145" s="59">
        <f ca="1">AVERAGE(OFFSET($GY$3,0,0,'Données projet'!$E$18+1,1))-AVERAGE(OFFSET($H$3,0,0,'Données projet'!$E$18+1,1))</f>
        <v>266.37807768393191</v>
      </c>
      <c r="HA145" s="59">
        <f t="shared" si="160"/>
        <v>168.52019826233425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40.580161971621109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138"/>
        <v>40.580161971621109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266.99999999999983</v>
      </c>
      <c r="O146" s="13">
        <f>N146*VLOOKUP('Données projet'!$B$9,Paramètres!$A$1:$I$89,3,0)*VLOOKUP('Données projet'!$B$9,Paramètres!$A$1:$I$89,5,0)</f>
        <v>233.2511999999999</v>
      </c>
      <c r="P146" s="13">
        <f t="shared" si="141"/>
        <v>56.985091661350864</v>
      </c>
      <c r="Q146" s="20">
        <f t="shared" si="108"/>
        <v>505.49487464351915</v>
      </c>
      <c r="R146" s="59">
        <f t="shared" si="109"/>
        <v>798.82820797685247</v>
      </c>
      <c r="S146" s="59">
        <f ca="1">AVERAGE(OFFSET($R$3,0,0,'Données projet'!$E$9+1,1))-AVERAGE(OFFSET($H$3,0,0,'Données projet'!$E$9+1,1))</f>
        <v>324.86930206492627</v>
      </c>
      <c r="T146" s="59">
        <f t="shared" si="142"/>
        <v>317.03005098025352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9.0787376568829217</v>
      </c>
      <c r="AA146" s="21">
        <f>EXP(-LN(2)/25)*AA145+(1-EXP(-LN(2)/25))/(LN(2)/25)*Calculateur!V146*Calculateur!X146*VLOOKUP('Données projet'!$B$9,Paramètres!$A$1:$I$89,3,0)*0.475*44/12</f>
        <v>1.5944502160868868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10.673187872969809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5.4092197387944907E-13</v>
      </c>
      <c r="AK146" s="13">
        <f t="shared" si="143"/>
        <v>6.6765148417791561E-12</v>
      </c>
      <c r="AL146" s="20">
        <f t="shared" si="112"/>
        <v>1.2570369120605403E-11</v>
      </c>
      <c r="AM146" s="59">
        <f t="shared" si="113"/>
        <v>293.33333333334588</v>
      </c>
      <c r="AN146" s="59">
        <f ca="1">AVERAGE(OFFSET($AM$3,0,0,'Données projet'!$E$10+1,1))-AVERAGE(OFFSET($H$3,0,0,'Données projet'!$E$10+1,1))</f>
        <v>401.81944956556271</v>
      </c>
      <c r="AO146" s="59">
        <f t="shared" si="144"/>
        <v>292.20785523952651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141.79197543742654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141.79197543742654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1.7053025658242404E-13</v>
      </c>
      <c r="BE146" s="13">
        <f>BD146*VLOOKUP('Données projet'!$B$11,Paramètres!$A$1:$I$89,3,0)*VLOOKUP('Données projet'!$B$11,Paramètres!$A$1:$I$89,5,0)</f>
        <v>1.3301360013429075E-13</v>
      </c>
      <c r="BF146" s="13">
        <f t="shared" si="145"/>
        <v>1.9329766731057041E-12</v>
      </c>
      <c r="BG146" s="20">
        <f t="shared" si="115"/>
        <v>3.5982663925596575E-12</v>
      </c>
      <c r="BH146" s="59">
        <f t="shared" si="116"/>
        <v>293.3333333333369</v>
      </c>
      <c r="BI146" s="59">
        <f ca="1">AVERAGE(OFFSET($BH$3,0,0,'Données projet'!$E$11+1,1))-AVERAGE(OFFSET($H$3,0,0,'Données projet'!$E$11+1,1))</f>
        <v>288.80569134263209</v>
      </c>
      <c r="BJ146" s="59">
        <f t="shared" si="146"/>
        <v>283.48738729114024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18.73861840843232</v>
      </c>
      <c r="BQ146" s="21">
        <f>EXP(-LN(2)/25)*BQ145+(1-EXP(-LN(2)/25))/(LN(2)/25)*Calculateur!BL146*Calculateur!BN146*VLOOKUP('Données projet'!$B$11,Paramètres!$A$1:$I$89,3,0)*0.475*44/12</f>
        <v>8.7658964684641081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27.50451487689643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212.00000000000009</v>
      </c>
      <c r="BZ146" s="13">
        <f>BY146*VLOOKUP('Données projet'!$B$12,Paramètres!$A$1:$I$89,3,0)*VLOOKUP('Données projet'!$B$12,Paramètres!$A$1:$I$89,5,0)</f>
        <v>221.58240000000012</v>
      </c>
      <c r="CA146" s="13">
        <f t="shared" si="147"/>
        <v>54.458668952651578</v>
      </c>
      <c r="CB146" s="20">
        <f t="shared" si="118"/>
        <v>480.77152842586838</v>
      </c>
      <c r="CC146" s="59">
        <f t="shared" si="119"/>
        <v>774.10486175920164</v>
      </c>
      <c r="CD146" s="59">
        <f ca="1">AVERAGE(OFFSET($CC$3,0,0,'Données projet'!$E$12+1,1))-AVERAGE(OFFSET($H$3,0,0,'Données projet'!$E$12+1,1))</f>
        <v>352.22281362023102</v>
      </c>
      <c r="CE146" s="59">
        <f t="shared" si="148"/>
        <v>310.2353747925161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7.6250382689797833</v>
      </c>
      <c r="CL146" s="21">
        <f>EXP(-LN(2)/25)*CL145+(1-EXP(-LN(2)/25))/(LN(2)/25)*Calculateur!CG146*Calculateur!CI146*VLOOKUP('Données projet'!$B$12,Paramètres!$A$1:$I$89,3,0)*0.475*44/12</f>
        <v>5.079764900650491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12.704803169630274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5.1063034188034209</v>
      </c>
      <c r="CT146" s="12">
        <f>IF('Données projet'!$A$140&gt;35,CT145+CS146-DB145,IF(A146&lt;'Données projet'!$A$140,$CQ$205^A146,IF(A146='Données projet'!$A$140,'Données projet'!$B$140,CT145+CS146-DB145)))</f>
        <v>272.54807692307651</v>
      </c>
      <c r="CU146" s="17">
        <f>CT146*VLOOKUP('Données projet'!$B$13,Paramètres!$A$1:$I$89,3,0)*VLOOKUP('Données projet'!$B$13,Paramètres!$A$1:$I$89,5,0)</f>
        <v>246.60149999999962</v>
      </c>
      <c r="CV146" s="13">
        <f t="shared" si="149"/>
        <v>59.857624528428133</v>
      </c>
      <c r="CW146" s="20">
        <f t="shared" si="121"/>
        <v>533.74964188701165</v>
      </c>
      <c r="CX146" s="59">
        <f t="shared" si="122"/>
        <v>827.08297522034491</v>
      </c>
      <c r="CY146" s="59">
        <f ca="1">AVERAGE(OFFSET($CX$3,0,0,'Données projet'!$E$13+1,1))-AVERAGE(OFFSET($H$3,0,0,'Données projet'!$E$13+1,1))</f>
        <v>345.49688858037996</v>
      </c>
      <c r="CZ146" s="59">
        <f t="shared" si="150"/>
        <v>213.15872113755023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43.537655949341875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43.537655949341875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5.1063034188034209</v>
      </c>
      <c r="DO146" s="12">
        <f>IF('Données projet'!$A$166&gt;35,DO145+DN146-DW145,IF(A146&lt;'Données projet'!$A$166,$DL$205^A146,IF(A146='Données projet'!$A$166,'Données projet'!$B$166,DO145+DN146-DW145)))</f>
        <v>272.54807692307651</v>
      </c>
      <c r="DP146" s="17">
        <f>DO146*VLOOKUP('Données projet'!$B$14,Paramètres!$A$1:$I$89,3,0)*VLOOKUP('Données projet'!$B$14,Paramètres!$A$1:$I$89,5,0)</f>
        <v>276.36374999999958</v>
      </c>
      <c r="DQ146" s="13">
        <f t="shared" si="151"/>
        <v>66.19798109408589</v>
      </c>
      <c r="DR146" s="20">
        <f t="shared" si="124"/>
        <v>596.6283483221988</v>
      </c>
      <c r="DS146" s="59">
        <f t="shared" si="125"/>
        <v>889.96168165553217</v>
      </c>
      <c r="DT146" s="59">
        <f ca="1">AVERAGE(OFFSET($DS$3,0,0,'Données projet'!$E$14+1,1))-AVERAGE(OFFSET($H$3,0,0,'Données projet'!$E$14+1,1))</f>
        <v>382.26108489744581</v>
      </c>
      <c r="DU146" s="59">
        <f t="shared" si="152"/>
        <v>233.89423996158826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48.792200632883159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48.792200632883159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-2.4158453015843406E-13</v>
      </c>
      <c r="EK146" s="17">
        <f>EJ146*VLOOKUP('Données projet'!$B$15,Paramètres!$A$1:$I$89,3,0)*VLOOKUP('Données projet'!$B$15,Paramètres!$A$1:$I$89,5,0)</f>
        <v>-2.0351080820546486E-13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312.48716825299158</v>
      </c>
      <c r="EP146" s="59">
        <f t="shared" si="154"/>
        <v>258.68277822755357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77.48147680469684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77.48147680469684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5.1063034188034209</v>
      </c>
      <c r="FE146" s="12">
        <f>IF('Données projet'!$A$218&gt;35,FE145+FD146-FM145,IF(A146&lt;'Données projet'!$A$218,$FB$205^A146,IF(A146='Données projet'!$A$218,'Données projet'!$B$218,FE145+FD146-FM145)))</f>
        <v>272.54807692307651</v>
      </c>
      <c r="FF146" s="17">
        <f>FE146*VLOOKUP('Données projet'!$B$16,Paramètres!$A$1:$I$89,3,0)*VLOOKUP('Données projet'!$B$16,Paramètres!$A$1:$I$89,5,0)</f>
        <v>293.37074999999953</v>
      </c>
      <c r="FG146" s="13">
        <f t="shared" si="155"/>
        <v>69.784915855494148</v>
      </c>
      <c r="FH146" s="20">
        <f t="shared" si="130"/>
        <v>632.49611803165146</v>
      </c>
      <c r="FI146" s="59">
        <f t="shared" si="131"/>
        <v>925.82945136498483</v>
      </c>
      <c r="FJ146" s="59">
        <f ca="1">AVERAGE(OFFSET($FI$3,0,0,'Données projet'!$E$16+1,1))-AVERAGE(OFFSET($H$3,0,0,'Données projet'!$E$16+1,1))</f>
        <v>403.23110963096246</v>
      </c>
      <c r="FK146" s="59">
        <f t="shared" si="156"/>
        <v>245.72000393124898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51.794797594906733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51.794797594906733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5.1063034188034209</v>
      </c>
      <c r="FZ146" s="12">
        <f>IF('Données projet'!$A$244&gt;35,FZ145+FY146-GH145,IF(A146&lt;'Données projet'!$A$244,$FW$205^A146,IF(A146='Données projet'!$A$244,'Données projet'!$B$244,FZ145+FY146-GH145)))</f>
        <v>272.54807692307651</v>
      </c>
      <c r="GA146" s="17">
        <f>FZ146*VLOOKUP('Données projet'!$B$17,Paramètres!$A$1:$I$89,3,0)*VLOOKUP('Données projet'!$B$17,Paramètres!$A$1:$I$89,5,0)</f>
        <v>263.60849999999965</v>
      </c>
      <c r="GB146" s="13">
        <f t="shared" si="157"/>
        <v>63.490946209531685</v>
      </c>
      <c r="GC146" s="20">
        <f t="shared" si="133"/>
        <v>569.69820214826711</v>
      </c>
      <c r="GD146" s="59">
        <f t="shared" si="134"/>
        <v>863.03153548160049</v>
      </c>
      <c r="GE146" s="59">
        <f ca="1">AVERAGE(OFFSET($GD$3,0,0,'Données projet'!$E$17+1,1))-AVERAGE(OFFSET($H$3,0,0,'Données projet'!$E$17+1,1))</f>
        <v>336.2911850338175</v>
      </c>
      <c r="GF146" s="59">
        <f t="shared" si="158"/>
        <v>225.01415116995503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46.540252911365478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46.540252911365478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5.1063034188034209</v>
      </c>
      <c r="GU146" s="12">
        <f>IF('Données projet'!$A$270&gt;35,GU145+GT146-HC145,IF(A146&lt;'Données projet'!$A$270,$GR$205^A146,IF(A146='Données projet'!$A$270,'Données projet'!$B$270,GU145+GT146-HC145)))</f>
        <v>272.54807692307651</v>
      </c>
      <c r="GV146" s="17">
        <f>GU146*VLOOKUP('Données projet'!$B$18,Paramètres!$A$1:$I$89,3,0)*VLOOKUP('Données projet'!$B$18,Paramètres!$A$1:$I$89,5,0)</f>
        <v>182.82524999999973</v>
      </c>
      <c r="GW146" s="13">
        <f t="shared" si="159"/>
        <v>45.950181372133819</v>
      </c>
      <c r="GX146" s="20">
        <f t="shared" si="136"/>
        <v>398.45054297313254</v>
      </c>
      <c r="GY146" s="59">
        <f t="shared" si="137"/>
        <v>691.7838763064658</v>
      </c>
      <c r="GZ146" s="59">
        <f ca="1">AVERAGE(OFFSET($GY$3,0,0,'Données projet'!$E$18+1,1))-AVERAGE(OFFSET($H$3,0,0,'Données projet'!$E$18+1,1))</f>
        <v>266.37807768393191</v>
      </c>
      <c r="HA146" s="59">
        <f t="shared" si="160"/>
        <v>168.52019826233425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39.784409746812422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138"/>
        <v>39.784409746812422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266.99999999999983</v>
      </c>
      <c r="O147" s="13">
        <f>N147*VLOOKUP('Données projet'!$B$9,Paramètres!$A$1:$I$89,3,0)*VLOOKUP('Données projet'!$B$9,Paramètres!$A$1:$I$89,5,0)</f>
        <v>233.2511999999999</v>
      </c>
      <c r="P147" s="13">
        <f t="shared" si="141"/>
        <v>56.985091661350864</v>
      </c>
      <c r="Q147" s="20">
        <f t="shared" si="108"/>
        <v>505.49487464351915</v>
      </c>
      <c r="R147" s="59">
        <f t="shared" si="109"/>
        <v>798.82820797685247</v>
      </c>
      <c r="S147" s="59">
        <f ca="1">AVERAGE(OFFSET($R$3,0,0,'Données projet'!$E$9+1,1))-AVERAGE(OFFSET($H$3,0,0,'Données projet'!$E$9+1,1))</f>
        <v>324.86930206492627</v>
      </c>
      <c r="T147" s="59">
        <f t="shared" si="142"/>
        <v>317.03005098025352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8.9007091489146379</v>
      </c>
      <c r="AA147" s="21">
        <f>EXP(-LN(2)/25)*AA146+(1-EXP(-LN(2)/25))/(LN(2)/25)*Calculateur!V147*Calculateur!X147*VLOOKUP('Données projet'!$B$9,Paramètres!$A$1:$I$89,3,0)*0.475*44/12</f>
        <v>1.5508498910794981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10.451559039994136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5.4092197387944907E-13</v>
      </c>
      <c r="AK147" s="13">
        <f t="shared" si="143"/>
        <v>6.6765148417791561E-12</v>
      </c>
      <c r="AL147" s="20">
        <f t="shared" si="112"/>
        <v>1.2570369120605403E-11</v>
      </c>
      <c r="AM147" s="59">
        <f t="shared" si="113"/>
        <v>293.33333333334588</v>
      </c>
      <c r="AN147" s="59">
        <f ca="1">AVERAGE(OFFSET($AM$3,0,0,'Données projet'!$E$10+1,1))-AVERAGE(OFFSET($H$3,0,0,'Données projet'!$E$10+1,1))</f>
        <v>401.81944956556271</v>
      </c>
      <c r="AO147" s="59">
        <f t="shared" si="144"/>
        <v>292.20785523952651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139.011521283664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139.011521283664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1.7053025658242404E-13</v>
      </c>
      <c r="BE147" s="13">
        <f>BD147*VLOOKUP('Données projet'!$B$11,Paramètres!$A$1:$I$89,3,0)*VLOOKUP('Données projet'!$B$11,Paramètres!$A$1:$I$89,5,0)</f>
        <v>1.3301360013429075E-13</v>
      </c>
      <c r="BF147" s="13">
        <f t="shared" si="145"/>
        <v>1.9329766731057041E-12</v>
      </c>
      <c r="BG147" s="20">
        <f t="shared" si="115"/>
        <v>3.5982663925596575E-12</v>
      </c>
      <c r="BH147" s="59">
        <f t="shared" si="116"/>
        <v>293.3333333333369</v>
      </c>
      <c r="BI147" s="59">
        <f ca="1">AVERAGE(OFFSET($BH$3,0,0,'Données projet'!$E$11+1,1))-AVERAGE(OFFSET($H$3,0,0,'Données projet'!$E$11+1,1))</f>
        <v>288.80569134263209</v>
      </c>
      <c r="BJ147" s="59">
        <f t="shared" si="146"/>
        <v>283.48738729114024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18.371165530871629</v>
      </c>
      <c r="BQ147" s="21">
        <f>EXP(-LN(2)/25)*BQ146+(1-EXP(-LN(2)/25))/(LN(2)/25)*Calculateur!BL147*Calculateur!BN147*VLOOKUP('Données projet'!$B$11,Paramètres!$A$1:$I$89,3,0)*0.475*44/12</f>
        <v>8.526192568555496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26.897358099427123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212.00000000000009</v>
      </c>
      <c r="BZ147" s="13">
        <f>BY147*VLOOKUP('Données projet'!$B$12,Paramètres!$A$1:$I$89,3,0)*VLOOKUP('Données projet'!$B$12,Paramètres!$A$1:$I$89,5,0)</f>
        <v>221.58240000000012</v>
      </c>
      <c r="CA147" s="13">
        <f t="shared" si="147"/>
        <v>54.458668952651578</v>
      </c>
      <c r="CB147" s="20">
        <f t="shared" si="118"/>
        <v>480.77152842586838</v>
      </c>
      <c r="CC147" s="59">
        <f t="shared" si="119"/>
        <v>774.10486175920164</v>
      </c>
      <c r="CD147" s="59">
        <f ca="1">AVERAGE(OFFSET($CC$3,0,0,'Données projet'!$E$12+1,1))-AVERAGE(OFFSET($H$3,0,0,'Données projet'!$E$12+1,1))</f>
        <v>352.22281362023102</v>
      </c>
      <c r="CE147" s="59">
        <f t="shared" si="148"/>
        <v>310.2353747925161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7.4755159193392045</v>
      </c>
      <c r="CL147" s="21">
        <f>EXP(-LN(2)/25)*CL146+(1-EXP(-LN(2)/25))/(LN(2)/25)*Calculateur!CG147*Calculateur!CI147*VLOOKUP('Données projet'!$B$12,Paramètres!$A$1:$I$89,3,0)*0.475*44/12</f>
        <v>4.9408584623089773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12.416374381648183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5.1063034188034209</v>
      </c>
      <c r="CT147" s="12">
        <f>IF('Données projet'!$A$140&gt;35,CT146+CS147-DB146,IF(A147&lt;'Données projet'!$A$140,$CQ$205^A147,IF(A147='Données projet'!$A$140,'Données projet'!$B$140,CT146+CS147-DB146)))</f>
        <v>277.65438034187991</v>
      </c>
      <c r="CU147" s="17">
        <f>CT147*VLOOKUP('Données projet'!$B$13,Paramètres!$A$1:$I$89,3,0)*VLOOKUP('Données projet'!$B$13,Paramètres!$A$1:$I$89,5,0)</f>
        <v>251.22168333333292</v>
      </c>
      <c r="CV147" s="13">
        <f t="shared" si="149"/>
        <v>60.847471683449903</v>
      </c>
      <c r="CW147" s="20">
        <f t="shared" si="121"/>
        <v>543.52044498756334</v>
      </c>
      <c r="CX147" s="59">
        <f t="shared" si="122"/>
        <v>836.85377832089671</v>
      </c>
      <c r="CY147" s="59">
        <f ca="1">AVERAGE(OFFSET($CX$3,0,0,'Données projet'!$E$13+1,1))-AVERAGE(OFFSET($H$3,0,0,'Données projet'!$E$13+1,1))</f>
        <v>345.49688858037996</v>
      </c>
      <c r="CZ147" s="59">
        <f t="shared" si="150"/>
        <v>213.15872113755023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42.683909071523289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42.683909071523289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5.1063034188034209</v>
      </c>
      <c r="DO147" s="12">
        <f>IF('Données projet'!$A$166&gt;35,DO146+DN147-DW146,IF(A147&lt;'Données projet'!$A$166,$DL$205^A147,IF(A147='Données projet'!$A$166,'Données projet'!$B$166,DO146+DN147-DW146)))</f>
        <v>277.65438034187991</v>
      </c>
      <c r="DP147" s="17">
        <f>DO147*VLOOKUP('Données projet'!$B$14,Paramètres!$A$1:$I$89,3,0)*VLOOKUP('Données projet'!$B$14,Paramètres!$A$1:$I$89,5,0)</f>
        <v>281.54154166666626</v>
      </c>
      <c r="DQ147" s="13">
        <f t="shared" si="151"/>
        <v>67.292676778560462</v>
      </c>
      <c r="DR147" s="20">
        <f t="shared" si="124"/>
        <v>607.55293045876988</v>
      </c>
      <c r="DS147" s="59">
        <f t="shared" si="125"/>
        <v>900.88626379210314</v>
      </c>
      <c r="DT147" s="59">
        <f ca="1">AVERAGE(OFFSET($DS$3,0,0,'Données projet'!$E$14+1,1))-AVERAGE(OFFSET($H$3,0,0,'Données projet'!$E$14+1,1))</f>
        <v>382.26108489744581</v>
      </c>
      <c r="DU147" s="59">
        <f t="shared" si="152"/>
        <v>233.89423996158826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47.835415338776123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47.835415338776123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-2.4158453015843406E-13</v>
      </c>
      <c r="EK147" s="17">
        <f>EJ147*VLOOKUP('Données projet'!$B$15,Paramètres!$A$1:$I$89,3,0)*VLOOKUP('Données projet'!$B$15,Paramètres!$A$1:$I$89,5,0)</f>
        <v>-2.0351080820546486E-13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312.48716825299158</v>
      </c>
      <c r="EP147" s="59">
        <f t="shared" si="154"/>
        <v>258.68277822755357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75.962112303591141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75.962112303591141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5.1063034188034209</v>
      </c>
      <c r="FE147" s="12">
        <f>IF('Données projet'!$A$218&gt;35,FE146+FD147-FM146,IF(A147&lt;'Données projet'!$A$218,$FB$205^A147,IF(A147='Données projet'!$A$218,'Données projet'!$B$218,FE146+FD147-FM146)))</f>
        <v>277.65438034187991</v>
      </c>
      <c r="FF147" s="17">
        <f>FE147*VLOOKUP('Données projet'!$B$16,Paramètres!$A$1:$I$89,3,0)*VLOOKUP('Données projet'!$B$16,Paramètres!$A$1:$I$89,5,0)</f>
        <v>298.86717499999952</v>
      </c>
      <c r="FG147" s="13">
        <f t="shared" si="155"/>
        <v>70.938927578598737</v>
      </c>
      <c r="FH147" s="20">
        <f t="shared" si="130"/>
        <v>644.07896199105858</v>
      </c>
      <c r="FI147" s="59">
        <f t="shared" si="131"/>
        <v>937.41229532439183</v>
      </c>
      <c r="FJ147" s="59">
        <f ca="1">AVERAGE(OFFSET($FI$3,0,0,'Données projet'!$E$16+1,1))-AVERAGE(OFFSET($H$3,0,0,'Données projet'!$E$16+1,1))</f>
        <v>403.23110963096246</v>
      </c>
      <c r="FK147" s="59">
        <f t="shared" si="156"/>
        <v>245.72000393124898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50.779133205777725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50.779133205777725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5.1063034188034209</v>
      </c>
      <c r="FZ147" s="12">
        <f>IF('Données projet'!$A$244&gt;35,FZ146+FY147-GH146,IF(A147&lt;'Données projet'!$A$244,$FW$205^A147,IF(A147='Données projet'!$A$244,'Données projet'!$B$244,FZ146+FY147-GH146)))</f>
        <v>277.65438034187991</v>
      </c>
      <c r="GA147" s="17">
        <f>FZ147*VLOOKUP('Données projet'!$B$17,Paramètres!$A$1:$I$89,3,0)*VLOOKUP('Données projet'!$B$17,Paramètres!$A$1:$I$89,5,0)</f>
        <v>268.54731666666623</v>
      </c>
      <c r="GB147" s="13">
        <f t="shared" si="157"/>
        <v>64.540876489429408</v>
      </c>
      <c r="GC147" s="20">
        <f t="shared" si="133"/>
        <v>580.12860308019992</v>
      </c>
      <c r="GD147" s="59">
        <f t="shared" si="134"/>
        <v>873.46193641353329</v>
      </c>
      <c r="GE147" s="59">
        <f ca="1">AVERAGE(OFFSET($GD$3,0,0,'Données projet'!$E$17+1,1))-AVERAGE(OFFSET($H$3,0,0,'Données projet'!$E$17+1,1))</f>
        <v>336.2911850338175</v>
      </c>
      <c r="GF147" s="59">
        <f t="shared" si="158"/>
        <v>225.01415116995503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45.627626938524919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45.627626938524919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5.1063034188034209</v>
      </c>
      <c r="GU147" s="12">
        <f>IF('Données projet'!$A$270&gt;35,GU146+GT147-HC146,IF(A147&lt;'Données projet'!$A$270,$GR$205^A147,IF(A147='Données projet'!$A$270,'Données projet'!$B$270,GU146+GT147-HC146)))</f>
        <v>277.65438034187991</v>
      </c>
      <c r="GV147" s="17">
        <f>GU147*VLOOKUP('Données projet'!$B$18,Paramètres!$A$1:$I$89,3,0)*VLOOKUP('Données projet'!$B$18,Paramètres!$A$1:$I$89,5,0)</f>
        <v>186.25055833333306</v>
      </c>
      <c r="GW147" s="13">
        <f t="shared" si="159"/>
        <v>46.710045410546201</v>
      </c>
      <c r="GX147" s="20">
        <f t="shared" si="136"/>
        <v>405.73971818725636</v>
      </c>
      <c r="GY147" s="59">
        <f t="shared" si="137"/>
        <v>699.07305152058962</v>
      </c>
      <c r="GZ147" s="59">
        <f ca="1">AVERAGE(OFFSET($GY$3,0,0,'Données projet'!$E$18+1,1))-AVERAGE(OFFSET($H$3,0,0,'Données projet'!$E$18+1,1))</f>
        <v>266.37807768393191</v>
      </c>
      <c r="HA147" s="59">
        <f t="shared" si="160"/>
        <v>168.52019826233425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39.004261737771301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138"/>
        <v>39.004261737771301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266.99999999999983</v>
      </c>
      <c r="O148" s="13">
        <f>N148*VLOOKUP('Données projet'!$B$9,Paramètres!$A$1:$I$89,3,0)*VLOOKUP('Données projet'!$B$9,Paramètres!$A$1:$I$89,5,0)</f>
        <v>233.2511999999999</v>
      </c>
      <c r="P148" s="13">
        <f t="shared" si="141"/>
        <v>56.985091661350864</v>
      </c>
      <c r="Q148" s="20">
        <f t="shared" si="108"/>
        <v>505.49487464351915</v>
      </c>
      <c r="R148" s="59">
        <f t="shared" si="109"/>
        <v>798.82820797685247</v>
      </c>
      <c r="S148" s="59">
        <f ca="1">AVERAGE(OFFSET($R$3,0,0,'Données projet'!$E$9+1,1))-AVERAGE(OFFSET($H$3,0,0,'Données projet'!$E$9+1,1))</f>
        <v>324.86930206492627</v>
      </c>
      <c r="T148" s="59">
        <f t="shared" si="142"/>
        <v>317.03005098025352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8.7261716714009445</v>
      </c>
      <c r="AA148" s="21">
        <f>EXP(-LN(2)/25)*AA147+(1-EXP(-LN(2)/25))/(LN(2)/25)*Calculateur!V148*Calculateur!X148*VLOOKUP('Données projet'!$B$9,Paramètres!$A$1:$I$89,3,0)*0.475*44/12</f>
        <v>1.5084418192522779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10.234613490653222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5.4092197387944907E-13</v>
      </c>
      <c r="AK148" s="13">
        <f t="shared" si="143"/>
        <v>6.6765148417791561E-12</v>
      </c>
      <c r="AL148" s="20">
        <f t="shared" si="112"/>
        <v>1.2570369120605403E-11</v>
      </c>
      <c r="AM148" s="59">
        <f t="shared" si="113"/>
        <v>293.33333333334588</v>
      </c>
      <c r="AN148" s="59">
        <f ca="1">AVERAGE(OFFSET($AM$3,0,0,'Données projet'!$E$10+1,1))-AVERAGE(OFFSET($H$3,0,0,'Données projet'!$E$10+1,1))</f>
        <v>401.81944956556271</v>
      </c>
      <c r="AO148" s="59">
        <f t="shared" si="144"/>
        <v>292.20785523952651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136.28559013994715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136.28559013994715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1.7053025658242404E-13</v>
      </c>
      <c r="BE148" s="13">
        <f>BD148*VLOOKUP('Données projet'!$B$11,Paramètres!$A$1:$I$89,3,0)*VLOOKUP('Données projet'!$B$11,Paramètres!$A$1:$I$89,5,0)</f>
        <v>1.3301360013429075E-13</v>
      </c>
      <c r="BF148" s="13">
        <f t="shared" si="145"/>
        <v>1.9329766731057041E-12</v>
      </c>
      <c r="BG148" s="20">
        <f t="shared" si="115"/>
        <v>3.5982663925596575E-12</v>
      </c>
      <c r="BH148" s="59">
        <f t="shared" si="116"/>
        <v>293.3333333333369</v>
      </c>
      <c r="BI148" s="59">
        <f ca="1">AVERAGE(OFFSET($BH$3,0,0,'Données projet'!$E$11+1,1))-AVERAGE(OFFSET($H$3,0,0,'Données projet'!$E$11+1,1))</f>
        <v>288.80569134263209</v>
      </c>
      <c r="BJ148" s="59">
        <f t="shared" si="146"/>
        <v>283.48738729114024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18.010918180115777</v>
      </c>
      <c r="BQ148" s="21">
        <f>EXP(-LN(2)/25)*BQ147+(1-EXP(-LN(2)/25))/(LN(2)/25)*Calculateur!BL148*Calculateur!BN148*VLOOKUP('Données projet'!$B$11,Paramètres!$A$1:$I$89,3,0)*0.475*44/12</f>
        <v>8.2930433843953661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26.303961564511141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212.00000000000009</v>
      </c>
      <c r="BZ148" s="13">
        <f>BY148*VLOOKUP('Données projet'!$B$12,Paramètres!$A$1:$I$89,3,0)*VLOOKUP('Données projet'!$B$12,Paramètres!$A$1:$I$89,5,0)</f>
        <v>221.58240000000012</v>
      </c>
      <c r="CA148" s="13">
        <f t="shared" si="147"/>
        <v>54.458668952651578</v>
      </c>
      <c r="CB148" s="20">
        <f t="shared" si="118"/>
        <v>480.77152842586838</v>
      </c>
      <c r="CC148" s="59">
        <f t="shared" si="119"/>
        <v>774.10486175920164</v>
      </c>
      <c r="CD148" s="59">
        <f ca="1">AVERAGE(OFFSET($CC$3,0,0,'Données projet'!$E$12+1,1))-AVERAGE(OFFSET($H$3,0,0,'Données projet'!$E$12+1,1))</f>
        <v>352.22281362023102</v>
      </c>
      <c r="CE148" s="59">
        <f t="shared" si="148"/>
        <v>310.2353747925161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7.3289256117754489</v>
      </c>
      <c r="CL148" s="21">
        <f>EXP(-LN(2)/25)*CL147+(1-EXP(-LN(2)/25))/(LN(2)/25)*Calculateur!CG148*Calculateur!CI148*VLOOKUP('Données projet'!$B$12,Paramètres!$A$1:$I$89,3,0)*0.475*44/12</f>
        <v>4.8057504278286842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12.134676039604134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5.1063034188034209</v>
      </c>
      <c r="CT148" s="12">
        <f>IF('Données projet'!$A$140&gt;35,CT147+CS148-DB147,IF(A148&lt;'Données projet'!$A$140,$CQ$205^A148,IF(A148='Données projet'!$A$140,'Données projet'!$B$140,CT147+CS148-DB147)))</f>
        <v>282.76068376068332</v>
      </c>
      <c r="CU148" s="17">
        <f>CT148*VLOOKUP('Données projet'!$B$13,Paramètres!$A$1:$I$89,3,0)*VLOOKUP('Données projet'!$B$13,Paramètres!$A$1:$I$89,5,0)</f>
        <v>255.84186666666628</v>
      </c>
      <c r="CV148" s="13">
        <f t="shared" si="149"/>
        <v>61.83520201654526</v>
      </c>
      <c r="CW148" s="20">
        <f t="shared" si="121"/>
        <v>553.28756128992666</v>
      </c>
      <c r="CX148" s="59">
        <f t="shared" si="122"/>
        <v>846.62089462326003</v>
      </c>
      <c r="CY148" s="59">
        <f ca="1">AVERAGE(OFFSET($CX$3,0,0,'Données projet'!$E$13+1,1))-AVERAGE(OFFSET($H$3,0,0,'Données projet'!$E$13+1,1))</f>
        <v>345.49688858037996</v>
      </c>
      <c r="CZ148" s="59">
        <f t="shared" si="150"/>
        <v>213.15872113755023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41.846903649244545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41.846903649244545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5.1063034188034209</v>
      </c>
      <c r="DO148" s="12">
        <f>IF('Données projet'!$A$166&gt;35,DO147+DN148-DW147,IF(A148&lt;'Données projet'!$A$166,$DL$205^A148,IF(A148='Données projet'!$A$166,'Données projet'!$B$166,DO147+DN148-DW147)))</f>
        <v>282.76068376068332</v>
      </c>
      <c r="DP148" s="17">
        <f>DO148*VLOOKUP('Données projet'!$B$14,Paramètres!$A$1:$I$89,3,0)*VLOOKUP('Données projet'!$B$14,Paramètres!$A$1:$I$89,5,0)</f>
        <v>286.71933333333288</v>
      </c>
      <c r="DQ148" s="13">
        <f t="shared" si="151"/>
        <v>68.38503141894958</v>
      </c>
      <c r="DR148" s="20">
        <f t="shared" si="124"/>
        <v>618.47343527689191</v>
      </c>
      <c r="DS148" s="59">
        <f t="shared" si="125"/>
        <v>911.80676861022516</v>
      </c>
      <c r="DT148" s="59">
        <f ca="1">AVERAGE(OFFSET($DS$3,0,0,'Données projet'!$E$14+1,1))-AVERAGE(OFFSET($H$3,0,0,'Données projet'!$E$14+1,1))</f>
        <v>382.26108489744581</v>
      </c>
      <c r="DU148" s="59">
        <f t="shared" si="152"/>
        <v>233.89423996158826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46.897392020705119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46.897392020705119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-2.4158453015843406E-13</v>
      </c>
      <c r="EK148" s="17">
        <f>EJ148*VLOOKUP('Données projet'!$B$15,Paramètres!$A$1:$I$89,3,0)*VLOOKUP('Données projet'!$B$15,Paramètres!$A$1:$I$89,5,0)</f>
        <v>-2.0351080820546486E-13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312.48716825299158</v>
      </c>
      <c r="EP148" s="59">
        <f t="shared" si="154"/>
        <v>258.68277822755357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74.472541613631293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74.472541613631293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5.1063034188034209</v>
      </c>
      <c r="FE148" s="12">
        <f>IF('Données projet'!$A$218&gt;35,FE147+FD148-FM147,IF(A148&lt;'Données projet'!$A$218,$FB$205^A148,IF(A148='Données projet'!$A$218,'Données projet'!$B$218,FE147+FD148-FM147)))</f>
        <v>282.76068376068332</v>
      </c>
      <c r="FF148" s="17">
        <f>FE148*VLOOKUP('Données projet'!$B$16,Paramètres!$A$1:$I$89,3,0)*VLOOKUP('Données projet'!$B$16,Paramètres!$A$1:$I$89,5,0)</f>
        <v>304.36359999999951</v>
      </c>
      <c r="FG148" s="13">
        <f t="shared" si="155"/>
        <v>72.090471408244667</v>
      </c>
      <c r="FH148" s="20">
        <f t="shared" si="130"/>
        <v>655.65750770269199</v>
      </c>
      <c r="FI148" s="59">
        <f t="shared" si="131"/>
        <v>948.99084103602536</v>
      </c>
      <c r="FJ148" s="59">
        <f ca="1">AVERAGE(OFFSET($FI$3,0,0,'Données projet'!$E$16+1,1))-AVERAGE(OFFSET($H$3,0,0,'Données projet'!$E$16+1,1))</f>
        <v>403.23110963096246</v>
      </c>
      <c r="FK148" s="59">
        <f t="shared" si="156"/>
        <v>245.72000393124898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49.783385375825425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49.783385375825425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5.1063034188034209</v>
      </c>
      <c r="FZ148" s="12">
        <f>IF('Données projet'!$A$244&gt;35,FZ147+FY148-GH147,IF(A148&lt;'Données projet'!$A$244,$FW$205^A148,IF(A148='Données projet'!$A$244,'Données projet'!$B$244,FZ147+FY148-GH147)))</f>
        <v>282.76068376068332</v>
      </c>
      <c r="GA148" s="17">
        <f>FZ148*VLOOKUP('Données projet'!$B$17,Paramètres!$A$1:$I$89,3,0)*VLOOKUP('Données projet'!$B$17,Paramètres!$A$1:$I$89,5,0)</f>
        <v>273.48613333333293</v>
      </c>
      <c r="GB148" s="13">
        <f t="shared" si="157"/>
        <v>65.58856145758736</v>
      </c>
      <c r="GC148" s="20">
        <f t="shared" si="133"/>
        <v>590.55509342751941</v>
      </c>
      <c r="GD148" s="59">
        <f t="shared" si="134"/>
        <v>883.88842676085278</v>
      </c>
      <c r="GE148" s="59">
        <f ca="1">AVERAGE(OFFSET($GD$3,0,0,'Données projet'!$E$17+1,1))-AVERAGE(OFFSET($H$3,0,0,'Données projet'!$E$17+1,1))</f>
        <v>336.2911850338175</v>
      </c>
      <c r="GF148" s="59">
        <f t="shared" si="158"/>
        <v>225.01415116995503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44.732897004364887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44.732897004364887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5.1063034188034209</v>
      </c>
      <c r="GU148" s="12">
        <f>IF('Données projet'!$A$270&gt;35,GU147+GT148-HC147,IF(A148&lt;'Données projet'!$A$270,$GR$205^A148,IF(A148='Données projet'!$A$270,'Données projet'!$B$270,GU147+GT148-HC147)))</f>
        <v>282.76068376068332</v>
      </c>
      <c r="GV148" s="17">
        <f>GU148*VLOOKUP('Données projet'!$B$18,Paramètres!$A$1:$I$89,3,0)*VLOOKUP('Données projet'!$B$18,Paramètres!$A$1:$I$89,5,0)</f>
        <v>189.67586666666639</v>
      </c>
      <c r="GW148" s="13">
        <f t="shared" si="159"/>
        <v>47.468284453776732</v>
      </c>
      <c r="GX148" s="20">
        <f t="shared" si="136"/>
        <v>413.02606320143849</v>
      </c>
      <c r="GY148" s="59">
        <f t="shared" si="137"/>
        <v>706.3593965347718</v>
      </c>
      <c r="GZ148" s="59">
        <f ca="1">AVERAGE(OFFSET($GY$3,0,0,'Données projet'!$E$18+1,1))-AVERAGE(OFFSET($H$3,0,0,'Données projet'!$E$18+1,1))</f>
        <v>266.37807768393191</v>
      </c>
      <c r="HA148" s="59">
        <f t="shared" si="160"/>
        <v>168.52019826233425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38.239411955344174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138"/>
        <v>38.239411955344174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266.99999999999983</v>
      </c>
      <c r="O149" s="13">
        <f>N149*VLOOKUP('Données projet'!$B$9,Paramètres!$A$1:$I$89,3,0)*VLOOKUP('Données projet'!$B$9,Paramètres!$A$1:$I$89,5,0)</f>
        <v>233.2511999999999</v>
      </c>
      <c r="P149" s="13">
        <f t="shared" si="141"/>
        <v>56.985091661350864</v>
      </c>
      <c r="Q149" s="20">
        <f t="shared" si="108"/>
        <v>505.49487464351915</v>
      </c>
      <c r="R149" s="59">
        <f t="shared" si="109"/>
        <v>798.82820797685247</v>
      </c>
      <c r="S149" s="59">
        <f ca="1">AVERAGE(OFFSET($R$3,0,0,'Données projet'!$E$9+1,1))-AVERAGE(OFFSET($H$3,0,0,'Données projet'!$E$9+1,1))</f>
        <v>324.86930206492627</v>
      </c>
      <c r="T149" s="59">
        <f t="shared" si="142"/>
        <v>317.03005098025352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8.5550567673639435</v>
      </c>
      <c r="AA149" s="21">
        <f>EXP(-LN(2)/25)*AA148+(1-EXP(-LN(2)/25))/(LN(2)/25)*Calculateur!V149*Calculateur!X149*VLOOKUP('Données projet'!$B$9,Paramètres!$A$1:$I$89,3,0)*0.475*44/12</f>
        <v>1.4671933983793166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10.022250165743261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5.4092197387944907E-13</v>
      </c>
      <c r="AK149" s="13">
        <f t="shared" si="143"/>
        <v>6.6765148417791561E-12</v>
      </c>
      <c r="AL149" s="20">
        <f t="shared" si="112"/>
        <v>1.2570369120605403E-11</v>
      </c>
      <c r="AM149" s="59">
        <f t="shared" si="113"/>
        <v>293.33333333334588</v>
      </c>
      <c r="AN149" s="59">
        <f ca="1">AVERAGE(OFFSET($AM$3,0,0,'Données projet'!$E$10+1,1))-AVERAGE(OFFSET($H$3,0,0,'Données projet'!$E$10+1,1))</f>
        <v>401.81944956556271</v>
      </c>
      <c r="AO149" s="59">
        <f t="shared" si="144"/>
        <v>292.20785523952651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133.61311284330475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133.61311284330475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1.7053025658242404E-13</v>
      </c>
      <c r="BE149" s="13">
        <f>BD149*VLOOKUP('Données projet'!$B$11,Paramètres!$A$1:$I$89,3,0)*VLOOKUP('Données projet'!$B$11,Paramètres!$A$1:$I$89,5,0)</f>
        <v>1.3301360013429075E-13</v>
      </c>
      <c r="BF149" s="13">
        <f t="shared" si="145"/>
        <v>1.9329766731057041E-12</v>
      </c>
      <c r="BG149" s="20">
        <f t="shared" si="115"/>
        <v>3.5982663925596575E-12</v>
      </c>
      <c r="BH149" s="59">
        <f t="shared" si="116"/>
        <v>293.3333333333369</v>
      </c>
      <c r="BI149" s="59">
        <f ca="1">AVERAGE(OFFSET($BH$3,0,0,'Données projet'!$E$11+1,1))-AVERAGE(OFFSET($H$3,0,0,'Données projet'!$E$11+1,1))</f>
        <v>288.80569134263209</v>
      </c>
      <c r="BJ149" s="59">
        <f t="shared" si="146"/>
        <v>283.48738729114024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17.657735060179061</v>
      </c>
      <c r="BQ149" s="21">
        <f>EXP(-LN(2)/25)*BQ148+(1-EXP(-LN(2)/25))/(LN(2)/25)*Calculateur!BL149*Calculateur!BN149*VLOOKUP('Données projet'!$B$11,Paramètres!$A$1:$I$89,3,0)*0.475*44/12</f>
        <v>8.0662696769368765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25.724004737115937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212.00000000000009</v>
      </c>
      <c r="BZ149" s="13">
        <f>BY149*VLOOKUP('Données projet'!$B$12,Paramètres!$A$1:$I$89,3,0)*VLOOKUP('Données projet'!$B$12,Paramètres!$A$1:$I$89,5,0)</f>
        <v>221.58240000000012</v>
      </c>
      <c r="CA149" s="13">
        <f t="shared" si="147"/>
        <v>54.458668952651578</v>
      </c>
      <c r="CB149" s="20">
        <f t="shared" si="118"/>
        <v>480.77152842586838</v>
      </c>
      <c r="CC149" s="59">
        <f t="shared" si="119"/>
        <v>774.10486175920164</v>
      </c>
      <c r="CD149" s="59">
        <f ca="1">AVERAGE(OFFSET($CC$3,0,0,'Données projet'!$E$12+1,1))-AVERAGE(OFFSET($H$3,0,0,'Données projet'!$E$12+1,1))</f>
        <v>352.22281362023102</v>
      </c>
      <c r="CE149" s="59">
        <f t="shared" si="148"/>
        <v>310.2353747925161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7.1852098507317592</v>
      </c>
      <c r="CL149" s="21">
        <f>EXP(-LN(2)/25)*CL148+(1-EXP(-LN(2)/25))/(LN(2)/25)*Calculateur!CG149*Calculateur!CI149*VLOOKUP('Données projet'!$B$12,Paramètres!$A$1:$I$89,3,0)*0.475*44/12</f>
        <v>4.6743369296562776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11.859546780388037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5.1063034188034209</v>
      </c>
      <c r="CT149" s="12">
        <f>IF('Données projet'!$A$140&gt;35,CT148+CS149-DB148,IF(A149&lt;'Données projet'!$A$140,$CQ$205^A149,IF(A149='Données projet'!$A$140,'Données projet'!$B$140,CT148+CS149-DB148)))</f>
        <v>287.86698717948673</v>
      </c>
      <c r="CU149" s="17">
        <f>CT149*VLOOKUP('Données projet'!$B$13,Paramètres!$A$1:$I$89,3,0)*VLOOKUP('Données projet'!$B$13,Paramètres!$A$1:$I$89,5,0)</f>
        <v>260.46204999999958</v>
      </c>
      <c r="CV149" s="13">
        <f t="shared" si="149"/>
        <v>62.820858164354384</v>
      </c>
      <c r="CW149" s="20">
        <f t="shared" si="121"/>
        <v>563.05106505291644</v>
      </c>
      <c r="CX149" s="59">
        <f t="shared" si="122"/>
        <v>856.38439838624981</v>
      </c>
      <c r="CY149" s="59">
        <f ca="1">AVERAGE(OFFSET($CX$3,0,0,'Données projet'!$E$13+1,1))-AVERAGE(OFFSET($H$3,0,0,'Données projet'!$E$13+1,1))</f>
        <v>345.49688858037996</v>
      </c>
      <c r="CZ149" s="59">
        <f t="shared" si="150"/>
        <v>213.15872113755023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41.026311392773792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41.026311392773792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5.1063034188034209</v>
      </c>
      <c r="DO149" s="12">
        <f>IF('Données projet'!$A$166&gt;35,DO148+DN149-DW148,IF(A149&lt;'Données projet'!$A$166,$DL$205^A149,IF(A149='Données projet'!$A$166,'Données projet'!$B$166,DO148+DN149-DW148)))</f>
        <v>287.86698717948673</v>
      </c>
      <c r="DP149" s="17">
        <f>DO149*VLOOKUP('Données projet'!$B$14,Paramètres!$A$1:$I$89,3,0)*VLOOKUP('Données projet'!$B$14,Paramètres!$A$1:$I$89,5,0)</f>
        <v>291.89712499999956</v>
      </c>
      <c r="DQ149" s="13">
        <f t="shared" si="151"/>
        <v>69.47509216813539</v>
      </c>
      <c r="DR149" s="20">
        <f t="shared" si="124"/>
        <v>629.38994490116841</v>
      </c>
      <c r="DS149" s="59">
        <f t="shared" si="125"/>
        <v>922.72327823450178</v>
      </c>
      <c r="DT149" s="59">
        <f ca="1">AVERAGE(OFFSET($DS$3,0,0,'Données projet'!$E$14+1,1))-AVERAGE(OFFSET($H$3,0,0,'Données projet'!$E$14+1,1))</f>
        <v>382.26108489744581</v>
      </c>
      <c r="DU149" s="59">
        <f t="shared" si="152"/>
        <v>233.89423996158826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45.977762767763757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45.977762767763757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-2.4158453015843406E-13</v>
      </c>
      <c r="EK149" s="17">
        <f>EJ149*VLOOKUP('Données projet'!$B$15,Paramètres!$A$1:$I$89,3,0)*VLOOKUP('Données projet'!$B$15,Paramètres!$A$1:$I$89,5,0)</f>
        <v>-2.0351080820546486E-13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312.48716825299158</v>
      </c>
      <c r="EP149" s="59">
        <f t="shared" si="154"/>
        <v>258.68277822755357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73.012180496353139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73.012180496353139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5.1063034188034209</v>
      </c>
      <c r="FE149" s="12">
        <f>IF('Données projet'!$A$218&gt;35,FE148+FD149-FM148,IF(A149&lt;'Données projet'!$A$218,$FB$205^A149,IF(A149='Données projet'!$A$218,'Données projet'!$B$218,FE148+FD149-FM148)))</f>
        <v>287.86698717948673</v>
      </c>
      <c r="FF149" s="17">
        <f>FE149*VLOOKUP('Données projet'!$B$16,Paramètres!$A$1:$I$89,3,0)*VLOOKUP('Données projet'!$B$16,Paramètres!$A$1:$I$89,5,0)</f>
        <v>309.8600249999995</v>
      </c>
      <c r="FG149" s="13">
        <f t="shared" si="155"/>
        <v>73.239597052291018</v>
      </c>
      <c r="FH149" s="20">
        <f t="shared" si="130"/>
        <v>667.23184174107257</v>
      </c>
      <c r="FI149" s="59">
        <f t="shared" si="131"/>
        <v>960.56517507440594</v>
      </c>
      <c r="FJ149" s="59">
        <f ca="1">AVERAGE(OFFSET($FI$3,0,0,'Données projet'!$E$16+1,1))-AVERAGE(OFFSET($H$3,0,0,'Données projet'!$E$16+1,1))</f>
        <v>403.23110963096246</v>
      </c>
      <c r="FK149" s="59">
        <f t="shared" si="156"/>
        <v>245.72000393124898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48.807163553472286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48.807163553472286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5.1063034188034209</v>
      </c>
      <c r="FZ149" s="12">
        <f>IF('Données projet'!$A$244&gt;35,FZ148+FY149-GH148,IF(A149&lt;'Données projet'!$A$244,$FW$205^A149,IF(A149='Données projet'!$A$244,'Données projet'!$B$244,FZ148+FY149-GH148)))</f>
        <v>287.86698717948673</v>
      </c>
      <c r="GA149" s="17">
        <f>FZ149*VLOOKUP('Données projet'!$B$17,Paramètres!$A$1:$I$89,3,0)*VLOOKUP('Données projet'!$B$17,Paramètres!$A$1:$I$89,5,0)</f>
        <v>278.42494999999957</v>
      </c>
      <c r="GB149" s="13">
        <f t="shared" si="157"/>
        <v>66.634046338664206</v>
      </c>
      <c r="GC149" s="20">
        <f t="shared" si="133"/>
        <v>600.97775195650604</v>
      </c>
      <c r="GD149" s="59">
        <f t="shared" si="134"/>
        <v>894.31108528983941</v>
      </c>
      <c r="GE149" s="59">
        <f ca="1">AVERAGE(OFFSET($GD$3,0,0,'Données projet'!$E$17+1,1))-AVERAGE(OFFSET($H$3,0,0,'Données projet'!$E$17+1,1))</f>
        <v>336.2911850338175</v>
      </c>
      <c r="GF149" s="59">
        <f t="shared" si="158"/>
        <v>225.01415116995503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43.855712178482356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43.855712178482356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5.1063034188034209</v>
      </c>
      <c r="GU149" s="12">
        <f>IF('Données projet'!$A$270&gt;35,GU148+GT149-HC148,IF(A149&lt;'Données projet'!$A$270,$GR$205^A149,IF(A149='Données projet'!$A$270,'Données projet'!$B$270,GU148+GT149-HC148)))</f>
        <v>287.86698717948673</v>
      </c>
      <c r="GV149" s="17">
        <f>GU149*VLOOKUP('Données projet'!$B$18,Paramètres!$A$1:$I$89,3,0)*VLOOKUP('Données projet'!$B$18,Paramètres!$A$1:$I$89,5,0)</f>
        <v>193.1011749999997</v>
      </c>
      <c r="GW149" s="13">
        <f t="shared" si="159"/>
        <v>48.224931232181383</v>
      </c>
      <c r="GX149" s="20">
        <f t="shared" si="136"/>
        <v>420.30963502104873</v>
      </c>
      <c r="GY149" s="59">
        <f t="shared" si="137"/>
        <v>713.64296835438199</v>
      </c>
      <c r="GZ149" s="59">
        <f ca="1">AVERAGE(OFFSET($GY$3,0,0,'Données projet'!$E$18+1,1))-AVERAGE(OFFSET($H$3,0,0,'Données projet'!$E$18+1,1))</f>
        <v>266.37807768393191</v>
      </c>
      <c r="HA149" s="59">
        <f t="shared" si="160"/>
        <v>168.52019826233425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37.489560410638141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138"/>
        <v>37.489560410638141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266.99999999999983</v>
      </c>
      <c r="O150" s="13">
        <f>N150*VLOOKUP('Données projet'!$B$9,Paramètres!$A$1:$I$89,3,0)*VLOOKUP('Données projet'!$B$9,Paramètres!$A$1:$I$89,5,0)</f>
        <v>233.2511999999999</v>
      </c>
      <c r="P150" s="13">
        <f t="shared" si="141"/>
        <v>56.985091661350864</v>
      </c>
      <c r="Q150" s="20">
        <f t="shared" si="108"/>
        <v>505.49487464351915</v>
      </c>
      <c r="R150" s="59">
        <f t="shared" si="109"/>
        <v>798.82820797685247</v>
      </c>
      <c r="S150" s="59">
        <f ca="1">AVERAGE(OFFSET($R$3,0,0,'Données projet'!$E$9+1,1))-AVERAGE(OFFSET($H$3,0,0,'Données projet'!$E$9+1,1))</f>
        <v>324.86930206492627</v>
      </c>
      <c r="T150" s="59">
        <f t="shared" si="142"/>
        <v>317.03005098025352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8.387297322225324</v>
      </c>
      <c r="AA150" s="21">
        <f>EXP(-LN(2)/25)*AA149+(1-EXP(-LN(2)/25))/(LN(2)/25)*Calculateur!V150*Calculateur!X150*VLOOKUP('Données projet'!$B$9,Paramètres!$A$1:$I$89,3,0)*0.475*44/12</f>
        <v>1.4270729177442867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9.8143702399696107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5.4092197387944907E-13</v>
      </c>
      <c r="AK150" s="13">
        <f t="shared" si="143"/>
        <v>6.6765148417791561E-12</v>
      </c>
      <c r="AL150" s="20">
        <f t="shared" si="112"/>
        <v>1.2570369120605403E-11</v>
      </c>
      <c r="AM150" s="59">
        <f t="shared" si="113"/>
        <v>293.33333333334588</v>
      </c>
      <c r="AN150" s="59">
        <f ca="1">AVERAGE(OFFSET($AM$3,0,0,'Données projet'!$E$10+1,1))-AVERAGE(OFFSET($H$3,0,0,'Données projet'!$E$10+1,1))</f>
        <v>401.81944956556271</v>
      </c>
      <c r="AO150" s="59">
        <f t="shared" si="144"/>
        <v>292.20785523952651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130.99304119639933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130.99304119639933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1.7053025658242404E-13</v>
      </c>
      <c r="BE150" s="13">
        <f>BD150*VLOOKUP('Données projet'!$B$11,Paramètres!$A$1:$I$89,3,0)*VLOOKUP('Données projet'!$B$11,Paramètres!$A$1:$I$89,5,0)</f>
        <v>1.3301360013429075E-13</v>
      </c>
      <c r="BF150" s="13">
        <f t="shared" si="145"/>
        <v>1.9329766731057041E-12</v>
      </c>
      <c r="BG150" s="20">
        <f t="shared" si="115"/>
        <v>3.5982663925596575E-12</v>
      </c>
      <c r="BH150" s="59">
        <f t="shared" si="116"/>
        <v>293.3333333333369</v>
      </c>
      <c r="BI150" s="59">
        <f ca="1">AVERAGE(OFFSET($BH$3,0,0,'Données projet'!$E$11+1,1))-AVERAGE(OFFSET($H$3,0,0,'Données projet'!$E$11+1,1))</f>
        <v>288.80569134263209</v>
      </c>
      <c r="BJ150" s="59">
        <f t="shared" si="146"/>
        <v>283.48738729114024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17.311477645803873</v>
      </c>
      <c r="BQ150" s="21">
        <f>EXP(-LN(2)/25)*BQ149+(1-EXP(-LN(2)/25))/(LN(2)/25)*Calculateur!BL150*Calculateur!BN150*VLOOKUP('Données projet'!$B$11,Paramètres!$A$1:$I$89,3,0)*0.475*44/12</f>
        <v>7.8456971084343508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25.157174754238223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212.00000000000009</v>
      </c>
      <c r="BZ150" s="13">
        <f>BY150*VLOOKUP('Données projet'!$B$12,Paramètres!$A$1:$I$89,3,0)*VLOOKUP('Données projet'!$B$12,Paramètres!$A$1:$I$89,5,0)</f>
        <v>221.58240000000012</v>
      </c>
      <c r="CA150" s="13">
        <f t="shared" si="147"/>
        <v>54.458668952651578</v>
      </c>
      <c r="CB150" s="20">
        <f t="shared" si="118"/>
        <v>480.77152842586838</v>
      </c>
      <c r="CC150" s="59">
        <f t="shared" si="119"/>
        <v>774.10486175920164</v>
      </c>
      <c r="CD150" s="59">
        <f ca="1">AVERAGE(OFFSET($CC$3,0,0,'Données projet'!$E$12+1,1))-AVERAGE(OFFSET($H$3,0,0,'Données projet'!$E$12+1,1))</f>
        <v>352.22281362023102</v>
      </c>
      <c r="CE150" s="59">
        <f t="shared" si="148"/>
        <v>310.2353747925161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7.0443122681041777</v>
      </c>
      <c r="CL150" s="21">
        <f>EXP(-LN(2)/25)*CL149+(1-EXP(-LN(2)/25))/(LN(2)/25)*Calculateur!CG150*Calculateur!CI150*VLOOKUP('Données projet'!$B$12,Paramètres!$A$1:$I$89,3,0)*0.475*44/12</f>
        <v>4.5465169405021308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11.590829208606308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5.1063034188034209</v>
      </c>
      <c r="CT150" s="12">
        <f>IF('Données projet'!$A$140&gt;35,CT149+CS150-DB149,IF(A150&lt;'Données projet'!$A$140,$CQ$205^A150,IF(A150='Données projet'!$A$140,'Données projet'!$B$140,CT149+CS150-DB149)))</f>
        <v>292.97329059829013</v>
      </c>
      <c r="CU150" s="17">
        <f>CT150*VLOOKUP('Données projet'!$B$13,Paramètres!$A$1:$I$89,3,0)*VLOOKUP('Données projet'!$B$13,Paramètres!$A$1:$I$89,5,0)</f>
        <v>265.08223333333291</v>
      </c>
      <c r="CV150" s="13">
        <f t="shared" si="149"/>
        <v>63.804481164271408</v>
      </c>
      <c r="CW150" s="20">
        <f t="shared" si="121"/>
        <v>572.8110277499942</v>
      </c>
      <c r="CX150" s="59">
        <f t="shared" si="122"/>
        <v>866.14436108332757</v>
      </c>
      <c r="CY150" s="59">
        <f ca="1">AVERAGE(OFFSET($CX$3,0,0,'Données projet'!$E$13+1,1))-AVERAGE(OFFSET($H$3,0,0,'Données projet'!$E$13+1,1))</f>
        <v>345.49688858037996</v>
      </c>
      <c r="CZ150" s="59">
        <f t="shared" si="150"/>
        <v>213.15872113755023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40.221810449940577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40.221810449940577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5.1063034188034209</v>
      </c>
      <c r="DO150" s="12">
        <f>IF('Données projet'!$A$166&gt;35,DO149+DN150-DW149,IF(A150&lt;'Données projet'!$A$166,$DL$205^A150,IF(A150='Données projet'!$A$166,'Données projet'!$B$166,DO149+DN150-DW149)))</f>
        <v>292.97329059829013</v>
      </c>
      <c r="DP150" s="17">
        <f>DO150*VLOOKUP('Données projet'!$B$14,Paramètres!$A$1:$I$89,3,0)*VLOOKUP('Données projet'!$B$14,Paramètres!$A$1:$I$89,5,0)</f>
        <v>297.07491666666618</v>
      </c>
      <c r="DQ150" s="13">
        <f t="shared" si="151"/>
        <v>70.562904410355046</v>
      </c>
      <c r="DR150" s="20">
        <f t="shared" si="124"/>
        <v>640.30253837581188</v>
      </c>
      <c r="DS150" s="59">
        <f t="shared" si="125"/>
        <v>933.63587170914525</v>
      </c>
      <c r="DT150" s="59">
        <f ca="1">AVERAGE(OFFSET($DS$3,0,0,'Données projet'!$E$14+1,1))-AVERAGE(OFFSET($H$3,0,0,'Données projet'!$E$14+1,1))</f>
        <v>382.26108489744581</v>
      </c>
      <c r="DU150" s="59">
        <f t="shared" si="152"/>
        <v>233.89423996158826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45.076166883554116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45.076166883554116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-2.4158453015843406E-13</v>
      </c>
      <c r="EK150" s="17">
        <f>EJ150*VLOOKUP('Données projet'!$B$15,Paramètres!$A$1:$I$89,3,0)*VLOOKUP('Données projet'!$B$15,Paramètres!$A$1:$I$89,5,0)</f>
        <v>-2.0351080820546486E-13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312.48716825299158</v>
      </c>
      <c r="EP150" s="59">
        <f t="shared" si="154"/>
        <v>258.68277822755357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71.580456169852482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71.580456169852482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5.1063034188034209</v>
      </c>
      <c r="FE150" s="12">
        <f>IF('Données projet'!$A$218&gt;35,FE149+FD150-FM149,IF(A150&lt;'Données projet'!$A$218,$FB$205^A150,IF(A150='Données projet'!$A$218,'Données projet'!$B$218,FE149+FD150-FM149)))</f>
        <v>292.97329059829013</v>
      </c>
      <c r="FF150" s="17">
        <f>FE150*VLOOKUP('Données projet'!$B$16,Paramètres!$A$1:$I$89,3,0)*VLOOKUP('Données projet'!$B$16,Paramètres!$A$1:$I$89,5,0)</f>
        <v>315.35644999999948</v>
      </c>
      <c r="FG150" s="13">
        <f t="shared" si="155"/>
        <v>74.386352354117903</v>
      </c>
      <c r="FH150" s="20">
        <f t="shared" si="130"/>
        <v>678.80204743342108</v>
      </c>
      <c r="FI150" s="59">
        <f t="shared" si="131"/>
        <v>972.13538076675445</v>
      </c>
      <c r="FJ150" s="59">
        <f ca="1">AVERAGE(OFFSET($FI$3,0,0,'Données projet'!$E$16+1,1))-AVERAGE(OFFSET($H$3,0,0,'Données projet'!$E$16+1,1))</f>
        <v>403.23110963096246</v>
      </c>
      <c r="FK150" s="59">
        <f t="shared" si="156"/>
        <v>245.72000393124898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47.850084845618973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47.850084845618973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5.1063034188034209</v>
      </c>
      <c r="FZ150" s="12">
        <f>IF('Données projet'!$A$244&gt;35,FZ149+FY150-GH149,IF(A150&lt;'Données projet'!$A$244,$FW$205^A150,IF(A150='Données projet'!$A$244,'Données projet'!$B$244,FZ149+FY150-GH149)))</f>
        <v>292.97329059829013</v>
      </c>
      <c r="GA150" s="17">
        <f>FZ150*VLOOKUP('Données projet'!$B$17,Paramètres!$A$1:$I$89,3,0)*VLOOKUP('Données projet'!$B$17,Paramètres!$A$1:$I$89,5,0)</f>
        <v>283.36376666666621</v>
      </c>
      <c r="GB150" s="13">
        <f t="shared" si="157"/>
        <v>67.677374660998993</v>
      </c>
      <c r="GC150" s="20">
        <f t="shared" si="133"/>
        <v>611.39665447901677</v>
      </c>
      <c r="GD150" s="59">
        <f t="shared" si="134"/>
        <v>904.72998781235015</v>
      </c>
      <c r="GE150" s="59">
        <f ca="1">AVERAGE(OFFSET($GD$3,0,0,'Données projet'!$E$17+1,1))-AVERAGE(OFFSET($H$3,0,0,'Données projet'!$E$17+1,1))</f>
        <v>336.2911850338175</v>
      </c>
      <c r="GF150" s="59">
        <f t="shared" si="158"/>
        <v>225.01415116995503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42.995728412005469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42.995728412005469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5.1063034188034209</v>
      </c>
      <c r="GU150" s="12">
        <f>IF('Données projet'!$A$270&gt;35,GU149+GT150-HC149,IF(A150&lt;'Données projet'!$A$270,$GR$205^A150,IF(A150='Données projet'!$A$270,'Données projet'!$B$270,GU149+GT150-HC149)))</f>
        <v>292.97329059829013</v>
      </c>
      <c r="GV150" s="17">
        <f>GU150*VLOOKUP('Données projet'!$B$18,Paramètres!$A$1:$I$89,3,0)*VLOOKUP('Données projet'!$B$18,Paramètres!$A$1:$I$89,5,0)</f>
        <v>196.526483333333</v>
      </c>
      <c r="GW150" s="13">
        <f t="shared" si="159"/>
        <v>48.980017248441911</v>
      </c>
      <c r="GX150" s="20">
        <f t="shared" si="136"/>
        <v>427.59048851325792</v>
      </c>
      <c r="GY150" s="59">
        <f t="shared" si="137"/>
        <v>720.92382184659118</v>
      </c>
      <c r="GZ150" s="59">
        <f ca="1">AVERAGE(OFFSET($GY$3,0,0,'Données projet'!$E$18+1,1))-AVERAGE(OFFSET($H$3,0,0,'Données projet'!$E$18+1,1))</f>
        <v>266.37807768393191</v>
      </c>
      <c r="HA150" s="59">
        <f t="shared" si="160"/>
        <v>168.52019826233425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36.754412997359509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138"/>
        <v>36.754412997359509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266.99999999999983</v>
      </c>
      <c r="O151" s="13">
        <f>N151*VLOOKUP('Données projet'!$B$9,Paramètres!$A$1:$I$89,3,0)*VLOOKUP('Données projet'!$B$9,Paramètres!$A$1:$I$89,5,0)</f>
        <v>233.2511999999999</v>
      </c>
      <c r="P151" s="13">
        <f t="shared" si="141"/>
        <v>56.985091661350864</v>
      </c>
      <c r="Q151" s="20">
        <f t="shared" si="108"/>
        <v>505.49487464351915</v>
      </c>
      <c r="R151" s="59">
        <f t="shared" si="109"/>
        <v>798.82820797685247</v>
      </c>
      <c r="S151" s="59">
        <f ca="1">AVERAGE(OFFSET($R$3,0,0,'Données projet'!$E$9+1,1))-AVERAGE(OFFSET($H$3,0,0,'Données projet'!$E$9+1,1))</f>
        <v>324.86930206492627</v>
      </c>
      <c r="T151" s="59">
        <f t="shared" si="142"/>
        <v>317.03005098025352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8.2228275374827131</v>
      </c>
      <c r="AA151" s="21">
        <f>EXP(-LN(2)/25)*AA150+(1-EXP(-LN(2)/25))/(LN(2)/25)*Calculateur!V151*Calculateur!X151*VLOOKUP('Données projet'!$B$9,Paramètres!$A$1:$I$89,3,0)*0.475*44/12</f>
        <v>1.388049533762066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9.6108770712447793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5.4092197387944907E-13</v>
      </c>
      <c r="AK151" s="13">
        <f t="shared" si="143"/>
        <v>6.6765148417791561E-12</v>
      </c>
      <c r="AL151" s="20">
        <f t="shared" si="112"/>
        <v>1.2570369120605403E-11</v>
      </c>
      <c r="AM151" s="59">
        <f t="shared" si="113"/>
        <v>293.33333333334588</v>
      </c>
      <c r="AN151" s="59">
        <f ca="1">AVERAGE(OFFSET($AM$3,0,0,'Données projet'!$E$10+1,1))-AVERAGE(OFFSET($H$3,0,0,'Données projet'!$E$10+1,1))</f>
        <v>401.81944956556271</v>
      </c>
      <c r="AO151" s="59">
        <f t="shared" si="144"/>
        <v>292.20785523952651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128.4243475564038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128.4243475564038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1.7053025658242404E-13</v>
      </c>
      <c r="BE151" s="13">
        <f>BD151*VLOOKUP('Données projet'!$B$11,Paramètres!$A$1:$I$89,3,0)*VLOOKUP('Données projet'!$B$11,Paramètres!$A$1:$I$89,5,0)</f>
        <v>1.3301360013429075E-13</v>
      </c>
      <c r="BF151" s="13">
        <f t="shared" si="145"/>
        <v>1.9329766731057041E-12</v>
      </c>
      <c r="BG151" s="20">
        <f t="shared" si="115"/>
        <v>3.5982663925596575E-12</v>
      </c>
      <c r="BH151" s="59">
        <f t="shared" si="116"/>
        <v>293.3333333333369</v>
      </c>
      <c r="BI151" s="59">
        <f ca="1">AVERAGE(OFFSET($BH$3,0,0,'Données projet'!$E$11+1,1))-AVERAGE(OFFSET($H$3,0,0,'Données projet'!$E$11+1,1))</f>
        <v>288.80569134263209</v>
      </c>
      <c r="BJ151" s="59">
        <f t="shared" si="146"/>
        <v>283.48738729114024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16.972010128128414</v>
      </c>
      <c r="BQ151" s="21">
        <f>EXP(-LN(2)/25)*BQ150+(1-EXP(-LN(2)/25))/(LN(2)/25)*Calculateur!BL151*Calculateur!BN151*VLOOKUP('Données projet'!$B$11,Paramètres!$A$1:$I$89,3,0)*0.475*44/12</f>
        <v>7.6311561084169339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24.603166236545349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212.00000000000009</v>
      </c>
      <c r="BZ151" s="13">
        <f>BY151*VLOOKUP('Données projet'!$B$12,Paramètres!$A$1:$I$89,3,0)*VLOOKUP('Données projet'!$B$12,Paramètres!$A$1:$I$89,5,0)</f>
        <v>221.58240000000012</v>
      </c>
      <c r="CA151" s="13">
        <f t="shared" si="147"/>
        <v>54.458668952651578</v>
      </c>
      <c r="CB151" s="20">
        <f t="shared" si="118"/>
        <v>480.77152842586838</v>
      </c>
      <c r="CC151" s="59">
        <f t="shared" si="119"/>
        <v>774.10486175920164</v>
      </c>
      <c r="CD151" s="59">
        <f ca="1">AVERAGE(OFFSET($CC$3,0,0,'Données projet'!$E$12+1,1))-AVERAGE(OFFSET($H$3,0,0,'Données projet'!$E$12+1,1))</f>
        <v>352.22281362023102</v>
      </c>
      <c r="CE151" s="59">
        <f t="shared" si="148"/>
        <v>310.2353747925161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6.9061776011328835</v>
      </c>
      <c r="CL151" s="21">
        <f>EXP(-LN(2)/25)*CL150+(1-EXP(-LN(2)/25))/(LN(2)/25)*Calculateur!CG151*Calculateur!CI151*VLOOKUP('Données projet'!$B$12,Paramètres!$A$1:$I$89,3,0)*0.475*44/12</f>
        <v>4.4221921956731656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11.328369796806049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5.1063034188034209</v>
      </c>
      <c r="CT151" s="12">
        <f>IF('Données projet'!$A$140&gt;35,CT150+CS151-DB150,IF(A151&lt;'Données projet'!$A$140,$CQ$205^A151,IF(A151='Données projet'!$A$140,'Données projet'!$B$140,CT150+CS151-DB150)))</f>
        <v>298.07959401709354</v>
      </c>
      <c r="CU151" s="17">
        <f>CT151*VLOOKUP('Données projet'!$B$13,Paramètres!$A$1:$I$89,3,0)*VLOOKUP('Données projet'!$B$13,Paramètres!$A$1:$I$89,5,0)</f>
        <v>269.70241666666624</v>
      </c>
      <c r="CV151" s="13">
        <f t="shared" si="149"/>
        <v>64.786110541238813</v>
      </c>
      <c r="CW151" s="20">
        <f t="shared" si="121"/>
        <v>582.56751822043464</v>
      </c>
      <c r="CX151" s="59">
        <f t="shared" si="122"/>
        <v>875.90085155376801</v>
      </c>
      <c r="CY151" s="59">
        <f ca="1">AVERAGE(OFFSET($CX$3,0,0,'Données projet'!$E$13+1,1))-AVERAGE(OFFSET($H$3,0,0,'Données projet'!$E$13+1,1))</f>
        <v>345.49688858037996</v>
      </c>
      <c r="CZ151" s="59">
        <f t="shared" si="150"/>
        <v>213.15872113755023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39.433085279899196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39.433085279899196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5.1063034188034209</v>
      </c>
      <c r="DO151" s="12">
        <f>IF('Données projet'!$A$166&gt;35,DO150+DN151-DW150,IF(A151&lt;'Données projet'!$A$166,$DL$205^A151,IF(A151='Données projet'!$A$166,'Données projet'!$B$166,DO150+DN151-DW150)))</f>
        <v>298.07959401709354</v>
      </c>
      <c r="DP151" s="17">
        <f>DO151*VLOOKUP('Données projet'!$B$14,Paramètres!$A$1:$I$89,3,0)*VLOOKUP('Données projet'!$B$14,Paramètres!$A$1:$I$89,5,0)</f>
        <v>302.25270833333286</v>
      </c>
      <c r="DQ151" s="13">
        <f t="shared" si="151"/>
        <v>71.648511857189575</v>
      </c>
      <c r="DR151" s="20">
        <f t="shared" si="124"/>
        <v>651.21129183182666</v>
      </c>
      <c r="DS151" s="59">
        <f t="shared" si="125"/>
        <v>944.54462516515991</v>
      </c>
      <c r="DT151" s="59">
        <f ca="1">AVERAGE(OFFSET($DS$3,0,0,'Données projet'!$E$14+1,1))-AVERAGE(OFFSET($H$3,0,0,'Données projet'!$E$14+1,1))</f>
        <v>382.26108489744581</v>
      </c>
      <c r="DU151" s="59">
        <f t="shared" si="152"/>
        <v>233.89423996158826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44.192250744714634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44.192250744714634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-2.4158453015843406E-13</v>
      </c>
      <c r="EK151" s="17">
        <f>EJ151*VLOOKUP('Données projet'!$B$15,Paramètres!$A$1:$I$89,3,0)*VLOOKUP('Données projet'!$B$15,Paramètres!$A$1:$I$89,5,0)</f>
        <v>-2.0351080820546486E-13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312.48716825299158</v>
      </c>
      <c r="EP151" s="59">
        <f t="shared" si="154"/>
        <v>258.68277822755357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70.176807084128896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70.176807084128896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5.1063034188034209</v>
      </c>
      <c r="FE151" s="12">
        <f>IF('Données projet'!$A$218&gt;35,FE150+FD151-FM150,IF(A151&lt;'Données projet'!$A$218,$FB$205^A151,IF(A151='Données projet'!$A$218,'Données projet'!$B$218,FE150+FD151-FM150)))</f>
        <v>298.07959401709354</v>
      </c>
      <c r="FF151" s="17">
        <f>FE151*VLOOKUP('Données projet'!$B$16,Paramètres!$A$1:$I$89,3,0)*VLOOKUP('Données projet'!$B$16,Paramètres!$A$1:$I$89,5,0)</f>
        <v>320.85287499999947</v>
      </c>
      <c r="FG151" s="13">
        <f t="shared" si="155"/>
        <v>75.530783393816336</v>
      </c>
      <c r="FH151" s="20">
        <f t="shared" si="130"/>
        <v>690.36820503589581</v>
      </c>
      <c r="FI151" s="59">
        <f t="shared" si="131"/>
        <v>983.70153836922918</v>
      </c>
      <c r="FJ151" s="59">
        <f ca="1">AVERAGE(OFFSET($FI$3,0,0,'Données projet'!$E$16+1,1))-AVERAGE(OFFSET($H$3,0,0,'Données projet'!$E$16+1,1))</f>
        <v>403.23110963096246</v>
      </c>
      <c r="FK151" s="59">
        <f t="shared" si="156"/>
        <v>245.72000393124898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46.911773867466295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46.911773867466295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5.1063034188034209</v>
      </c>
      <c r="FZ151" s="12">
        <f>IF('Données projet'!$A$244&gt;35,FZ150+FY151-GH150,IF(A151&lt;'Données projet'!$A$244,$FW$205^A151,IF(A151='Données projet'!$A$244,'Données projet'!$B$244,FZ150+FY151-GH150)))</f>
        <v>298.07959401709354</v>
      </c>
      <c r="GA151" s="17">
        <f>FZ151*VLOOKUP('Données projet'!$B$17,Paramètres!$A$1:$I$89,3,0)*VLOOKUP('Données projet'!$B$17,Paramètres!$A$1:$I$89,5,0)</f>
        <v>288.3025833333329</v>
      </c>
      <c r="GB151" s="13">
        <f t="shared" si="157"/>
        <v>68.718588348674373</v>
      </c>
      <c r="GC151" s="20">
        <f t="shared" si="133"/>
        <v>621.81187401282932</v>
      </c>
      <c r="GD151" s="59">
        <f t="shared" si="134"/>
        <v>915.14520734616258</v>
      </c>
      <c r="GE151" s="59">
        <f ca="1">AVERAGE(OFFSET($GD$3,0,0,'Données projet'!$E$17+1,1))-AVERAGE(OFFSET($H$3,0,0,'Données projet'!$E$17+1,1))</f>
        <v>336.2911850338175</v>
      </c>
      <c r="GF151" s="59">
        <f t="shared" si="158"/>
        <v>225.01415116995503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42.152608402650891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42.152608402650891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5.1063034188034209</v>
      </c>
      <c r="GU151" s="12">
        <f>IF('Données projet'!$A$270&gt;35,GU150+GT151-HC150,IF(A151&lt;'Données projet'!$A$270,$GR$205^A151,IF(A151='Données projet'!$A$270,'Données projet'!$B$270,GU150+GT151-HC150)))</f>
        <v>298.07959401709354</v>
      </c>
      <c r="GV151" s="17">
        <f>GU151*VLOOKUP('Données projet'!$B$18,Paramètres!$A$1:$I$89,3,0)*VLOOKUP('Données projet'!$B$18,Paramètres!$A$1:$I$89,5,0)</f>
        <v>199.95179166666637</v>
      </c>
      <c r="GW151" s="13">
        <f t="shared" si="159"/>
        <v>49.733572844194669</v>
      </c>
      <c r="GX151" s="20">
        <f t="shared" si="136"/>
        <v>434.86867652308291</v>
      </c>
      <c r="GY151" s="59">
        <f t="shared" si="137"/>
        <v>728.20200985641623</v>
      </c>
      <c r="GZ151" s="59">
        <f ca="1">AVERAGE(OFFSET($GY$3,0,0,'Données projet'!$E$18+1,1))-AVERAGE(OFFSET($H$3,0,0,'Données projet'!$E$18+1,1))</f>
        <v>266.37807768393191</v>
      </c>
      <c r="HA151" s="59">
        <f t="shared" si="160"/>
        <v>168.52019826233425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36.033681376459626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138"/>
        <v>36.033681376459626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266.99999999999983</v>
      </c>
      <c r="O152" s="13">
        <f>N152*VLOOKUP('Données projet'!$B$9,Paramètres!$A$1:$I$89,3,0)*VLOOKUP('Données projet'!$B$9,Paramètres!$A$1:$I$89,5,0)</f>
        <v>233.2511999999999</v>
      </c>
      <c r="P152" s="13">
        <f t="shared" si="141"/>
        <v>56.985091661350864</v>
      </c>
      <c r="Q152" s="20">
        <f t="shared" si="108"/>
        <v>505.49487464351915</v>
      </c>
      <c r="R152" s="59">
        <f t="shared" si="109"/>
        <v>798.82820797685247</v>
      </c>
      <c r="S152" s="59">
        <f ca="1">AVERAGE(OFFSET($R$3,0,0,'Données projet'!$E$9+1,1))-AVERAGE(OFFSET($H$3,0,0,'Données projet'!$E$9+1,1))</f>
        <v>324.86930206492627</v>
      </c>
      <c r="T152" s="59">
        <f t="shared" si="142"/>
        <v>317.03005098025352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8.0615829049022416</v>
      </c>
      <c r="AA152" s="21">
        <f>EXP(-LN(2)/25)*AA151+(1-EXP(-LN(2)/25))/(LN(2)/25)*Calculateur!V152*Calculateur!X152*VLOOKUP('Données projet'!$B$9,Paramètres!$A$1:$I$89,3,0)*0.475*44/12</f>
        <v>1.3500932462669897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9.4116761511692317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5.4092197387944907E-13</v>
      </c>
      <c r="AK152" s="13">
        <f t="shared" si="143"/>
        <v>6.6765148417791561E-12</v>
      </c>
      <c r="AL152" s="20">
        <f t="shared" si="112"/>
        <v>1.2570369120605403E-11</v>
      </c>
      <c r="AM152" s="59">
        <f t="shared" si="113"/>
        <v>293.33333333334588</v>
      </c>
      <c r="AN152" s="59">
        <f ca="1">AVERAGE(OFFSET($AM$3,0,0,'Données projet'!$E$10+1,1))-AVERAGE(OFFSET($H$3,0,0,'Données projet'!$E$10+1,1))</f>
        <v>401.81944956556271</v>
      </c>
      <c r="AO152" s="59">
        <f t="shared" si="144"/>
        <v>292.20785523952651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125.90602443194018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125.90602443194018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1.7053025658242404E-13</v>
      </c>
      <c r="BE152" s="13">
        <f>BD152*VLOOKUP('Données projet'!$B$11,Paramètres!$A$1:$I$89,3,0)*VLOOKUP('Données projet'!$B$11,Paramètres!$A$1:$I$89,5,0)</f>
        <v>1.3301360013429075E-13</v>
      </c>
      <c r="BF152" s="13">
        <f t="shared" si="145"/>
        <v>1.9329766731057041E-12</v>
      </c>
      <c r="BG152" s="20">
        <f t="shared" si="115"/>
        <v>3.5982663925596575E-12</v>
      </c>
      <c r="BH152" s="59">
        <f t="shared" si="116"/>
        <v>293.3333333333369</v>
      </c>
      <c r="BI152" s="59">
        <f ca="1">AVERAGE(OFFSET($BH$3,0,0,'Données projet'!$E$11+1,1))-AVERAGE(OFFSET($H$3,0,0,'Données projet'!$E$11+1,1))</f>
        <v>288.80569134263209</v>
      </c>
      <c r="BJ152" s="59">
        <f t="shared" si="146"/>
        <v>283.48738729114024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16.639199361419827</v>
      </c>
      <c r="BQ152" s="21">
        <f>EXP(-LN(2)/25)*BQ151+(1-EXP(-LN(2)/25))/(LN(2)/25)*Calculateur!BL152*Calculateur!BN152*VLOOKUP('Données projet'!$B$11,Paramètres!$A$1:$I$89,3,0)*0.475*44/12</f>
        <v>7.4224817433272143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24.061681104747041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212.00000000000009</v>
      </c>
      <c r="BZ152" s="13">
        <f>BY152*VLOOKUP('Données projet'!$B$12,Paramètres!$A$1:$I$89,3,0)*VLOOKUP('Données projet'!$B$12,Paramètres!$A$1:$I$89,5,0)</f>
        <v>221.58240000000012</v>
      </c>
      <c r="CA152" s="13">
        <f t="shared" si="147"/>
        <v>54.458668952651578</v>
      </c>
      <c r="CB152" s="20">
        <f t="shared" si="118"/>
        <v>480.77152842586838</v>
      </c>
      <c r="CC152" s="59">
        <f t="shared" si="119"/>
        <v>774.10486175920164</v>
      </c>
      <c r="CD152" s="59">
        <f ca="1">AVERAGE(OFFSET($CC$3,0,0,'Données projet'!$E$12+1,1))-AVERAGE(OFFSET($H$3,0,0,'Données projet'!$E$12+1,1))</f>
        <v>352.22281362023102</v>
      </c>
      <c r="CE152" s="59">
        <f t="shared" si="148"/>
        <v>310.2353747925161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6.7707516707270692</v>
      </c>
      <c r="CL152" s="21">
        <f>EXP(-LN(2)/25)*CL151+(1-EXP(-LN(2)/25))/(LN(2)/25)*Calculateur!CG152*Calculateur!CI152*VLOOKUP('Données projet'!$B$12,Paramètres!$A$1:$I$89,3,0)*0.475*44/12</f>
        <v>4.3012671175295027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11.072018788256571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>
        <f>VLOOKUP(A152,'Données projet'!$A$139:$I$159,2,0)</f>
        <v>303.18589743589746</v>
      </c>
      <c r="CR152" s="12">
        <f>VLOOKUP(A152,'Données projet'!$A$139:$I$159,9,0)</f>
        <v>5.1063034188034209</v>
      </c>
      <c r="CS152" s="12">
        <f t="array" ref="CS152">INDEX(CR:CR,MIN(IF(ISNUMBER(CR152:CR348),ROW(CR152:CR348),"")))</f>
        <v>5.1063034188034209</v>
      </c>
      <c r="CT152" s="12">
        <f>IF('Données projet'!$A$140&gt;35,CT151+CS152-DB151,IF(A152&lt;'Données projet'!$A$140,$CQ$205^A152,IF(A152='Données projet'!$A$140,'Données projet'!$B$140,CT151+CS152-DB151)))</f>
        <v>303.18589743589695</v>
      </c>
      <c r="CU152" s="17">
        <f>CT152*VLOOKUP('Données projet'!$B$13,Paramètres!$A$1:$I$89,3,0)*VLOOKUP('Données projet'!$B$13,Paramètres!$A$1:$I$89,5,0)</f>
        <v>274.32259999999957</v>
      </c>
      <c r="CV152" s="13">
        <f t="shared" si="149"/>
        <v>65.765784388426695</v>
      </c>
      <c r="CW152" s="20">
        <f t="shared" si="121"/>
        <v>592.3206028098424</v>
      </c>
      <c r="CX152" s="59">
        <f t="shared" si="122"/>
        <v>885.65393614317577</v>
      </c>
      <c r="CY152" s="59">
        <f ca="1">AVERAGE(OFFSET($CX$3,0,0,'Données projet'!$E$13+1,1))-AVERAGE(OFFSET($H$3,0,0,'Données projet'!$E$13+1,1))</f>
        <v>345.49688858037996</v>
      </c>
      <c r="CZ152" s="59">
        <f t="shared" si="150"/>
        <v>213.15872113755023</v>
      </c>
      <c r="DA152" s="15">
        <f>IF(ISNA(VLOOKUP(A152,'Données projet'!$A$139:$I$159,3,0)),0,VLOOKUP(A152,'Données projet'!$A$139:$I$159,3,0))</f>
        <v>12</v>
      </c>
      <c r="DB152" s="15">
        <f>IF(ISNA(VLOOKUP(A152,'Données projet'!$A$139:$I$159,4,0)),0,VLOOKUP(A152,'Données projet'!$A$139:$I$159,4,0))</f>
        <v>120.50641025641026</v>
      </c>
      <c r="DC152" s="16">
        <f>IF(ISNA(VLOOKUP(A152,'Données projet'!$A$139:$I$159,5,0)),0%,VLOOKUP(A152,'Données projet'!$A$139:$I$159,5,0)*VLOOKUP('Données projet'!$B$13,Paramètres!$A$1:$I$89,7,0))</f>
        <v>0.38700000000000001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85.306514891867181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85.306514891867181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>
        <f>VLOOKUP(A152,'Données projet'!$A$165:$I$185,2,0)</f>
        <v>303.18589743589746</v>
      </c>
      <c r="DM152" s="12">
        <f>VLOOKUP(A152,'Données projet'!$A$165:$I$185,9,0)</f>
        <v>5.1063034188034209</v>
      </c>
      <c r="DN152" s="12">
        <f t="array" ref="DN152">INDEX(DM:DM,MIN(IF(ISNUMBER(DM152:DM348),ROW(DM152:DM348),"")))</f>
        <v>5.1063034188034209</v>
      </c>
      <c r="DO152" s="12">
        <f>IF('Données projet'!$A$166&gt;35,DO151+DN152-DW151,IF(A152&lt;'Données projet'!$A$166,$DL$205^A152,IF(A152='Données projet'!$A$166,'Données projet'!$B$166,DO151+DN152-DW151)))</f>
        <v>303.18589743589695</v>
      </c>
      <c r="DP152" s="17">
        <f>DO152*VLOOKUP('Données projet'!$B$14,Paramètres!$A$1:$I$89,3,0)*VLOOKUP('Données projet'!$B$14,Paramètres!$A$1:$I$89,5,0)</f>
        <v>307.43049999999948</v>
      </c>
      <c r="DQ152" s="13">
        <f t="shared" si="151"/>
        <v>72.731956636788439</v>
      </c>
      <c r="DR152" s="20">
        <f t="shared" si="124"/>
        <v>662.11627864240563</v>
      </c>
      <c r="DS152" s="59">
        <f t="shared" si="125"/>
        <v>955.44961197573889</v>
      </c>
      <c r="DT152" s="59">
        <f ca="1">AVERAGE(OFFSET($DS$3,0,0,'Données projet'!$E$14+1,1))-AVERAGE(OFFSET($H$3,0,0,'Données projet'!$E$14+1,1))</f>
        <v>382.26108489744581</v>
      </c>
      <c r="DU152" s="59">
        <f t="shared" si="152"/>
        <v>233.89423996158826</v>
      </c>
      <c r="DV152" s="15">
        <f>IF(ISNA(VLOOKUP(A152,'Données projet'!$A$165:$I$185,3,0)),0,VLOOKUP(A152,'Données projet'!$A$165:$I$185,3,0))</f>
        <v>12</v>
      </c>
      <c r="DW152" s="15">
        <f>IF(ISNA(VLOOKUP(A152,'Données projet'!$A$165:$I$185,4,0)),0,VLOOKUP(A152,'Données projet'!$A$165:$I$185,4,0))</f>
        <v>120.50641025641026</v>
      </c>
      <c r="DX152" s="16">
        <f>IF(ISNA(VLOOKUP(A152,'Données projet'!$A$165:$I$185,5,0)),0%,VLOOKUP(A152,'Données projet'!$A$165:$I$185,5,0)*VLOOKUP('Données projet'!$B$14,Paramètres!$A$1:$I$89,7,0))</f>
        <v>0.38700000000000001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95.602128758127037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95.602128758127037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-2.4158453015843406E-13</v>
      </c>
      <c r="EK152" s="17">
        <f>EJ152*VLOOKUP('Données projet'!$B$15,Paramètres!$A$1:$I$89,3,0)*VLOOKUP('Données projet'!$B$15,Paramètres!$A$1:$I$89,5,0)</f>
        <v>-2.0351080820546486E-13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312.48716825299158</v>
      </c>
      <c r="EP152" s="59">
        <f t="shared" si="154"/>
        <v>258.68277822755357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68.80068270083494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68.80068270083494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>
        <f>VLOOKUP(A152,'Données projet'!$A$217:$I$237,2,0)</f>
        <v>303.18589743589746</v>
      </c>
      <c r="FC152" s="12">
        <f>VLOOKUP(A152,'Données projet'!$A$217:$I$237,9,0)</f>
        <v>5.1063034188034209</v>
      </c>
      <c r="FD152" s="12">
        <f t="array" ref="FD152">INDEX(FC:FC,MIN(IF(ISNUMBER(FC152:FC348),ROW(FC152:FC348),"")))</f>
        <v>5.1063034188034209</v>
      </c>
      <c r="FE152" s="12">
        <f>IF('Données projet'!$A$218&gt;35,FE151+FD152-FM151,IF(A152&lt;'Données projet'!$A$218,$FB$205^A152,IF(A152='Données projet'!$A$218,'Données projet'!$B$218,FE151+FD152-FM151)))</f>
        <v>303.18589743589695</v>
      </c>
      <c r="FF152" s="17">
        <f>FE152*VLOOKUP('Données projet'!$B$16,Paramètres!$A$1:$I$89,3,0)*VLOOKUP('Données projet'!$B$16,Paramètres!$A$1:$I$89,5,0)</f>
        <v>326.34929999999946</v>
      </c>
      <c r="FG152" s="13">
        <f t="shared" si="155"/>
        <v>76.672934582247976</v>
      </c>
      <c r="FH152" s="20">
        <f t="shared" si="130"/>
        <v>701.93039189741421</v>
      </c>
      <c r="FI152" s="59">
        <f t="shared" si="131"/>
        <v>995.26372523074747</v>
      </c>
      <c r="FJ152" s="59">
        <f ca="1">AVERAGE(OFFSET($FI$3,0,0,'Données projet'!$E$16+1,1))-AVERAGE(OFFSET($H$3,0,0,'Données projet'!$E$16+1,1))</f>
        <v>403.23110963096246</v>
      </c>
      <c r="FK152" s="59">
        <f t="shared" si="156"/>
        <v>245.72000393124898</v>
      </c>
      <c r="FL152" s="15">
        <f>IF(ISNA(VLOOKUP(A152,'Données projet'!$A$217:$I$237,3,0)),0,VLOOKUP(A152,'Données projet'!$A$217:$I$237,3,0))</f>
        <v>12</v>
      </c>
      <c r="FM152" s="15">
        <f>IF(ISNA(VLOOKUP(A152,'Données projet'!$A$217:$I$237,4,0)),0,VLOOKUP(A152,'Données projet'!$A$217:$I$237,4,0))</f>
        <v>120.50641025641026</v>
      </c>
      <c r="FN152" s="16">
        <f>IF(ISNA(VLOOKUP(A152,'Données projet'!$A$217:$I$237,5,0)),0%,VLOOKUP(A152,'Données projet'!$A$217:$I$237,5,0)*VLOOKUP('Données projet'!$B$16,Paramètres!$A$1:$I$89,7,0))</f>
        <v>0.38700000000000001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101.48533668170407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101.48533668170407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>
        <f>VLOOKUP(A152,'Données projet'!$A$243:$I$263,2,0)</f>
        <v>303.18589743589746</v>
      </c>
      <c r="FX152" s="12">
        <f>VLOOKUP(A152,'Données projet'!$A$243:$I$263,9,0)</f>
        <v>5.1063034188034209</v>
      </c>
      <c r="FY152" s="12">
        <f t="array" ref="FY152">INDEX(FX:FX,MIN(IF(ISNUMBER(FX152:FX348),ROW(FX152:FX348),"")))</f>
        <v>5.1063034188034209</v>
      </c>
      <c r="FZ152" s="12">
        <f>IF('Données projet'!$A$244&gt;35,FZ151+FY152-GH151,IF(A152&lt;'Données projet'!$A$244,$FW$205^A152,IF(A152='Données projet'!$A$244,'Données projet'!$B$244,FZ151+FY152-GH151)))</f>
        <v>303.18589743589695</v>
      </c>
      <c r="GA152" s="17">
        <f>FZ152*VLOOKUP('Données projet'!$B$17,Paramètres!$A$1:$I$89,3,0)*VLOOKUP('Données projet'!$B$17,Paramètres!$A$1:$I$89,5,0)</f>
        <v>293.24139999999954</v>
      </c>
      <c r="GB152" s="13">
        <f t="shared" si="157"/>
        <v>69.75772780709292</v>
      </c>
      <c r="GC152" s="20">
        <f t="shared" si="133"/>
        <v>632.22348093068604</v>
      </c>
      <c r="GD152" s="59">
        <f t="shared" si="134"/>
        <v>925.55681426401929</v>
      </c>
      <c r="GE152" s="59">
        <f ca="1">AVERAGE(OFFSET($GD$3,0,0,'Données projet'!$E$17+1,1))-AVERAGE(OFFSET($H$3,0,0,'Données projet'!$E$17+1,1))</f>
        <v>336.2911850338175</v>
      </c>
      <c r="GF152" s="59">
        <f t="shared" si="158"/>
        <v>225.01415116995503</v>
      </c>
      <c r="GG152" s="15">
        <f>IF(ISNA(VLOOKUP(A152,'Données projet'!$A$243:$I$263,3,0)),0,VLOOKUP(A152,'Données projet'!$A$243:$I$263,3,0))</f>
        <v>12</v>
      </c>
      <c r="GH152" s="15">
        <f>IF(ISNA(VLOOKUP(A152,'Données projet'!$A$243:$I$263,4,0)),0,VLOOKUP(A152,'Données projet'!$A$243:$I$263,4,0))</f>
        <v>120.50641025641026</v>
      </c>
      <c r="GI152" s="16">
        <f>IF(ISNA(VLOOKUP(A152,'Données projet'!$A$243:$I$263,5,0)),0%,VLOOKUP(A152,'Données projet'!$A$243:$I$263,5,0)*VLOOKUP('Données projet'!$B$17,Paramètres!$A$1:$I$89,7,0))</f>
        <v>0.38700000000000001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91.18972281544427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91.18972281544427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>
        <f>VLOOKUP(A152,'Données projet'!$A$269:$I$289,2,0)</f>
        <v>303.18589743589746</v>
      </c>
      <c r="GS152" s="12">
        <f>VLOOKUP(A152,'Données projet'!$A$269:$I$289,9,0)</f>
        <v>5.1063034188034209</v>
      </c>
      <c r="GT152" s="12">
        <f t="array" ref="GT152">INDEX(GS:GS,MIN(IF(ISNUMBER(GS152:GS348),ROW(GS152:GS348),"")))</f>
        <v>5.1063034188034209</v>
      </c>
      <c r="GU152" s="12">
        <f>IF('Données projet'!$A$270&gt;35,GU151+GT152-HC151,IF(A152&lt;'Données projet'!$A$270,$GR$205^A152,IF(A152='Données projet'!$A$270,'Données projet'!$B$270,GU151+GT152-HC151)))</f>
        <v>303.18589743589695</v>
      </c>
      <c r="GV152" s="17">
        <f>GU152*VLOOKUP('Données projet'!$B$18,Paramètres!$A$1:$I$89,3,0)*VLOOKUP('Données projet'!$B$18,Paramètres!$A$1:$I$89,5,0)</f>
        <v>203.37709999999967</v>
      </c>
      <c r="GW152" s="13">
        <f t="shared" si="159"/>
        <v>50.485627261964673</v>
      </c>
      <c r="GX152" s="20">
        <f t="shared" si="136"/>
        <v>442.14424998125452</v>
      </c>
      <c r="GY152" s="59">
        <f t="shared" si="137"/>
        <v>735.47758331458783</v>
      </c>
      <c r="GZ152" s="59">
        <f ca="1">AVERAGE(OFFSET($GY$3,0,0,'Données projet'!$E$18+1,1))-AVERAGE(OFFSET($H$3,0,0,'Données projet'!$E$18+1,1))</f>
        <v>266.37807768393191</v>
      </c>
      <c r="HA152" s="59">
        <f t="shared" si="160"/>
        <v>168.52019826233425</v>
      </c>
      <c r="HB152" s="15">
        <f>IF(ISNA(VLOOKUP(A152,'Données projet'!$A$269:$I$289,3,0)),0,VLOOKUP(A152,'Données projet'!$A$269:$I$289,3,0))</f>
        <v>12</v>
      </c>
      <c r="HC152" s="15">
        <f>IF(ISNA(VLOOKUP(A152,'Données projet'!$A$269:$I$289,4,0)),0,VLOOKUP(A152,'Données projet'!$A$269:$I$289,4,0))</f>
        <v>120.50641025641026</v>
      </c>
      <c r="HD152" s="16">
        <f>IF(ISNA(VLOOKUP(A152,'Données projet'!$A$269:$I$289,5,0)),0%,VLOOKUP(A152,'Données projet'!$A$269:$I$289,5,0)*VLOOKUP('Données projet'!$B$18,Paramètres!$A$1:$I$89,7,0))</f>
        <v>0.47700000000000004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77.952504987395884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138"/>
        <v>77.952504987395884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266.99999999999983</v>
      </c>
      <c r="O153" s="13">
        <f>N153*VLOOKUP('Données projet'!$B$9,Paramètres!$A$1:$I$89,3,0)*VLOOKUP('Données projet'!$B$9,Paramètres!$A$1:$I$89,5,0)</f>
        <v>233.2511999999999</v>
      </c>
      <c r="P153" s="13">
        <f t="shared" si="141"/>
        <v>56.985091661350864</v>
      </c>
      <c r="Q153" s="20">
        <f t="shared" si="108"/>
        <v>505.49487464351915</v>
      </c>
      <c r="R153" s="59">
        <f t="shared" si="109"/>
        <v>798.82820797685247</v>
      </c>
      <c r="S153" s="59">
        <f ca="1">AVERAGE(OFFSET($R$3,0,0,'Données projet'!$E$9+1,1))-AVERAGE(OFFSET($H$3,0,0,'Données projet'!$E$9+1,1))</f>
        <v>324.86930206492627</v>
      </c>
      <c r="T153" s="59">
        <f t="shared" si="142"/>
        <v>317.03005098025352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7.9035001812171597</v>
      </c>
      <c r="AA153" s="21">
        <f>EXP(-LN(2)/25)*AA152+(1-EXP(-LN(2)/25))/(LN(2)/25)*Calculateur!V153*Calculateur!X153*VLOOKUP('Données projet'!$B$9,Paramètres!$A$1:$I$89,3,0)*0.475*44/12</f>
        <v>1.3131748754495007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9.2166750566666611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5.4092197387944907E-13</v>
      </c>
      <c r="AK153" s="13">
        <f t="shared" si="143"/>
        <v>6.6765148417791561E-12</v>
      </c>
      <c r="AL153" s="20">
        <f t="shared" si="112"/>
        <v>1.2570369120605403E-11</v>
      </c>
      <c r="AM153" s="59">
        <f t="shared" si="113"/>
        <v>293.33333333334588</v>
      </c>
      <c r="AN153" s="59">
        <f ca="1">AVERAGE(OFFSET($AM$3,0,0,'Données projet'!$E$10+1,1))-AVERAGE(OFFSET($H$3,0,0,'Données projet'!$E$10+1,1))</f>
        <v>401.81944956556271</v>
      </c>
      <c r="AO153" s="59">
        <f t="shared" si="144"/>
        <v>292.20785523952651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123.43708408792185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123.43708408792185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1.7053025658242404E-13</v>
      </c>
      <c r="BE153" s="13">
        <f>BD153*VLOOKUP('Données projet'!$B$11,Paramètres!$A$1:$I$89,3,0)*VLOOKUP('Données projet'!$B$11,Paramètres!$A$1:$I$89,5,0)</f>
        <v>1.3301360013429075E-13</v>
      </c>
      <c r="BF153" s="13">
        <f t="shared" si="145"/>
        <v>1.9329766731057041E-12</v>
      </c>
      <c r="BG153" s="20">
        <f t="shared" si="115"/>
        <v>3.5982663925596575E-12</v>
      </c>
      <c r="BH153" s="59">
        <f t="shared" si="116"/>
        <v>293.3333333333369</v>
      </c>
      <c r="BI153" s="59">
        <f ca="1">AVERAGE(OFFSET($BH$3,0,0,'Données projet'!$E$11+1,1))-AVERAGE(OFFSET($H$3,0,0,'Données projet'!$E$11+1,1))</f>
        <v>288.80569134263209</v>
      </c>
      <c r="BJ153" s="59">
        <f t="shared" si="146"/>
        <v>283.48738729114024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16.312914810851872</v>
      </c>
      <c r="BQ153" s="21">
        <f>EXP(-LN(2)/25)*BQ152+(1-EXP(-LN(2)/25))/(LN(2)/25)*Calculateur!BL153*Calculateur!BN153*VLOOKUP('Données projet'!$B$11,Paramètres!$A$1:$I$89,3,0)*0.475*44/12</f>
        <v>7.2195135897245812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23.532428400576453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212.00000000000009</v>
      </c>
      <c r="BZ153" s="13">
        <f>BY153*VLOOKUP('Données projet'!$B$12,Paramètres!$A$1:$I$89,3,0)*VLOOKUP('Données projet'!$B$12,Paramètres!$A$1:$I$89,5,0)</f>
        <v>221.58240000000012</v>
      </c>
      <c r="CA153" s="13">
        <f t="shared" si="147"/>
        <v>54.458668952651578</v>
      </c>
      <c r="CB153" s="20">
        <f t="shared" si="118"/>
        <v>480.77152842586838</v>
      </c>
      <c r="CC153" s="59">
        <f t="shared" si="119"/>
        <v>774.10486175920164</v>
      </c>
      <c r="CD153" s="59">
        <f ca="1">AVERAGE(OFFSET($CC$3,0,0,'Données projet'!$E$12+1,1))-AVERAGE(OFFSET($H$3,0,0,'Données projet'!$E$12+1,1))</f>
        <v>352.22281362023102</v>
      </c>
      <c r="CE153" s="59">
        <f t="shared" si="148"/>
        <v>310.2353747925161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6.6379813602148516</v>
      </c>
      <c r="CL153" s="21">
        <f>EXP(-LN(2)/25)*CL152+(1-EXP(-LN(2)/25))/(LN(2)/25)*Calculateur!CG153*Calculateur!CI153*VLOOKUP('Données projet'!$B$12,Paramètres!$A$1:$I$89,3,0)*0.475*44/12</f>
        <v>4.1836487420068513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10.821630102221704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3.0945512820512704</v>
      </c>
      <c r="CT153" s="12">
        <f>IF('Données projet'!$A$140&gt;35,CT152+CS153-DB152,IF(A153&lt;'Données projet'!$A$140,$CQ$205^A153,IF(A153='Données projet'!$A$140,'Données projet'!$B$140,CT152+CS153-DB152)))</f>
        <v>185.77403846153794</v>
      </c>
      <c r="CU153" s="17">
        <f>CT153*VLOOKUP('Données projet'!$B$13,Paramètres!$A$1:$I$89,3,0)*VLOOKUP('Données projet'!$B$13,Paramètres!$A$1:$I$89,5,0)</f>
        <v>168.08834999999954</v>
      </c>
      <c r="CV153" s="13">
        <f t="shared" si="149"/>
        <v>42.661596193999998</v>
      </c>
      <c r="CW153" s="20">
        <f t="shared" si="121"/>
        <v>367.05615628788252</v>
      </c>
      <c r="CX153" s="59">
        <f t="shared" si="122"/>
        <v>660.38948962121583</v>
      </c>
      <c r="CY153" s="59">
        <f ca="1">AVERAGE(OFFSET($CX$3,0,0,'Données projet'!$E$13+1,1))-AVERAGE(OFFSET($H$3,0,0,'Données projet'!$E$13+1,1))</f>
        <v>345.49688858037996</v>
      </c>
      <c r="CZ153" s="59">
        <f t="shared" si="150"/>
        <v>213.15872113755023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83.633706166674031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83.633706166674031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3.0945512820512704</v>
      </c>
      <c r="DO153" s="12">
        <f>IF('Données projet'!$A$166&gt;35,DO152+DN153-DW152,IF(A153&lt;'Données projet'!$A$166,$DL$205^A153,IF(A153='Données projet'!$A$166,'Données projet'!$B$166,DO152+DN153-DW152)))</f>
        <v>185.77403846153794</v>
      </c>
      <c r="DP153" s="17">
        <f>DO153*VLOOKUP('Données projet'!$B$14,Paramètres!$A$1:$I$89,3,0)*VLOOKUP('Données projet'!$B$14,Paramètres!$A$1:$I$89,5,0)</f>
        <v>188.37487499999949</v>
      </c>
      <c r="DQ153" s="13">
        <f t="shared" si="151"/>
        <v>47.180481359608336</v>
      </c>
      <c r="DR153" s="20">
        <f t="shared" si="124"/>
        <v>410.25891232631693</v>
      </c>
      <c r="DS153" s="59">
        <f t="shared" si="125"/>
        <v>703.59224565965019</v>
      </c>
      <c r="DT153" s="59">
        <f ca="1">AVERAGE(OFFSET($DS$3,0,0,'Données projet'!$E$14+1,1))-AVERAGE(OFFSET($H$3,0,0,'Données projet'!$E$14+1,1))</f>
        <v>382.26108489744581</v>
      </c>
      <c r="DU153" s="59">
        <f t="shared" si="152"/>
        <v>233.89423996158826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93.727429324720916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93.727429324720916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-2.4158453015843406E-13</v>
      </c>
      <c r="EK153" s="17">
        <f>EJ153*VLOOKUP('Données projet'!$B$15,Paramètres!$A$1:$I$89,3,0)*VLOOKUP('Données projet'!$B$15,Paramètres!$A$1:$I$89,5,0)</f>
        <v>-2.0351080820546486E-13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312.48716825299158</v>
      </c>
      <c r="EP153" s="59">
        <f t="shared" si="154"/>
        <v>258.68277822755357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67.451543277344385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67.451543277344385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3.0945512820512704</v>
      </c>
      <c r="FE153" s="12">
        <f>IF('Données projet'!$A$218&gt;35,FE152+FD153-FM152,IF(A153&lt;'Données projet'!$A$218,$FB$205^A153,IF(A153='Données projet'!$A$218,'Données projet'!$B$218,FE152+FD153-FM152)))</f>
        <v>185.77403846153794</v>
      </c>
      <c r="FF153" s="17">
        <f>FE153*VLOOKUP('Données projet'!$B$16,Paramètres!$A$1:$I$89,3,0)*VLOOKUP('Données projet'!$B$16,Paramètres!$A$1:$I$89,5,0)</f>
        <v>199.96717499999943</v>
      </c>
      <c r="FG153" s="13">
        <f t="shared" si="155"/>
        <v>49.736953714984679</v>
      </c>
      <c r="FH153" s="20">
        <f t="shared" si="130"/>
        <v>434.90135751193066</v>
      </c>
      <c r="FI153" s="59">
        <f t="shared" si="131"/>
        <v>728.23469084526391</v>
      </c>
      <c r="FJ153" s="59">
        <f ca="1">AVERAGE(OFFSET($FI$3,0,0,'Données projet'!$E$16+1,1))-AVERAGE(OFFSET($H$3,0,0,'Données projet'!$E$16+1,1))</f>
        <v>403.23110963096246</v>
      </c>
      <c r="FK153" s="59">
        <f t="shared" si="156"/>
        <v>245.72000393124898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99.495271129319121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99.495271129319121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3.0945512820512704</v>
      </c>
      <c r="FZ153" s="12">
        <f>IF('Données projet'!$A$244&gt;35,FZ152+FY153-GH152,IF(A153&lt;'Données projet'!$A$244,$FW$205^A153,IF(A153='Données projet'!$A$244,'Données projet'!$B$244,FZ152+FY153-GH152)))</f>
        <v>185.77403846153794</v>
      </c>
      <c r="GA153" s="17">
        <f>FZ153*VLOOKUP('Données projet'!$B$17,Paramètres!$A$1:$I$89,3,0)*VLOOKUP('Données projet'!$B$17,Paramètres!$A$1:$I$89,5,0)</f>
        <v>179.6806499999995</v>
      </c>
      <c r="GB153" s="13">
        <f t="shared" si="157"/>
        <v>45.251129334068551</v>
      </c>
      <c r="GC153" s="20">
        <f t="shared" si="133"/>
        <v>391.75618234016855</v>
      </c>
      <c r="GD153" s="59">
        <f t="shared" si="134"/>
        <v>685.08951567350186</v>
      </c>
      <c r="GE153" s="59">
        <f ca="1">AVERAGE(OFFSET($GD$3,0,0,'Données projet'!$E$17+1,1))-AVERAGE(OFFSET($H$3,0,0,'Données projet'!$E$17+1,1))</f>
        <v>336.2911850338175</v>
      </c>
      <c r="GF153" s="59">
        <f t="shared" si="158"/>
        <v>225.01415116995503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89.401547971272279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89.401547971272279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3.0945512820512704</v>
      </c>
      <c r="GU153" s="12">
        <f>IF('Données projet'!$A$270&gt;35,GU152+GT153-HC152,IF(A153&lt;'Données projet'!$A$270,$GR$205^A153,IF(A153='Données projet'!$A$270,'Données projet'!$B$270,GU152+GT153-HC152)))</f>
        <v>185.77403846153794</v>
      </c>
      <c r="GV153" s="17">
        <f>GU153*VLOOKUP('Données projet'!$B$18,Paramètres!$A$1:$I$89,3,0)*VLOOKUP('Données projet'!$B$18,Paramètres!$A$1:$I$89,5,0)</f>
        <v>124.61722499999966</v>
      </c>
      <c r="GW153" s="13">
        <f t="shared" si="159"/>
        <v>32.749513502795757</v>
      </c>
      <c r="GX153" s="20">
        <f t="shared" si="136"/>
        <v>274.08040289236868</v>
      </c>
      <c r="GY153" s="59">
        <f t="shared" si="137"/>
        <v>567.413736225702</v>
      </c>
      <c r="GZ153" s="59">
        <f ca="1">AVERAGE(OFFSET($GY$3,0,0,'Données projet'!$E$18+1,1))-AVERAGE(OFFSET($H$3,0,0,'Données projet'!$E$18+1,1))</f>
        <v>266.37807768393191</v>
      </c>
      <c r="HA153" s="59">
        <f t="shared" si="160"/>
        <v>168.52019826233425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76.423903910926285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138"/>
        <v>76.423903910926285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266.99999999999983</v>
      </c>
      <c r="O154" s="13">
        <f>N154*VLOOKUP('Données projet'!$B$9,Paramètres!$A$1:$I$89,3,0)*VLOOKUP('Données projet'!$B$9,Paramètres!$A$1:$I$89,5,0)</f>
        <v>233.2511999999999</v>
      </c>
      <c r="P154" s="13">
        <f t="shared" si="141"/>
        <v>56.985091661350864</v>
      </c>
      <c r="Q154" s="20">
        <f t="shared" ref="Q154:Q203" si="162">(O154+P154)*0.475*44/12</f>
        <v>505.49487464351915</v>
      </c>
      <c r="R154" s="59">
        <f t="shared" si="109"/>
        <v>798.82820797685247</v>
      </c>
      <c r="S154" s="59">
        <f ca="1">AVERAGE(OFFSET($R$3,0,0,'Données projet'!$E$9+1,1))-AVERAGE(OFFSET($H$3,0,0,'Données projet'!$E$9+1,1))</f>
        <v>324.86930206492627</v>
      </c>
      <c r="T154" s="59">
        <f t="shared" si="142"/>
        <v>317.03005098025352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7.748517363322601</v>
      </c>
      <c r="AA154" s="21">
        <f>EXP(-LN(2)/25)*AA153+(1-EXP(-LN(2)/25))/(LN(2)/25)*Calculateur!V154*Calculateur!X154*VLOOKUP('Données projet'!$B$9,Paramètres!$A$1:$I$89,3,0)*0.475*44/12</f>
        <v>1.2772660394234687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9.0257834027460699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5.4092197387944907E-13</v>
      </c>
      <c r="AK154" s="13">
        <f t="shared" ref="AK154:AK203" si="164">EXP(-1.0587+0.8836*LN(AJ154)+0.284)</f>
        <v>6.6765148417791561E-12</v>
      </c>
      <c r="AL154" s="20">
        <f t="shared" ref="AL154:AL203" si="165">(AJ154+AK154)*0.475*44/12</f>
        <v>1.2570369120605403E-11</v>
      </c>
      <c r="AM154" s="59">
        <f t="shared" si="113"/>
        <v>293.33333333334588</v>
      </c>
      <c r="AN154" s="59">
        <f ca="1">AVERAGE(OFFSET($AM$3,0,0,'Données projet'!$E$10+1,1))-AVERAGE(OFFSET($H$3,0,0,'Données projet'!$E$10+1,1))</f>
        <v>401.81944956556271</v>
      </c>
      <c r="AO154" s="59">
        <f t="shared" si="144"/>
        <v>292.20785523952651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121.0165581581448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121.0165581581448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1.7053025658242404E-13</v>
      </c>
      <c r="BE154" s="13">
        <f>BD154*VLOOKUP('Données projet'!$B$11,Paramètres!$A$1:$I$89,3,0)*VLOOKUP('Données projet'!$B$11,Paramètres!$A$1:$I$89,5,0)</f>
        <v>1.3301360013429075E-13</v>
      </c>
      <c r="BF154" s="13">
        <f t="shared" ref="BF154:BF203" si="167">EXP(-1.0587+0.8836*LN(BE154)+0.284)</f>
        <v>1.9329766731057041E-12</v>
      </c>
      <c r="BG154" s="20">
        <f t="shared" ref="BG154:BG203" si="168">(BE154+BF154)*0.475*44/12</f>
        <v>3.5982663925596575E-12</v>
      </c>
      <c r="BH154" s="59">
        <f t="shared" si="116"/>
        <v>293.3333333333369</v>
      </c>
      <c r="BI154" s="59">
        <f ca="1">AVERAGE(OFFSET($BH$3,0,0,'Données projet'!$E$11+1,1))-AVERAGE(OFFSET($H$3,0,0,'Données projet'!$E$11+1,1))</f>
        <v>288.80569134263209</v>
      </c>
      <c r="BJ154" s="59">
        <f t="shared" si="146"/>
        <v>283.48738729114024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15.993028501306631</v>
      </c>
      <c r="BQ154" s="21">
        <f>EXP(-LN(2)/25)*BQ153+(1-EXP(-LN(2)/25))/(LN(2)/25)*Calculateur!BL154*Calculateur!BN154*VLOOKUP('Données projet'!$B$11,Paramètres!$A$1:$I$89,3,0)*0.475*44/12</f>
        <v>7.0220956109558434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23.015124112262473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212.00000000000009</v>
      </c>
      <c r="BZ154" s="13">
        <f>BY154*VLOOKUP('Données projet'!$B$12,Paramètres!$A$1:$I$89,3,0)*VLOOKUP('Données projet'!$B$12,Paramètres!$A$1:$I$89,5,0)</f>
        <v>221.58240000000012</v>
      </c>
      <c r="CA154" s="13">
        <f t="shared" ref="CA154:CA203" si="170">EXP(-1.0587+0.8836*LN(BZ154)+0.284)</f>
        <v>54.458668952651578</v>
      </c>
      <c r="CB154" s="20">
        <f t="shared" ref="CB154:CB203" si="171">(BZ154+CA154)*0.475*44/12</f>
        <v>480.77152842586838</v>
      </c>
      <c r="CC154" s="59">
        <f t="shared" si="119"/>
        <v>774.10486175920164</v>
      </c>
      <c r="CD154" s="59">
        <f ca="1">AVERAGE(OFFSET($CC$3,0,0,'Données projet'!$E$12+1,1))-AVERAGE(OFFSET($H$3,0,0,'Données projet'!$E$12+1,1))</f>
        <v>352.22281362023102</v>
      </c>
      <c r="CE154" s="59">
        <f t="shared" si="148"/>
        <v>310.2353747925161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6.5078145945098855</v>
      </c>
      <c r="CL154" s="21">
        <f>EXP(-LN(2)/25)*CL153+(1-EXP(-LN(2)/25))/(LN(2)/25)*Calculateur!CG154*Calculateur!CI154*VLOOKUP('Données projet'!$B$12,Paramètres!$A$1:$I$89,3,0)*0.475*44/12</f>
        <v>4.0692466471481481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10.577061241658033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3.0945512820512704</v>
      </c>
      <c r="CT154" s="12">
        <f>IF('Données projet'!$A$140&gt;35,CT153+CS154-DB153,IF(A154&lt;'Données projet'!$A$140,$CQ$205^A154,IF(A154='Données projet'!$A$140,'Données projet'!$B$140,CT153+CS154-DB153)))</f>
        <v>188.86858974358921</v>
      </c>
      <c r="CU154" s="17">
        <f>CT154*VLOOKUP('Données projet'!$B$13,Paramètres!$A$1:$I$89,3,0)*VLOOKUP('Données projet'!$B$13,Paramètres!$A$1:$I$89,5,0)</f>
        <v>170.8882999999995</v>
      </c>
      <c r="CV154" s="13">
        <f t="shared" ref="CV154:CV203" si="173">EXP(-1.0587+0.8836*LN(CU154)+0.284)</f>
        <v>43.288912849762468</v>
      </c>
      <c r="CW154" s="20">
        <f t="shared" ref="CW154:CW203" si="174">(CU154+CV154)*0.475*44/12</f>
        <v>373.02531238000211</v>
      </c>
      <c r="CX154" s="59">
        <f t="shared" si="122"/>
        <v>666.35864571333536</v>
      </c>
      <c r="CY154" s="59">
        <f ca="1">AVERAGE(OFFSET($CX$3,0,0,'Données projet'!$E$13+1,1))-AVERAGE(OFFSET($H$3,0,0,'Données projet'!$E$13+1,1))</f>
        <v>345.49688858037996</v>
      </c>
      <c r="CZ154" s="59">
        <f t="shared" si="150"/>
        <v>213.15872113755023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81.993700200269345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81.993700200269345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3.0945512820512704</v>
      </c>
      <c r="DO154" s="12">
        <f>IF('Données projet'!$A$166&gt;35,DO153+DN154-DW153,IF(A154&lt;'Données projet'!$A$166,$DL$205^A154,IF(A154='Données projet'!$A$166,'Données projet'!$B$166,DO153+DN154-DW153)))</f>
        <v>188.86858974358921</v>
      </c>
      <c r="DP154" s="17">
        <f>DO154*VLOOKUP('Données projet'!$B$14,Paramètres!$A$1:$I$89,3,0)*VLOOKUP('Données projet'!$B$14,Paramètres!$A$1:$I$89,5,0)</f>
        <v>191.51274999999947</v>
      </c>
      <c r="DQ154" s="13">
        <f t="shared" ref="DQ154:DQ203" si="176">EXP(-1.0587+0.8836*LN(DP154)+0.284)</f>
        <v>47.874245879088207</v>
      </c>
      <c r="DR154" s="20">
        <f t="shared" ref="DR154:DR203" si="177">(DP154+DQ154)*0.475*44/12</f>
        <v>416.93235115607769</v>
      </c>
      <c r="DS154" s="59">
        <f t="shared" si="125"/>
        <v>710.265684489411</v>
      </c>
      <c r="DT154" s="59">
        <f ca="1">AVERAGE(OFFSET($DS$3,0,0,'Données projet'!$E$14+1,1))-AVERAGE(OFFSET($H$3,0,0,'Données projet'!$E$14+1,1))</f>
        <v>382.26108489744581</v>
      </c>
      <c r="DU154" s="59">
        <f t="shared" si="152"/>
        <v>233.89423996158826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91.889491603750145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91.889491603750145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-2.4158453015843406E-13</v>
      </c>
      <c r="EK154" s="17">
        <f>EJ154*VLOOKUP('Données projet'!$B$15,Paramètres!$A$1:$I$89,3,0)*VLOOKUP('Données projet'!$B$15,Paramètres!$A$1:$I$89,5,0)</f>
        <v>-2.0351080820546486E-13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312.48716825299158</v>
      </c>
      <c r="EP154" s="59">
        <f t="shared" si="154"/>
        <v>258.68277822755357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66.128859655054683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66.128859655054683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3.0945512820512704</v>
      </c>
      <c r="FE154" s="12">
        <f>IF('Données projet'!$A$218&gt;35,FE153+FD154-FM153,IF(A154&lt;'Données projet'!$A$218,$FB$205^A154,IF(A154='Données projet'!$A$218,'Données projet'!$B$218,FE153+FD154-FM153)))</f>
        <v>188.86858974358921</v>
      </c>
      <c r="FF154" s="17">
        <f>FE154*VLOOKUP('Données projet'!$B$16,Paramètres!$A$1:$I$89,3,0)*VLOOKUP('Données projet'!$B$16,Paramètres!$A$1:$I$89,5,0)</f>
        <v>203.29814999999942</v>
      </c>
      <c r="FG154" s="13">
        <f t="shared" ref="FG154:FG203" si="182">EXP(-1.0587+0.8836*LN(FF154)+0.284)</f>
        <v>50.468309835145163</v>
      </c>
      <c r="FH154" s="20">
        <f t="shared" ref="FH154:FH203" si="183">(FF154+FG154)*0.475*44/12</f>
        <v>441.97658421287679</v>
      </c>
      <c r="FI154" s="59">
        <f t="shared" si="131"/>
        <v>735.30991754621004</v>
      </c>
      <c r="FJ154" s="59">
        <f ca="1">AVERAGE(OFFSET($FI$3,0,0,'Données projet'!$E$16+1,1))-AVERAGE(OFFSET($H$3,0,0,'Données projet'!$E$16+1,1))</f>
        <v>403.23110963096246</v>
      </c>
      <c r="FK154" s="59">
        <f t="shared" si="156"/>
        <v>245.72000393124898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97.544229548596306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97.544229548596306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3.0945512820512704</v>
      </c>
      <c r="FZ154" s="12">
        <f>IF('Données projet'!$A$244&gt;35,FZ153+FY154-GH153,IF(A154&lt;'Données projet'!$A$244,$FW$205^A154,IF(A154='Données projet'!$A$244,'Données projet'!$B$244,FZ153+FY154-GH153)))</f>
        <v>188.86858974358921</v>
      </c>
      <c r="GA154" s="17">
        <f>FZ154*VLOOKUP('Données projet'!$B$17,Paramètres!$A$1:$I$89,3,0)*VLOOKUP('Données projet'!$B$17,Paramètres!$A$1:$I$89,5,0)</f>
        <v>182.67369999999949</v>
      </c>
      <c r="GB154" s="13">
        <f t="shared" ref="GB154:GB203" si="185">EXP(-1.0587+0.8836*LN(GA154)+0.284)</f>
        <v>45.916523732211509</v>
      </c>
      <c r="GC154" s="20">
        <f t="shared" ref="GC154:GC203" si="186">(GA154+GB154)*0.475*44/12</f>
        <v>398.12797300026745</v>
      </c>
      <c r="GD154" s="59">
        <f t="shared" si="134"/>
        <v>691.46130633360076</v>
      </c>
      <c r="GE154" s="59">
        <f ca="1">AVERAGE(OFFSET($GD$3,0,0,'Données projet'!$E$17+1,1))-AVERAGE(OFFSET($H$3,0,0,'Données projet'!$E$17+1,1))</f>
        <v>336.2911850338175</v>
      </c>
      <c r="GF154" s="59">
        <f t="shared" si="158"/>
        <v>225.01415116995503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87.648438145115549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87.648438145115549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3.0945512820512704</v>
      </c>
      <c r="GU154" s="12">
        <f>IF('Données projet'!$A$270&gt;35,GU153+GT154-HC153,IF(A154&lt;'Données projet'!$A$270,$GR$205^A154,IF(A154='Données projet'!$A$270,'Données projet'!$B$270,GU153+GT154-HC153)))</f>
        <v>188.86858974358921</v>
      </c>
      <c r="GV154" s="17">
        <f>GU154*VLOOKUP('Données projet'!$B$18,Paramètres!$A$1:$I$89,3,0)*VLOOKUP('Données projet'!$B$18,Paramètres!$A$1:$I$89,5,0)</f>
        <v>126.69304999999966</v>
      </c>
      <c r="GW154" s="13">
        <f t="shared" ref="GW154:GW203" si="188">EXP(-1.0587+0.8836*LN(GV154)+0.284)</f>
        <v>33.23107812112363</v>
      </c>
      <c r="GX154" s="20">
        <f t="shared" ref="GX154:GX203" si="189">(GV154+GW154)*0.475*44/12</f>
        <v>278.53452314428972</v>
      </c>
      <c r="GY154" s="59">
        <f t="shared" si="137"/>
        <v>571.86785647762304</v>
      </c>
      <c r="GZ154" s="59">
        <f ca="1">AVERAGE(OFFSET($GY$3,0,0,'Données projet'!$E$18+1,1))-AVERAGE(OFFSET($H$3,0,0,'Données projet'!$E$18+1,1))</f>
        <v>266.37807768393191</v>
      </c>
      <c r="HA154" s="59">
        <f t="shared" si="160"/>
        <v>168.52019826233425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74.925277769211661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190">SUM(HG154:HI154)</f>
        <v>74.925277769211661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266.99999999999983</v>
      </c>
      <c r="O155" s="13">
        <f>N155*VLOOKUP('Données projet'!$B$9,Paramètres!$A$1:$I$89,3,0)*VLOOKUP('Données projet'!$B$9,Paramètres!$A$1:$I$89,5,0)</f>
        <v>233.2511999999999</v>
      </c>
      <c r="P155" s="13">
        <f t="shared" si="141"/>
        <v>56.985091661350864</v>
      </c>
      <c r="Q155" s="20">
        <f t="shared" si="162"/>
        <v>505.49487464351915</v>
      </c>
      <c r="R155" s="59">
        <f t="shared" si="109"/>
        <v>798.82820797685247</v>
      </c>
      <c r="S155" s="59">
        <f ca="1">AVERAGE(OFFSET($R$3,0,0,'Données projet'!$E$9+1,1))-AVERAGE(OFFSET($H$3,0,0,'Données projet'!$E$9+1,1))</f>
        <v>324.86930206492627</v>
      </c>
      <c r="T155" s="59">
        <f t="shared" si="142"/>
        <v>317.03005098025352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7.5965736639567698</v>
      </c>
      <c r="AA155" s="21">
        <f>EXP(-LN(2)/25)*AA154+(1-EXP(-LN(2)/25))/(LN(2)/25)*Calculateur!V155*Calculateur!X155*VLOOKUP('Données projet'!$B$9,Paramètres!$A$1:$I$89,3,0)*0.475*44/12</f>
        <v>1.2423391324069322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8.8389127963637026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5.4092197387944907E-13</v>
      </c>
      <c r="AK155" s="13">
        <f t="shared" si="164"/>
        <v>6.6765148417791561E-12</v>
      </c>
      <c r="AL155" s="20">
        <f t="shared" si="165"/>
        <v>1.2570369120605403E-11</v>
      </c>
      <c r="AM155" s="59">
        <f t="shared" si="113"/>
        <v>293.33333333334588</v>
      </c>
      <c r="AN155" s="59">
        <f ca="1">AVERAGE(OFFSET($AM$3,0,0,'Données projet'!$E$10+1,1))-AVERAGE(OFFSET($H$3,0,0,'Données projet'!$E$10+1,1))</f>
        <v>401.81944956556271</v>
      </c>
      <c r="AO155" s="59">
        <f t="shared" si="144"/>
        <v>292.20785523952651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118.64349726547565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118.64349726547565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1.7053025658242404E-13</v>
      </c>
      <c r="BE155" s="13">
        <f>BD155*VLOOKUP('Données projet'!$B$11,Paramètres!$A$1:$I$89,3,0)*VLOOKUP('Données projet'!$B$11,Paramètres!$A$1:$I$89,5,0)</f>
        <v>1.3301360013429075E-13</v>
      </c>
      <c r="BF155" s="13">
        <f t="shared" si="167"/>
        <v>1.9329766731057041E-12</v>
      </c>
      <c r="BG155" s="20">
        <f t="shared" si="168"/>
        <v>3.5982663925596575E-12</v>
      </c>
      <c r="BH155" s="59">
        <f t="shared" si="116"/>
        <v>293.3333333333369</v>
      </c>
      <c r="BI155" s="59">
        <f ca="1">AVERAGE(OFFSET($BH$3,0,0,'Données projet'!$E$11+1,1))-AVERAGE(OFFSET($H$3,0,0,'Données projet'!$E$11+1,1))</f>
        <v>288.80569134263209</v>
      </c>
      <c r="BJ155" s="59">
        <f t="shared" si="146"/>
        <v>283.48738729114024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15.679414967180188</v>
      </c>
      <c r="BQ155" s="21">
        <f>EXP(-LN(2)/25)*BQ154+(1-EXP(-LN(2)/25))/(LN(2)/25)*Calculateur!BL155*Calculateur!BN155*VLOOKUP('Données projet'!$B$11,Paramètres!$A$1:$I$89,3,0)*0.475*44/12</f>
        <v>6.8300760371982969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22.509491004378486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212.00000000000009</v>
      </c>
      <c r="BZ155" s="13">
        <f>BY155*VLOOKUP('Données projet'!$B$12,Paramètres!$A$1:$I$89,3,0)*VLOOKUP('Données projet'!$B$12,Paramètres!$A$1:$I$89,5,0)</f>
        <v>221.58240000000012</v>
      </c>
      <c r="CA155" s="13">
        <f t="shared" si="170"/>
        <v>54.458668952651578</v>
      </c>
      <c r="CB155" s="20">
        <f t="shared" si="171"/>
        <v>480.77152842586838</v>
      </c>
      <c r="CC155" s="59">
        <f t="shared" si="119"/>
        <v>774.10486175920164</v>
      </c>
      <c r="CD155" s="59">
        <f ca="1">AVERAGE(OFFSET($CC$3,0,0,'Données projet'!$E$12+1,1))-AVERAGE(OFFSET($H$3,0,0,'Données projet'!$E$12+1,1))</f>
        <v>352.22281362023102</v>
      </c>
      <c r="CE155" s="59">
        <f t="shared" si="148"/>
        <v>310.2353747925161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6.380200319686506</v>
      </c>
      <c r="CL155" s="21">
        <f>EXP(-LN(2)/25)*CL154+(1-EXP(-LN(2)/25))/(LN(2)/25)*Calculateur!CG155*Calculateur!CI155*VLOOKUP('Données projet'!$B$12,Paramètres!$A$1:$I$89,3,0)*0.475*44/12</f>
        <v>3.9579728835895014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10.338173203276007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3.0945512820512704</v>
      </c>
      <c r="CT155" s="12">
        <f>IF('Données projet'!$A$140&gt;35,CT154+CS155-DB154,IF(A155&lt;'Données projet'!$A$140,$CQ$205^A155,IF(A155='Données projet'!$A$140,'Données projet'!$B$140,CT154+CS155-DB154)))</f>
        <v>191.96314102564048</v>
      </c>
      <c r="CU155" s="17">
        <f>CT155*VLOOKUP('Données projet'!$B$13,Paramètres!$A$1:$I$89,3,0)*VLOOKUP('Données projet'!$B$13,Paramètres!$A$1:$I$89,5,0)</f>
        <v>173.6882499999995</v>
      </c>
      <c r="CV155" s="13">
        <f t="shared" si="173"/>
        <v>43.915034185437626</v>
      </c>
      <c r="CW155" s="20">
        <f t="shared" si="174"/>
        <v>378.99238662296966</v>
      </c>
      <c r="CX155" s="59">
        <f t="shared" si="122"/>
        <v>672.32571995630292</v>
      </c>
      <c r="CY155" s="59">
        <f ca="1">AVERAGE(OFFSET($CX$3,0,0,'Données projet'!$E$13+1,1))-AVERAGE(OFFSET($H$3,0,0,'Données projet'!$E$13+1,1))</f>
        <v>345.49688858037996</v>
      </c>
      <c r="CZ155" s="59">
        <f t="shared" si="150"/>
        <v>213.15872113755023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80.385853750560983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80.385853750560983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3.0945512820512704</v>
      </c>
      <c r="DO155" s="12">
        <f>IF('Données projet'!$A$166&gt;35,DO154+DN155-DW154,IF(A155&lt;'Données projet'!$A$166,$DL$205^A155,IF(A155='Données projet'!$A$166,'Données projet'!$B$166,DO154+DN155-DW154)))</f>
        <v>191.96314102564048</v>
      </c>
      <c r="DP155" s="17">
        <f>DO155*VLOOKUP('Données projet'!$B$14,Paramètres!$A$1:$I$89,3,0)*VLOOKUP('Données projet'!$B$14,Paramètres!$A$1:$I$89,5,0)</f>
        <v>194.65062499999945</v>
      </c>
      <c r="DQ155" s="13">
        <f t="shared" si="176"/>
        <v>48.566688465444784</v>
      </c>
      <c r="DR155" s="20">
        <f t="shared" si="177"/>
        <v>423.60348761898211</v>
      </c>
      <c r="DS155" s="59">
        <f t="shared" si="125"/>
        <v>716.93682095231543</v>
      </c>
      <c r="DT155" s="59">
        <f ca="1">AVERAGE(OFFSET($DS$3,0,0,'Données projet'!$E$14+1,1))-AVERAGE(OFFSET($H$3,0,0,'Données projet'!$E$14+1,1))</f>
        <v>382.26108489744581</v>
      </c>
      <c r="DU155" s="59">
        <f t="shared" si="152"/>
        <v>233.89423996158826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90.087594720456295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90.087594720456295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-2.4158453015843406E-13</v>
      </c>
      <c r="EK155" s="17">
        <f>EJ155*VLOOKUP('Données projet'!$B$15,Paramètres!$A$1:$I$89,3,0)*VLOOKUP('Données projet'!$B$15,Paramètres!$A$1:$I$89,5,0)</f>
        <v>-2.0351080820546486E-13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312.48716825299158</v>
      </c>
      <c r="EP155" s="59">
        <f t="shared" si="154"/>
        <v>258.68277822755357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64.832113051840736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64.832113051840736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3.0945512820512704</v>
      </c>
      <c r="FE155" s="12">
        <f>IF('Données projet'!$A$218&gt;35,FE154+FD155-FM154,IF(A155&lt;'Données projet'!$A$218,$FB$205^A155,IF(A155='Données projet'!$A$218,'Données projet'!$B$218,FE154+FD155-FM154)))</f>
        <v>191.96314102564048</v>
      </c>
      <c r="FF155" s="17">
        <f>FE155*VLOOKUP('Données projet'!$B$16,Paramètres!$A$1:$I$89,3,0)*VLOOKUP('Données projet'!$B$16,Paramètres!$A$1:$I$89,5,0)</f>
        <v>206.62912499999939</v>
      </c>
      <c r="FG155" s="13">
        <f t="shared" si="182"/>
        <v>51.198272393292896</v>
      </c>
      <c r="FH155" s="20">
        <f t="shared" si="183"/>
        <v>449.04938379331742</v>
      </c>
      <c r="FI155" s="59">
        <f t="shared" si="131"/>
        <v>742.38271712665073</v>
      </c>
      <c r="FJ155" s="59">
        <f ca="1">AVERAGE(OFFSET($FI$3,0,0,'Données projet'!$E$16+1,1))-AVERAGE(OFFSET($H$3,0,0,'Données projet'!$E$16+1,1))</f>
        <v>403.23110963096246</v>
      </c>
      <c r="FK155" s="59">
        <f t="shared" si="156"/>
        <v>245.72000393124898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95.631446703253602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95.631446703253602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3.0945512820512704</v>
      </c>
      <c r="FZ155" s="12">
        <f>IF('Données projet'!$A$244&gt;35,FZ154+FY155-GH154,IF(A155&lt;'Données projet'!$A$244,$FW$205^A155,IF(A155='Données projet'!$A$244,'Données projet'!$B$244,FZ154+FY155-GH154)))</f>
        <v>191.96314102564048</v>
      </c>
      <c r="GA155" s="17">
        <f>FZ155*VLOOKUP('Données projet'!$B$17,Paramètres!$A$1:$I$89,3,0)*VLOOKUP('Données projet'!$B$17,Paramètres!$A$1:$I$89,5,0)</f>
        <v>185.6667499999995</v>
      </c>
      <c r="GB155" s="13">
        <f t="shared" si="185"/>
        <v>46.580650255059233</v>
      </c>
      <c r="GC155" s="20">
        <f t="shared" si="186"/>
        <v>404.49755544422732</v>
      </c>
      <c r="GD155" s="59">
        <f t="shared" si="134"/>
        <v>697.83088877756063</v>
      </c>
      <c r="GE155" s="59">
        <f ca="1">AVERAGE(OFFSET($GD$3,0,0,'Données projet'!$E$17+1,1))-AVERAGE(OFFSET($H$3,0,0,'Données projet'!$E$17+1,1))</f>
        <v>336.2911850338175</v>
      </c>
      <c r="GF155" s="59">
        <f t="shared" si="158"/>
        <v>225.01415116995503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85.929705733358333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85.929705733358333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3.0945512820512704</v>
      </c>
      <c r="GU155" s="12">
        <f>IF('Données projet'!$A$270&gt;35,GU154+GT155-HC154,IF(A155&lt;'Données projet'!$A$270,$GR$205^A155,IF(A155='Données projet'!$A$270,'Données projet'!$B$270,GU154+GT155-HC154)))</f>
        <v>191.96314102564048</v>
      </c>
      <c r="GV155" s="17">
        <f>GU155*VLOOKUP('Données projet'!$B$18,Paramètres!$A$1:$I$89,3,0)*VLOOKUP('Données projet'!$B$18,Paramètres!$A$1:$I$89,5,0)</f>
        <v>128.76887499999964</v>
      </c>
      <c r="GW155" s="13">
        <f t="shared" si="188"/>
        <v>33.711725142482969</v>
      </c>
      <c r="GX155" s="20">
        <f t="shared" si="189"/>
        <v>282.98704524815724</v>
      </c>
      <c r="GY155" s="59">
        <f t="shared" si="137"/>
        <v>576.32037858149056</v>
      </c>
      <c r="GZ155" s="59">
        <f ca="1">AVERAGE(OFFSET($GY$3,0,0,'Données projet'!$E$18+1,1))-AVERAGE(OFFSET($H$3,0,0,'Données projet'!$E$18+1,1))</f>
        <v>266.37807768393191</v>
      </c>
      <c r="HA155" s="59">
        <f t="shared" si="160"/>
        <v>168.52019826233425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73.456038772064375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190"/>
        <v>73.456038772064375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266.99999999999983</v>
      </c>
      <c r="O156" s="13">
        <f>N156*VLOOKUP('Données projet'!$B$9,Paramètres!$A$1:$I$89,3,0)*VLOOKUP('Données projet'!$B$9,Paramètres!$A$1:$I$89,5,0)</f>
        <v>233.2511999999999</v>
      </c>
      <c r="P156" s="13">
        <f t="shared" si="141"/>
        <v>56.985091661350864</v>
      </c>
      <c r="Q156" s="20">
        <f t="shared" si="162"/>
        <v>505.49487464351915</v>
      </c>
      <c r="R156" s="59">
        <f t="shared" si="109"/>
        <v>798.82820797685247</v>
      </c>
      <c r="S156" s="59">
        <f ca="1">AVERAGE(OFFSET($R$3,0,0,'Données projet'!$E$9+1,1))-AVERAGE(OFFSET($H$3,0,0,'Données projet'!$E$9+1,1))</f>
        <v>324.86930206492627</v>
      </c>
      <c r="T156" s="59">
        <f t="shared" si="142"/>
        <v>317.03005098025352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7.4476094878589976</v>
      </c>
      <c r="AA156" s="21">
        <f>EXP(-LN(2)/25)*AA155+(1-EXP(-LN(2)/25))/(LN(2)/25)*Calculateur!V156*Calculateur!X156*VLOOKUP('Données projet'!$B$9,Paramètres!$A$1:$I$89,3,0)*0.475*44/12</f>
        <v>1.2083673034994891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8.6559767913584871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5.4092197387944907E-13</v>
      </c>
      <c r="AK156" s="13">
        <f t="shared" si="164"/>
        <v>6.6765148417791561E-12</v>
      </c>
      <c r="AL156" s="20">
        <f t="shared" si="165"/>
        <v>1.2570369120605403E-11</v>
      </c>
      <c r="AM156" s="59">
        <f t="shared" si="113"/>
        <v>293.33333333334588</v>
      </c>
      <c r="AN156" s="59">
        <f ca="1">AVERAGE(OFFSET($AM$3,0,0,'Données projet'!$E$10+1,1))-AVERAGE(OFFSET($H$3,0,0,'Données projet'!$E$10+1,1))</f>
        <v>401.81944956556271</v>
      </c>
      <c r="AO156" s="59">
        <f t="shared" si="144"/>
        <v>292.20785523952651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116.31697064948752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116.31697064948752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1.7053025658242404E-13</v>
      </c>
      <c r="BE156" s="13">
        <f>BD156*VLOOKUP('Données projet'!$B$11,Paramètres!$A$1:$I$89,3,0)*VLOOKUP('Données projet'!$B$11,Paramètres!$A$1:$I$89,5,0)</f>
        <v>1.3301360013429075E-13</v>
      </c>
      <c r="BF156" s="13">
        <f t="shared" si="167"/>
        <v>1.9329766731057041E-12</v>
      </c>
      <c r="BG156" s="20">
        <f t="shared" si="168"/>
        <v>3.5982663925596575E-12</v>
      </c>
      <c r="BH156" s="59">
        <f t="shared" si="116"/>
        <v>293.3333333333369</v>
      </c>
      <c r="BI156" s="59">
        <f ca="1">AVERAGE(OFFSET($BH$3,0,0,'Données projet'!$E$11+1,1))-AVERAGE(OFFSET($H$3,0,0,'Données projet'!$E$11+1,1))</f>
        <v>288.80569134263209</v>
      </c>
      <c r="BJ156" s="59">
        <f t="shared" si="146"/>
        <v>283.48738729114024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15.371951203172598</v>
      </c>
      <c r="BQ156" s="21">
        <f>EXP(-LN(2)/25)*BQ155+(1-EXP(-LN(2)/25))/(LN(2)/25)*Calculateur!BL156*Calculateur!BN156*VLOOKUP('Données projet'!$B$11,Paramètres!$A$1:$I$89,3,0)*0.475*44/12</f>
        <v>6.6433072487830209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22.015258451955617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212.00000000000009</v>
      </c>
      <c r="BZ156" s="13">
        <f>BY156*VLOOKUP('Données projet'!$B$12,Paramètres!$A$1:$I$89,3,0)*VLOOKUP('Données projet'!$B$12,Paramètres!$A$1:$I$89,5,0)</f>
        <v>221.58240000000012</v>
      </c>
      <c r="CA156" s="13">
        <f t="shared" si="170"/>
        <v>54.458668952651578</v>
      </c>
      <c r="CB156" s="20">
        <f t="shared" si="171"/>
        <v>480.77152842586838</v>
      </c>
      <c r="CC156" s="59">
        <f t="shared" si="119"/>
        <v>774.10486175920164</v>
      </c>
      <c r="CD156" s="59">
        <f ca="1">AVERAGE(OFFSET($CC$3,0,0,'Données projet'!$E$12+1,1))-AVERAGE(OFFSET($H$3,0,0,'Données projet'!$E$12+1,1))</f>
        <v>352.22281362023102</v>
      </c>
      <c r="CE156" s="59">
        <f t="shared" si="148"/>
        <v>310.2353747925161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6.255088482955391</v>
      </c>
      <c r="CL156" s="21">
        <f>EXP(-LN(2)/25)*CL155+(1-EXP(-LN(2)/25))/(LN(2)/25)*Calculateur!CG156*Calculateur!CI156*VLOOKUP('Données projet'!$B$12,Paramètres!$A$1:$I$89,3,0)*0.475*44/12</f>
        <v>3.8497419069469987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10.104830389902389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195.05769230769226</v>
      </c>
      <c r="CR156" s="12">
        <f>VLOOKUP(A156,'Données projet'!$A$139:$I$159,9,0)</f>
        <v>3.0945512820512704</v>
      </c>
      <c r="CS156" s="12">
        <f t="array" ref="CS156">INDEX(CR:CR,MIN(IF(ISNUMBER(CR156:CR352),ROW(CR156:CR352),"")))</f>
        <v>3.0945512820512704</v>
      </c>
      <c r="CT156" s="12">
        <f>IF('Données projet'!$A$140&gt;35,CT155+CS156-DB155,IF(A156&lt;'Données projet'!$A$140,$CQ$205^A156,IF(A156='Données projet'!$A$140,'Données projet'!$B$140,CT155+CS156-DB155)))</f>
        <v>195.05769230769175</v>
      </c>
      <c r="CU156" s="17">
        <f>CT156*VLOOKUP('Données projet'!$B$13,Paramètres!$A$1:$I$89,3,0)*VLOOKUP('Données projet'!$B$13,Paramètres!$A$1:$I$89,5,0)</f>
        <v>176.48819999999949</v>
      </c>
      <c r="CV156" s="13">
        <f t="shared" si="173"/>
        <v>44.539981694883714</v>
      </c>
      <c r="CW156" s="20">
        <f t="shared" si="174"/>
        <v>384.95741645192157</v>
      </c>
      <c r="CX156" s="59">
        <f t="shared" si="122"/>
        <v>678.29074978525489</v>
      </c>
      <c r="CY156" s="59">
        <f ca="1">AVERAGE(OFFSET($CX$3,0,0,'Données projet'!$E$13+1,1))-AVERAGE(OFFSET($H$3,0,0,'Données projet'!$E$13+1,1))</f>
        <v>345.49688858037996</v>
      </c>
      <c r="CZ156" s="59">
        <f t="shared" si="150"/>
        <v>213.15872113755023</v>
      </c>
      <c r="DA156" s="15">
        <f>IF(ISNA(VLOOKUP(A156,'Données projet'!$A$139:$I$159,3,0)),0,VLOOKUP(A156,'Données projet'!$A$139:$I$159,3,0))</f>
        <v>13</v>
      </c>
      <c r="DB156" s="15">
        <f>IF(ISNA(VLOOKUP(A156,'Données projet'!$A$139:$I$159,4,0)),0,VLOOKUP(A156,'Données projet'!$A$139:$I$159,4,0))</f>
        <v>70.115384615384613</v>
      </c>
      <c r="DC156" s="16">
        <f>IF(ISNA(VLOOKUP(A156,'Données projet'!$A$139:$I$159,5,0)),0%,VLOOKUP(A156,'Données projet'!$A$139:$I$159,5,0)*VLOOKUP('Données projet'!$B$13,Paramètres!$A$1:$I$89,7,0))</f>
        <v>0.38700000000000001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105.95042013547638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105.95042013547638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195.05769230769226</v>
      </c>
      <c r="DM156" s="12">
        <f>VLOOKUP(A156,'Données projet'!$A$165:$I$185,9,0)</f>
        <v>3.0945512820512704</v>
      </c>
      <c r="DN156" s="12">
        <f t="array" ref="DN156">INDEX(DM:DM,MIN(IF(ISNUMBER(DM156:DM352),ROW(DM156:DM352),"")))</f>
        <v>3.0945512820512704</v>
      </c>
      <c r="DO156" s="12">
        <f>IF('Données projet'!$A$166&gt;35,DO155+DN156-DW155,IF(A156&lt;'Données projet'!$A$166,$DL$205^A156,IF(A156='Données projet'!$A$166,'Données projet'!$B$166,DO155+DN156-DW155)))</f>
        <v>195.05769230769175</v>
      </c>
      <c r="DP156" s="17">
        <f>DO156*VLOOKUP('Données projet'!$B$14,Paramètres!$A$1:$I$89,3,0)*VLOOKUP('Données projet'!$B$14,Paramètres!$A$1:$I$89,5,0)</f>
        <v>197.78849999999943</v>
      </c>
      <c r="DQ156" s="13">
        <f t="shared" si="176"/>
        <v>49.257832889250977</v>
      </c>
      <c r="DR156" s="20">
        <f t="shared" si="177"/>
        <v>430.27236311544448</v>
      </c>
      <c r="DS156" s="59">
        <f t="shared" si="125"/>
        <v>723.60569644877773</v>
      </c>
      <c r="DT156" s="59">
        <f ca="1">AVERAGE(OFFSET($DS$3,0,0,'Données projet'!$E$14+1,1))-AVERAGE(OFFSET($H$3,0,0,'Données projet'!$E$14+1,1))</f>
        <v>382.26108489744581</v>
      </c>
      <c r="DU156" s="59">
        <f t="shared" si="152"/>
        <v>233.89423996158826</v>
      </c>
      <c r="DV156" s="15">
        <f>IF(ISNA(VLOOKUP(A156,'Données projet'!$A$165:$I$185,3,0)),0,VLOOKUP(A156,'Données projet'!$A$165:$I$185,3,0))</f>
        <v>13</v>
      </c>
      <c r="DW156" s="15">
        <f>IF(ISNA(VLOOKUP(A156,'Données projet'!$A$165:$I$185,4,0)),0,VLOOKUP(A156,'Données projet'!$A$165:$I$185,4,0))</f>
        <v>70.115384615384613</v>
      </c>
      <c r="DX156" s="16">
        <f>IF(ISNA(VLOOKUP(A156,'Données projet'!$A$165:$I$185,5,0)),0%,VLOOKUP(A156,'Données projet'!$A$165:$I$185,5,0)*VLOOKUP('Données projet'!$B$14,Paramètres!$A$1:$I$89,7,0))</f>
        <v>0.38700000000000001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118.73753980699942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118.73753980699942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-2.4158453015843406E-13</v>
      </c>
      <c r="EK156" s="17">
        <f>EJ156*VLOOKUP('Données projet'!$B$15,Paramètres!$A$1:$I$89,3,0)*VLOOKUP('Données projet'!$B$15,Paramètres!$A$1:$I$89,5,0)</f>
        <v>-2.0351080820546486E-13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312.48716825299158</v>
      </c>
      <c r="EP156" s="59">
        <f t="shared" si="154"/>
        <v>258.68277822755357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63.560794858578483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63.560794858578483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>
        <f>VLOOKUP(A156,'Données projet'!$A$217:$I$237,2,0)</f>
        <v>195.05769230769226</v>
      </c>
      <c r="FC156" s="12">
        <f>VLOOKUP(A156,'Données projet'!$A$217:$I$237,9,0)</f>
        <v>3.0945512820512704</v>
      </c>
      <c r="FD156" s="12">
        <f t="array" ref="FD156">INDEX(FC:FC,MIN(IF(ISNUMBER(FC156:FC352),ROW(FC156:FC352),"")))</f>
        <v>3.0945512820512704</v>
      </c>
      <c r="FE156" s="12">
        <f>IF('Données projet'!$A$218&gt;35,FE155+FD156-FM155,IF(A156&lt;'Données projet'!$A$218,$FB$205^A156,IF(A156='Données projet'!$A$218,'Données projet'!$B$218,FE155+FD156-FM155)))</f>
        <v>195.05769230769175</v>
      </c>
      <c r="FF156" s="17">
        <f>FE156*VLOOKUP('Données projet'!$B$16,Paramètres!$A$1:$I$89,3,0)*VLOOKUP('Données projet'!$B$16,Paramètres!$A$1:$I$89,5,0)</f>
        <v>209.96009999999939</v>
      </c>
      <c r="FG156" s="13">
        <f t="shared" si="182"/>
        <v>51.926866448008234</v>
      </c>
      <c r="FH156" s="20">
        <f t="shared" si="183"/>
        <v>456.11979989694652</v>
      </c>
      <c r="FI156" s="59">
        <f t="shared" si="131"/>
        <v>749.45313323027983</v>
      </c>
      <c r="FJ156" s="59">
        <f ca="1">AVERAGE(OFFSET($FI$3,0,0,'Données projet'!$E$16+1,1))-AVERAGE(OFFSET($H$3,0,0,'Données projet'!$E$16+1,1))</f>
        <v>403.23110963096246</v>
      </c>
      <c r="FK156" s="59">
        <f t="shared" si="156"/>
        <v>245.72000393124898</v>
      </c>
      <c r="FL156" s="15">
        <f>IF(ISNA(VLOOKUP(A156,'Données projet'!$A$217:$I$237,3,0)),0,VLOOKUP(A156,'Données projet'!$A$217:$I$237,3,0))</f>
        <v>13</v>
      </c>
      <c r="FM156" s="15">
        <f>IF(ISNA(VLOOKUP(A156,'Données projet'!$A$217:$I$237,4,0)),0,VLOOKUP(A156,'Données projet'!$A$217:$I$237,4,0))</f>
        <v>70.115384615384613</v>
      </c>
      <c r="FN156" s="16">
        <f>IF(ISNA(VLOOKUP(A156,'Données projet'!$A$217:$I$237,5,0)),0%,VLOOKUP(A156,'Données projet'!$A$217:$I$237,5,0)*VLOOKUP('Données projet'!$B$16,Paramètres!$A$1:$I$89,7,0))</f>
        <v>0.38700000000000001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126.04446533358399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126.04446533358399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>
        <f>VLOOKUP(A156,'Données projet'!$A$243:$I$263,2,0)</f>
        <v>195.05769230769226</v>
      </c>
      <c r="FX156" s="12">
        <f>VLOOKUP(A156,'Données projet'!$A$243:$I$263,9,0)</f>
        <v>3.0945512820512704</v>
      </c>
      <c r="FY156" s="12">
        <f t="array" ref="FY156">INDEX(FX:FX,MIN(IF(ISNUMBER(FX156:FX352),ROW(FX156:FX352),"")))</f>
        <v>3.0945512820512704</v>
      </c>
      <c r="FZ156" s="12">
        <f>IF('Données projet'!$A$244&gt;35,FZ155+FY156-GH155,IF(A156&lt;'Données projet'!$A$244,$FW$205^A156,IF(A156='Données projet'!$A$244,'Données projet'!$B$244,FZ155+FY156-GH155)))</f>
        <v>195.05769230769175</v>
      </c>
      <c r="GA156" s="17">
        <f>FZ156*VLOOKUP('Données projet'!$B$17,Paramètres!$A$1:$I$89,3,0)*VLOOKUP('Données projet'!$B$17,Paramètres!$A$1:$I$89,5,0)</f>
        <v>188.65979999999948</v>
      </c>
      <c r="GB156" s="13">
        <f t="shared" si="185"/>
        <v>47.243531701134245</v>
      </c>
      <c r="GC156" s="20">
        <f t="shared" si="186"/>
        <v>410.86496937947453</v>
      </c>
      <c r="GD156" s="59">
        <f t="shared" si="134"/>
        <v>704.19830271280784</v>
      </c>
      <c r="GE156" s="59">
        <f ca="1">AVERAGE(OFFSET($GD$3,0,0,'Données projet'!$E$17+1,1))-AVERAGE(OFFSET($H$3,0,0,'Données projet'!$E$17+1,1))</f>
        <v>336.2911850338175</v>
      </c>
      <c r="GF156" s="59">
        <f t="shared" si="158"/>
        <v>225.01415116995503</v>
      </c>
      <c r="GG156" s="15">
        <f>IF(ISNA(VLOOKUP(A156,'Données projet'!$A$243:$I$263,3,0)),0,VLOOKUP(A156,'Données projet'!$A$243:$I$263,3,0))</f>
        <v>13</v>
      </c>
      <c r="GH156" s="15">
        <f>IF(ISNA(VLOOKUP(A156,'Données projet'!$A$243:$I$263,4,0)),0,VLOOKUP(A156,'Données projet'!$A$243:$I$263,4,0))</f>
        <v>70.115384615384613</v>
      </c>
      <c r="GI156" s="16">
        <f>IF(ISNA(VLOOKUP(A156,'Données projet'!$A$243:$I$263,5,0)),0%,VLOOKUP(A156,'Données projet'!$A$243:$I$263,5,0)*VLOOKUP('Données projet'!$B$17,Paramètres!$A$1:$I$89,7,0))</f>
        <v>0.38700000000000001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113.257345662061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113.257345662061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>
        <f>VLOOKUP(A156,'Données projet'!$A$269:$I$289,2,0)</f>
        <v>195.05769230769226</v>
      </c>
      <c r="GS156" s="12">
        <f>VLOOKUP(A156,'Données projet'!$A$269:$I$289,9,0)</f>
        <v>3.0945512820512704</v>
      </c>
      <c r="GT156" s="12">
        <f t="array" ref="GT156">INDEX(GS:GS,MIN(IF(ISNUMBER(GS156:GS352),ROW(GS156:GS352),"")))</f>
        <v>3.0945512820512704</v>
      </c>
      <c r="GU156" s="12">
        <f>IF('Données projet'!$A$270&gt;35,GU155+GT156-HC155,IF(A156&lt;'Données projet'!$A$270,$GR$205^A156,IF(A156='Données projet'!$A$270,'Données projet'!$B$270,GU155+GT156-HC155)))</f>
        <v>195.05769230769175</v>
      </c>
      <c r="GV156" s="17">
        <f>GU156*VLOOKUP('Données projet'!$B$18,Paramètres!$A$1:$I$89,3,0)*VLOOKUP('Données projet'!$B$18,Paramètres!$A$1:$I$89,5,0)</f>
        <v>130.84469999999965</v>
      </c>
      <c r="GW156" s="13">
        <f t="shared" si="188"/>
        <v>34.191471066804986</v>
      </c>
      <c r="GX156" s="20">
        <f t="shared" si="189"/>
        <v>287.4379979413514</v>
      </c>
      <c r="GY156" s="59">
        <f t="shared" si="137"/>
        <v>580.77133127468471</v>
      </c>
      <c r="GZ156" s="59">
        <f ca="1">AVERAGE(OFFSET($GY$3,0,0,'Données projet'!$E$18+1,1))-AVERAGE(OFFSET($H$3,0,0,'Données projet'!$E$18+1,1))</f>
        <v>266.37807768393191</v>
      </c>
      <c r="HA156" s="59">
        <f t="shared" si="160"/>
        <v>168.52019826233425</v>
      </c>
      <c r="HB156" s="15">
        <f>IF(ISNA(VLOOKUP(A156,'Données projet'!$A$269:$I$289,3,0)),0,VLOOKUP(A156,'Données projet'!$A$269:$I$289,3,0))</f>
        <v>13</v>
      </c>
      <c r="HC156" s="15">
        <f>IF(ISNA(VLOOKUP(A156,'Données projet'!$A$269:$I$289,4,0)),0,VLOOKUP(A156,'Données projet'!$A$269:$I$289,4,0))</f>
        <v>70.115384615384613</v>
      </c>
      <c r="HD156" s="16">
        <f>IF(ISNA(VLOOKUP(A156,'Données projet'!$A$269:$I$289,5,0)),0%,VLOOKUP(A156,'Données projet'!$A$269:$I$289,5,0)*VLOOKUP('Données projet'!$B$18,Paramètres!$A$1:$I$89,7,0))</f>
        <v>0.47700000000000004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96.816763227245687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190"/>
        <v>96.816763227245687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266.99999999999983</v>
      </c>
      <c r="O157" s="13">
        <f>N157*VLOOKUP('Données projet'!$B$9,Paramètres!$A$1:$I$89,3,0)*VLOOKUP('Données projet'!$B$9,Paramètres!$A$1:$I$89,5,0)</f>
        <v>233.2511999999999</v>
      </c>
      <c r="P157" s="13">
        <f t="shared" si="141"/>
        <v>56.985091661350864</v>
      </c>
      <c r="Q157" s="20">
        <f t="shared" si="162"/>
        <v>505.49487464351915</v>
      </c>
      <c r="R157" s="59">
        <f t="shared" si="109"/>
        <v>798.82820797685247</v>
      </c>
      <c r="S157" s="59">
        <f ca="1">AVERAGE(OFFSET($R$3,0,0,'Données projet'!$E$9+1,1))-AVERAGE(OFFSET($H$3,0,0,'Données projet'!$E$9+1,1))</f>
        <v>324.86930206492627</v>
      </c>
      <c r="T157" s="59">
        <f t="shared" si="142"/>
        <v>317.03005098025352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7.3015664083953267</v>
      </c>
      <c r="AA157" s="21">
        <f>EXP(-LN(2)/25)*AA156+(1-EXP(-LN(2)/25))/(LN(2)/25)*Calculateur!V157*Calculateur!X157*VLOOKUP('Données projet'!$B$9,Paramètres!$A$1:$I$89,3,0)*0.475*44/12</f>
        <v>1.1753244360400208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8.4768908444353475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5.4092197387944907E-13</v>
      </c>
      <c r="AK157" s="13">
        <f t="shared" si="164"/>
        <v>6.6765148417791561E-12</v>
      </c>
      <c r="AL157" s="20">
        <f t="shared" si="165"/>
        <v>1.2570369120605403E-11</v>
      </c>
      <c r="AM157" s="59">
        <f t="shared" si="113"/>
        <v>293.33333333334588</v>
      </c>
      <c r="AN157" s="59">
        <f ca="1">AVERAGE(OFFSET($AM$3,0,0,'Données projet'!$E$10+1,1))-AVERAGE(OFFSET($H$3,0,0,'Données projet'!$E$10+1,1))</f>
        <v>401.81944956556271</v>
      </c>
      <c r="AO157" s="59">
        <f t="shared" si="144"/>
        <v>292.20785523952651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114.0360658013978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114.0360658013978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1.7053025658242404E-13</v>
      </c>
      <c r="BE157" s="13">
        <f>BD157*VLOOKUP('Données projet'!$B$11,Paramètres!$A$1:$I$89,3,0)*VLOOKUP('Données projet'!$B$11,Paramètres!$A$1:$I$89,5,0)</f>
        <v>1.3301360013429075E-13</v>
      </c>
      <c r="BF157" s="13">
        <f t="shared" si="167"/>
        <v>1.9329766731057041E-12</v>
      </c>
      <c r="BG157" s="20">
        <f t="shared" si="168"/>
        <v>3.5982663925596575E-12</v>
      </c>
      <c r="BH157" s="59">
        <f t="shared" si="116"/>
        <v>293.3333333333369</v>
      </c>
      <c r="BI157" s="59">
        <f ca="1">AVERAGE(OFFSET($BH$3,0,0,'Données projet'!$E$11+1,1))-AVERAGE(OFFSET($H$3,0,0,'Données projet'!$E$11+1,1))</f>
        <v>288.80569134263209</v>
      </c>
      <c r="BJ157" s="59">
        <f t="shared" si="146"/>
        <v>283.48738729114024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15.070516616042818</v>
      </c>
      <c r="BQ157" s="21">
        <f>EXP(-LN(2)/25)*BQ156+(1-EXP(-LN(2)/25))/(LN(2)/25)*Calculateur!BL157*Calculateur!BN157*VLOOKUP('Données projet'!$B$11,Paramètres!$A$1:$I$89,3,0)*0.475*44/12</f>
        <v>6.4616456627087047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21.532162278751521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212.00000000000009</v>
      </c>
      <c r="BZ157" s="13">
        <f>BY157*VLOOKUP('Données projet'!$B$12,Paramètres!$A$1:$I$89,3,0)*VLOOKUP('Données projet'!$B$12,Paramètres!$A$1:$I$89,5,0)</f>
        <v>221.58240000000012</v>
      </c>
      <c r="CA157" s="13">
        <f t="shared" si="170"/>
        <v>54.458668952651578</v>
      </c>
      <c r="CB157" s="20">
        <f t="shared" si="171"/>
        <v>480.77152842586838</v>
      </c>
      <c r="CC157" s="59">
        <f t="shared" si="119"/>
        <v>774.10486175920164</v>
      </c>
      <c r="CD157" s="59">
        <f ca="1">AVERAGE(OFFSET($CC$3,0,0,'Données projet'!$E$12+1,1))-AVERAGE(OFFSET($H$3,0,0,'Données projet'!$E$12+1,1))</f>
        <v>352.22281362023102</v>
      </c>
      <c r="CE157" s="59">
        <f t="shared" si="148"/>
        <v>310.2353747925161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6.1324300130318878</v>
      </c>
      <c r="CL157" s="21">
        <f>EXP(-LN(2)/25)*CL156+(1-EXP(-LN(2)/25))/(LN(2)/25)*Calculateur!CG157*Calculateur!CI157*VLOOKUP('Données projet'!$B$12,Paramètres!$A$1:$I$89,3,0)*0.475*44/12</f>
        <v>3.7444705120524047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9.8769005250842916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1.8717948717948829</v>
      </c>
      <c r="CT157" s="12">
        <f>IF('Données projet'!$A$140&gt;35,CT156+CS157-DB156,IF(A157&lt;'Données projet'!$A$140,$CQ$205^A157,IF(A157='Données projet'!$A$140,'Données projet'!$B$140,CT156+CS157-DB156)))</f>
        <v>126.81410256410203</v>
      </c>
      <c r="CU157" s="17">
        <f>CT157*VLOOKUP('Données projet'!$B$13,Paramètres!$A$1:$I$89,3,0)*VLOOKUP('Données projet'!$B$13,Paramètres!$A$1:$I$89,5,0)</f>
        <v>114.74139999999952</v>
      </c>
      <c r="CV157" s="13">
        <f t="shared" si="173"/>
        <v>30.445336927793726</v>
      </c>
      <c r="CW157" s="20">
        <f t="shared" si="174"/>
        <v>252.86690014923991</v>
      </c>
      <c r="CX157" s="59">
        <f t="shared" si="122"/>
        <v>546.20023348257325</v>
      </c>
      <c r="CY157" s="59">
        <f ca="1">AVERAGE(OFFSET($CX$3,0,0,'Données projet'!$E$13+1,1))-AVERAGE(OFFSET($H$3,0,0,'Données projet'!$E$13+1,1))</f>
        <v>345.49688858037996</v>
      </c>
      <c r="CZ157" s="59">
        <f t="shared" si="150"/>
        <v>213.15872113755023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103.87279701999493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103.87279701999493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1.8717948717948829</v>
      </c>
      <c r="DO157" s="12">
        <f>IF('Données projet'!$A$166&gt;35,DO156+DN157-DW156,IF(A157&lt;'Données projet'!$A$166,$DL$205^A157,IF(A157='Données projet'!$A$166,'Données projet'!$B$166,DO156+DN157-DW156)))</f>
        <v>126.81410256410203</v>
      </c>
      <c r="DP157" s="17">
        <f>DO157*VLOOKUP('Données projet'!$B$14,Paramètres!$A$1:$I$89,3,0)*VLOOKUP('Données projet'!$B$14,Paramètres!$A$1:$I$89,5,0)</f>
        <v>128.58949999999948</v>
      </c>
      <c r="DQ157" s="13">
        <f t="shared" si="176"/>
        <v>33.670227547903842</v>
      </c>
      <c r="DR157" s="20">
        <f t="shared" si="177"/>
        <v>282.60235881259825</v>
      </c>
      <c r="DS157" s="59">
        <f t="shared" si="125"/>
        <v>575.93569214593163</v>
      </c>
      <c r="DT157" s="59">
        <f ca="1">AVERAGE(OFFSET($DS$3,0,0,'Données projet'!$E$14+1,1))-AVERAGE(OFFSET($H$3,0,0,'Données projet'!$E$14+1,1))</f>
        <v>382.26108489744581</v>
      </c>
      <c r="DU157" s="59">
        <f t="shared" si="152"/>
        <v>233.89423996158826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116.40916907413229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116.40916907413229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-2.4158453015843406E-13</v>
      </c>
      <c r="EK157" s="17">
        <f>EJ157*VLOOKUP('Données projet'!$B$15,Paramètres!$A$1:$I$89,3,0)*VLOOKUP('Données projet'!$B$15,Paramètres!$A$1:$I$89,5,0)</f>
        <v>-2.0351080820546486E-13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312.48716825299158</v>
      </c>
      <c r="EP157" s="59">
        <f t="shared" si="154"/>
        <v>258.68277822755357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62.314406439658576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62.314406439658576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1.8717948717948829</v>
      </c>
      <c r="FE157" s="12">
        <f>IF('Données projet'!$A$218&gt;35,FE156+FD157-FM156,IF(A157&lt;'Données projet'!$A$218,$FB$205^A157,IF(A157='Données projet'!$A$218,'Données projet'!$B$218,FE156+FD157-FM156)))</f>
        <v>126.81410256410203</v>
      </c>
      <c r="FF157" s="17">
        <f>FE157*VLOOKUP('Données projet'!$B$16,Paramètres!$A$1:$I$89,3,0)*VLOOKUP('Données projet'!$B$16,Paramètres!$A$1:$I$89,5,0)</f>
        <v>136.50269999999941</v>
      </c>
      <c r="FG157" s="13">
        <f t="shared" si="182"/>
        <v>35.494647380956579</v>
      </c>
      <c r="FH157" s="20">
        <f t="shared" si="183"/>
        <v>299.56204668849836</v>
      </c>
      <c r="FI157" s="59">
        <f t="shared" si="131"/>
        <v>592.89538002183167</v>
      </c>
      <c r="FJ157" s="59">
        <f ca="1">AVERAGE(OFFSET($FI$3,0,0,'Données projet'!$E$16+1,1))-AVERAGE(OFFSET($H$3,0,0,'Données projet'!$E$16+1,1))</f>
        <v>403.23110963096246</v>
      </c>
      <c r="FK157" s="59">
        <f t="shared" si="156"/>
        <v>245.72000393124898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123.57281024792503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123.57281024792503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1.8717948717948829</v>
      </c>
      <c r="FZ157" s="12">
        <f>IF('Données projet'!$A$244&gt;35,FZ156+FY157-GH156,IF(A157&lt;'Données projet'!$A$244,$FW$205^A157,IF(A157='Données projet'!$A$244,'Données projet'!$B$244,FZ156+FY157-GH156)))</f>
        <v>126.81410256410203</v>
      </c>
      <c r="GA157" s="17">
        <f>FZ157*VLOOKUP('Données projet'!$B$17,Paramètres!$A$1:$I$89,3,0)*VLOOKUP('Données projet'!$B$17,Paramètres!$A$1:$I$89,5,0)</f>
        <v>122.65459999999949</v>
      </c>
      <c r="GB157" s="13">
        <f t="shared" si="185"/>
        <v>32.293350503670261</v>
      </c>
      <c r="GC157" s="20">
        <f t="shared" si="186"/>
        <v>269.86768046055812</v>
      </c>
      <c r="GD157" s="59">
        <f t="shared" si="134"/>
        <v>563.20101379389143</v>
      </c>
      <c r="GE157" s="59">
        <f ca="1">AVERAGE(OFFSET($GD$3,0,0,'Données projet'!$E$17+1,1))-AVERAGE(OFFSET($H$3,0,0,'Données projet'!$E$17+1,1))</f>
        <v>336.2911850338175</v>
      </c>
      <c r="GF157" s="59">
        <f t="shared" si="158"/>
        <v>225.01415116995503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111.03643819378773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111.03643819378773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1.8717948717948829</v>
      </c>
      <c r="GU157" s="12">
        <f>IF('Données projet'!$A$270&gt;35,GU156+GT157-HC156,IF(A157&lt;'Données projet'!$A$270,$GR$205^A157,IF(A157='Données projet'!$A$270,'Données projet'!$B$270,GU156+GT157-HC156)))</f>
        <v>126.81410256410203</v>
      </c>
      <c r="GV157" s="17">
        <f>GU157*VLOOKUP('Données projet'!$B$18,Paramètres!$A$1:$I$89,3,0)*VLOOKUP('Données projet'!$B$18,Paramètres!$A$1:$I$89,5,0)</f>
        <v>85.066899999999634</v>
      </c>
      <c r="GW157" s="13">
        <f t="shared" si="188"/>
        <v>23.371604950734977</v>
      </c>
      <c r="GX157" s="20">
        <f t="shared" si="189"/>
        <v>188.86372945586277</v>
      </c>
      <c r="GY157" s="59">
        <f t="shared" si="137"/>
        <v>482.19706278919608</v>
      </c>
      <c r="GZ157" s="59">
        <f ca="1">AVERAGE(OFFSET($GY$3,0,0,'Données projet'!$E$18+1,1))-AVERAGE(OFFSET($H$3,0,0,'Données projet'!$E$18+1,1))</f>
        <v>266.37807768393191</v>
      </c>
      <c r="HA157" s="59">
        <f t="shared" si="160"/>
        <v>168.52019826233425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94.91824555275403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190"/>
        <v>94.91824555275403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266.99999999999983</v>
      </c>
      <c r="O158" s="13">
        <f>N158*VLOOKUP('Données projet'!$B$9,Paramètres!$A$1:$I$89,3,0)*VLOOKUP('Données projet'!$B$9,Paramètres!$A$1:$I$89,5,0)</f>
        <v>233.2511999999999</v>
      </c>
      <c r="P158" s="13">
        <f t="shared" si="141"/>
        <v>56.985091661350864</v>
      </c>
      <c r="Q158" s="20">
        <f t="shared" si="162"/>
        <v>505.49487464351915</v>
      </c>
      <c r="R158" s="59">
        <f t="shared" si="109"/>
        <v>798.82820797685247</v>
      </c>
      <c r="S158" s="59">
        <f ca="1">AVERAGE(OFFSET($R$3,0,0,'Données projet'!$E$9+1,1))-AVERAGE(OFFSET($H$3,0,0,'Données projet'!$E$9+1,1))</f>
        <v>324.86930206492627</v>
      </c>
      <c r="T158" s="59">
        <f t="shared" si="142"/>
        <v>317.03005098025352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7.1583871446424556</v>
      </c>
      <c r="AA158" s="21">
        <f>EXP(-LN(2)/25)*AA157+(1-EXP(-LN(2)/25))/(LN(2)/25)*Calculateur!V158*Calculateur!X158*VLOOKUP('Données projet'!$B$9,Paramètres!$A$1:$I$89,3,0)*0.475*44/12</f>
        <v>1.1431851275288805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8.3015722721713363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5.4092197387944907E-13</v>
      </c>
      <c r="AK158" s="13">
        <f t="shared" si="164"/>
        <v>6.6765148417791561E-12</v>
      </c>
      <c r="AL158" s="20">
        <f t="shared" si="165"/>
        <v>1.2570369120605403E-11</v>
      </c>
      <c r="AM158" s="59">
        <f t="shared" si="113"/>
        <v>293.33333333334588</v>
      </c>
      <c r="AN158" s="59">
        <f ca="1">AVERAGE(OFFSET($AM$3,0,0,'Données projet'!$E$10+1,1))-AVERAGE(OFFSET($H$3,0,0,'Données projet'!$E$10+1,1))</f>
        <v>401.81944956556271</v>
      </c>
      <c r="AO158" s="59">
        <f t="shared" si="144"/>
        <v>292.20785523952651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111.79988810616453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111.79988810616453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1.7053025658242404E-13</v>
      </c>
      <c r="BE158" s="13">
        <f>BD158*VLOOKUP('Données projet'!$B$11,Paramètres!$A$1:$I$89,3,0)*VLOOKUP('Données projet'!$B$11,Paramètres!$A$1:$I$89,5,0)</f>
        <v>1.3301360013429075E-13</v>
      </c>
      <c r="BF158" s="13">
        <f t="shared" si="167"/>
        <v>1.9329766731057041E-12</v>
      </c>
      <c r="BG158" s="20">
        <f t="shared" si="168"/>
        <v>3.5982663925596575E-12</v>
      </c>
      <c r="BH158" s="59">
        <f t="shared" si="116"/>
        <v>293.3333333333369</v>
      </c>
      <c r="BI158" s="59">
        <f ca="1">AVERAGE(OFFSET($BH$3,0,0,'Données projet'!$E$11+1,1))-AVERAGE(OFFSET($H$3,0,0,'Données projet'!$E$11+1,1))</f>
        <v>288.80569134263209</v>
      </c>
      <c r="BJ158" s="59">
        <f t="shared" si="146"/>
        <v>283.48738729114024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14.77499297730971</v>
      </c>
      <c r="BQ158" s="21">
        <f>EXP(-LN(2)/25)*BQ157+(1-EXP(-LN(2)/25))/(LN(2)/25)*Calculateur!BL158*Calculateur!BN158*VLOOKUP('Données projet'!$B$11,Paramètres!$A$1:$I$89,3,0)*0.475*44/12</f>
        <v>6.2849516222587578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21.059944599568468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212.00000000000009</v>
      </c>
      <c r="BZ158" s="13">
        <f>BY158*VLOOKUP('Données projet'!$B$12,Paramètres!$A$1:$I$89,3,0)*VLOOKUP('Données projet'!$B$12,Paramètres!$A$1:$I$89,5,0)</f>
        <v>221.58240000000012</v>
      </c>
      <c r="CA158" s="13">
        <f t="shared" si="170"/>
        <v>54.458668952651578</v>
      </c>
      <c r="CB158" s="20">
        <f t="shared" si="171"/>
        <v>480.77152842586838</v>
      </c>
      <c r="CC158" s="59">
        <f t="shared" si="119"/>
        <v>774.10486175920164</v>
      </c>
      <c r="CD158" s="59">
        <f ca="1">AVERAGE(OFFSET($CC$3,0,0,'Données projet'!$E$12+1,1))-AVERAGE(OFFSET($H$3,0,0,'Données projet'!$E$12+1,1))</f>
        <v>352.22281362023102</v>
      </c>
      <c r="CE158" s="59">
        <f t="shared" si="148"/>
        <v>310.2353747925161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6.0121768008893053</v>
      </c>
      <c r="CL158" s="21">
        <f>EXP(-LN(2)/25)*CL157+(1-EXP(-LN(2)/25))/(LN(2)/25)*Calculateur!CG158*Calculateur!CI158*VLOOKUP('Données projet'!$B$12,Paramètres!$A$1:$I$89,3,0)*0.475*44/12</f>
        <v>3.6420777689871855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9.6542545698764908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1.8717948717948829</v>
      </c>
      <c r="CT158" s="12">
        <f>IF('Données projet'!$A$140&gt;35,CT157+CS158-DB157,IF(A158&lt;'Données projet'!$A$140,$CQ$205^A158,IF(A158='Données projet'!$A$140,'Données projet'!$B$140,CT157+CS158-DB157)))</f>
        <v>128.68589743589692</v>
      </c>
      <c r="CU158" s="17">
        <f>CT158*VLOOKUP('Données projet'!$B$13,Paramètres!$A$1:$I$89,3,0)*VLOOKUP('Données projet'!$B$13,Paramètres!$A$1:$I$89,5,0)</f>
        <v>116.43499999999953</v>
      </c>
      <c r="CV158" s="13">
        <f t="shared" si="173"/>
        <v>30.842067793939304</v>
      </c>
      <c r="CW158" s="20">
        <f t="shared" si="174"/>
        <v>256.50755974111013</v>
      </c>
      <c r="CX158" s="59">
        <f t="shared" si="122"/>
        <v>549.84089307444344</v>
      </c>
      <c r="CY158" s="59">
        <f ca="1">AVERAGE(OFFSET($CX$3,0,0,'Données projet'!$E$13+1,1))-AVERAGE(OFFSET($H$3,0,0,'Données projet'!$E$13+1,1))</f>
        <v>345.49688858037996</v>
      </c>
      <c r="CZ158" s="59">
        <f t="shared" si="150"/>
        <v>213.15872113755023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101.83591482658312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101.83591482658312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1.8717948717948829</v>
      </c>
      <c r="DO158" s="12">
        <f>IF('Données projet'!$A$166&gt;35,DO157+DN158-DW157,IF(A158&lt;'Données projet'!$A$166,$DL$205^A158,IF(A158='Données projet'!$A$166,'Données projet'!$B$166,DO157+DN158-DW157)))</f>
        <v>128.68589743589692</v>
      </c>
      <c r="DP158" s="17">
        <f>DO158*VLOOKUP('Données projet'!$B$14,Paramètres!$A$1:$I$89,3,0)*VLOOKUP('Données projet'!$B$14,Paramètres!$A$1:$I$89,5,0)</f>
        <v>130.4874999999995</v>
      </c>
      <c r="DQ158" s="13">
        <f t="shared" si="176"/>
        <v>34.108981718044198</v>
      </c>
      <c r="DR158" s="20">
        <f t="shared" si="177"/>
        <v>286.67220565892609</v>
      </c>
      <c r="DS158" s="59">
        <f t="shared" si="125"/>
        <v>580.0055389922594</v>
      </c>
      <c r="DT158" s="59">
        <f ca="1">AVERAGE(OFFSET($DS$3,0,0,'Données projet'!$E$14+1,1))-AVERAGE(OFFSET($H$3,0,0,'Données projet'!$E$14+1,1))</f>
        <v>382.26108489744581</v>
      </c>
      <c r="DU158" s="59">
        <f t="shared" si="152"/>
        <v>233.89423996158826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114.12645627117077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114.12645627117077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-2.4158453015843406E-13</v>
      </c>
      <c r="EK158" s="17">
        <f>EJ158*VLOOKUP('Données projet'!$B$15,Paramètres!$A$1:$I$89,3,0)*VLOOKUP('Données projet'!$B$15,Paramètres!$A$1:$I$89,5,0)</f>
        <v>-2.0351080820546486E-13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312.48716825299158</v>
      </c>
      <c r="EP158" s="59">
        <f t="shared" si="154"/>
        <v>258.68277822755357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61.09245893741182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61.09245893741182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1.8717948717948829</v>
      </c>
      <c r="FE158" s="12">
        <f>IF('Données projet'!$A$218&gt;35,FE157+FD158-FM157,IF(A158&lt;'Données projet'!$A$218,$FB$205^A158,IF(A158='Données projet'!$A$218,'Données projet'!$B$218,FE157+FD158-FM157)))</f>
        <v>128.68589743589692</v>
      </c>
      <c r="FF158" s="17">
        <f>FE158*VLOOKUP('Données projet'!$B$16,Paramètres!$A$1:$I$89,3,0)*VLOOKUP('Données projet'!$B$16,Paramètres!$A$1:$I$89,5,0)</f>
        <v>138.51749999999944</v>
      </c>
      <c r="FG158" s="13">
        <f t="shared" si="182"/>
        <v>35.957175426955089</v>
      </c>
      <c r="FH158" s="20">
        <f t="shared" si="183"/>
        <v>303.87672636861254</v>
      </c>
      <c r="FI158" s="59">
        <f t="shared" si="131"/>
        <v>597.21005970194585</v>
      </c>
      <c r="FJ158" s="59">
        <f ca="1">AVERAGE(OFFSET($FI$3,0,0,'Données projet'!$E$16+1,1))-AVERAGE(OFFSET($H$3,0,0,'Données projet'!$E$16+1,1))</f>
        <v>403.23110963096246</v>
      </c>
      <c r="FK158" s="59">
        <f t="shared" si="156"/>
        <v>245.72000393124898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121.14962281093511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121.14962281093511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1.8717948717948829</v>
      </c>
      <c r="FZ158" s="12">
        <f>IF('Données projet'!$A$244&gt;35,FZ157+FY158-GH157,IF(A158&lt;'Données projet'!$A$244,$FW$205^A158,IF(A158='Données projet'!$A$244,'Données projet'!$B$244,FZ157+FY158-GH157)))</f>
        <v>128.68589743589692</v>
      </c>
      <c r="GA158" s="17">
        <f>FZ158*VLOOKUP('Données projet'!$B$17,Paramètres!$A$1:$I$89,3,0)*VLOOKUP('Données projet'!$B$17,Paramètres!$A$1:$I$89,5,0)</f>
        <v>124.46499999999952</v>
      </c>
      <c r="GB158" s="13">
        <f t="shared" si="185"/>
        <v>32.714162693939279</v>
      </c>
      <c r="GC158" s="20">
        <f t="shared" si="186"/>
        <v>273.75370835861008</v>
      </c>
      <c r="GD158" s="59">
        <f t="shared" si="134"/>
        <v>567.08704169194334</v>
      </c>
      <c r="GE158" s="59">
        <f ca="1">AVERAGE(OFFSET($GD$3,0,0,'Données projet'!$E$17+1,1))-AVERAGE(OFFSET($H$3,0,0,'Données projet'!$E$17+1,1))</f>
        <v>336.2911850338175</v>
      </c>
      <c r="GF158" s="59">
        <f t="shared" si="158"/>
        <v>225.01415116995503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108.85908136634751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108.85908136634751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1.8717948717948829</v>
      </c>
      <c r="GU158" s="12">
        <f>IF('Données projet'!$A$270&gt;35,GU157+GT158-HC157,IF(A158&lt;'Données projet'!$A$270,$GR$205^A158,IF(A158='Données projet'!$A$270,'Données projet'!$B$270,GU157+GT158-HC157)))</f>
        <v>128.68589743589692</v>
      </c>
      <c r="GV158" s="17">
        <f>GU158*VLOOKUP('Données projet'!$B$18,Paramètres!$A$1:$I$89,3,0)*VLOOKUP('Données projet'!$B$18,Paramètres!$A$1:$I$89,5,0)</f>
        <v>86.322499999999664</v>
      </c>
      <c r="GW158" s="13">
        <f t="shared" si="188"/>
        <v>23.676158554372453</v>
      </c>
      <c r="GX158" s="20">
        <f t="shared" si="189"/>
        <v>191.58099698219812</v>
      </c>
      <c r="GY158" s="59">
        <f t="shared" si="137"/>
        <v>484.9143303155314</v>
      </c>
      <c r="GZ158" s="59">
        <f ca="1">AVERAGE(OFFSET($GY$3,0,0,'Données projet'!$E$18+1,1))-AVERAGE(OFFSET($H$3,0,0,'Données projet'!$E$18+1,1))</f>
        <v>266.37807768393191</v>
      </c>
      <c r="HA158" s="59">
        <f t="shared" si="160"/>
        <v>168.52019826233425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93.056956651877712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190"/>
        <v>93.056956651877712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266.99999999999983</v>
      </c>
      <c r="O159" s="13">
        <f>N159*VLOOKUP('Données projet'!$B$9,Paramètres!$A$1:$I$89,3,0)*VLOOKUP('Données projet'!$B$9,Paramètres!$A$1:$I$89,5,0)</f>
        <v>233.2511999999999</v>
      </c>
      <c r="P159" s="13">
        <f t="shared" si="141"/>
        <v>56.985091661350864</v>
      </c>
      <c r="Q159" s="20">
        <f t="shared" si="162"/>
        <v>505.49487464351915</v>
      </c>
      <c r="R159" s="59">
        <f t="shared" si="109"/>
        <v>798.82820797685247</v>
      </c>
      <c r="S159" s="59">
        <f ca="1">AVERAGE(OFFSET($R$3,0,0,'Données projet'!$E$9+1,1))-AVERAGE(OFFSET($H$3,0,0,'Données projet'!$E$9+1,1))</f>
        <v>324.86930206492627</v>
      </c>
      <c r="T159" s="59">
        <f t="shared" si="142"/>
        <v>317.03005098025352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7.0180155389210501</v>
      </c>
      <c r="AA159" s="21">
        <f>EXP(-LN(2)/25)*AA158+(1-EXP(-LN(2)/25))/(LN(2)/25)*Calculateur!V159*Calculateur!X159*VLOOKUP('Données projet'!$B$9,Paramètres!$A$1:$I$89,3,0)*0.475*44/12</f>
        <v>1.1119246700991101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8.1299402090201607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5.4092197387944907E-13</v>
      </c>
      <c r="AK159" s="13">
        <f t="shared" si="164"/>
        <v>6.6765148417791561E-12</v>
      </c>
      <c r="AL159" s="20">
        <f t="shared" si="165"/>
        <v>1.2570369120605403E-11</v>
      </c>
      <c r="AM159" s="59">
        <f t="shared" si="113"/>
        <v>293.33333333334588</v>
      </c>
      <c r="AN159" s="59">
        <f ca="1">AVERAGE(OFFSET($AM$3,0,0,'Données projet'!$E$10+1,1))-AVERAGE(OFFSET($H$3,0,0,'Données projet'!$E$10+1,1))</f>
        <v>401.81944956556271</v>
      </c>
      <c r="AO159" s="59">
        <f t="shared" si="144"/>
        <v>292.20785523952651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109.60756049160106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109.60756049160106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1.7053025658242404E-13</v>
      </c>
      <c r="BE159" s="13">
        <f>BD159*VLOOKUP('Données projet'!$B$11,Paramètres!$A$1:$I$89,3,0)*VLOOKUP('Données projet'!$B$11,Paramètres!$A$1:$I$89,5,0)</f>
        <v>1.3301360013429075E-13</v>
      </c>
      <c r="BF159" s="13">
        <f t="shared" si="167"/>
        <v>1.9329766731057041E-12</v>
      </c>
      <c r="BG159" s="20">
        <f t="shared" si="168"/>
        <v>3.5982663925596575E-12</v>
      </c>
      <c r="BH159" s="59">
        <f t="shared" si="116"/>
        <v>293.3333333333369</v>
      </c>
      <c r="BI159" s="59">
        <f ca="1">AVERAGE(OFFSET($BH$3,0,0,'Données projet'!$E$11+1,1))-AVERAGE(OFFSET($H$3,0,0,'Données projet'!$E$11+1,1))</f>
        <v>288.80569134263209</v>
      </c>
      <c r="BJ159" s="59">
        <f t="shared" si="146"/>
        <v>283.48738729114024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14.485264376880536</v>
      </c>
      <c r="BQ159" s="21">
        <f>EXP(-LN(2)/25)*BQ158+(1-EXP(-LN(2)/25))/(LN(2)/25)*Calculateur!BL159*Calculateur!BN159*VLOOKUP('Données projet'!$B$11,Paramètres!$A$1:$I$89,3,0)*0.475*44/12</f>
        <v>6.1130892896368509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20.598353666517387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212.00000000000009</v>
      </c>
      <c r="BZ159" s="13">
        <f>BY159*VLOOKUP('Données projet'!$B$12,Paramètres!$A$1:$I$89,3,0)*VLOOKUP('Données projet'!$B$12,Paramètres!$A$1:$I$89,5,0)</f>
        <v>221.58240000000012</v>
      </c>
      <c r="CA159" s="13">
        <f t="shared" si="170"/>
        <v>54.458668952651578</v>
      </c>
      <c r="CB159" s="20">
        <f t="shared" si="171"/>
        <v>480.77152842586838</v>
      </c>
      <c r="CC159" s="59">
        <f t="shared" si="119"/>
        <v>774.10486175920164</v>
      </c>
      <c r="CD159" s="59">
        <f ca="1">AVERAGE(OFFSET($CC$3,0,0,'Données projet'!$E$12+1,1))-AVERAGE(OFFSET($H$3,0,0,'Données projet'!$E$12+1,1))</f>
        <v>352.22281362023102</v>
      </c>
      <c r="CE159" s="59">
        <f t="shared" si="148"/>
        <v>310.2353747925161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5.8942816808896215</v>
      </c>
      <c r="CL159" s="21">
        <f>EXP(-LN(2)/25)*CL158+(1-EXP(-LN(2)/25))/(LN(2)/25)*Calculateur!CG159*Calculateur!CI159*VLOOKUP('Données projet'!$B$12,Paramètres!$A$1:$I$89,3,0)*0.475*44/12</f>
        <v>3.5424849608656852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9.4367666417553071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1.8717948717948829</v>
      </c>
      <c r="CT159" s="12">
        <f>IF('Données projet'!$A$140&gt;35,CT158+CS159-DB158,IF(A159&lt;'Données projet'!$A$140,$CQ$205^A159,IF(A159='Données projet'!$A$140,'Données projet'!$B$140,CT158+CS159-DB158)))</f>
        <v>130.55769230769181</v>
      </c>
      <c r="CU159" s="17">
        <f>CT159*VLOOKUP('Données projet'!$B$13,Paramètres!$A$1:$I$89,3,0)*VLOOKUP('Données projet'!$B$13,Paramètres!$A$1:$I$89,5,0)</f>
        <v>118.12859999999955</v>
      </c>
      <c r="CV159" s="13">
        <f t="shared" si="173"/>
        <v>31.238127501943364</v>
      </c>
      <c r="CW159" s="20">
        <f t="shared" si="174"/>
        <v>260.14705039921722</v>
      </c>
      <c r="CX159" s="59">
        <f t="shared" si="122"/>
        <v>553.48038373255054</v>
      </c>
      <c r="CY159" s="59">
        <f ca="1">AVERAGE(OFFSET($CX$3,0,0,'Données projet'!$E$13+1,1))-AVERAGE(OFFSET($H$3,0,0,'Données projet'!$E$13+1,1))</f>
        <v>345.49688858037996</v>
      </c>
      <c r="CZ159" s="59">
        <f t="shared" si="150"/>
        <v>213.15872113755023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99.838974650608648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99.838974650608648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1.8717948717948829</v>
      </c>
      <c r="DO159" s="12">
        <f>IF('Données projet'!$A$166&gt;35,DO158+DN159-DW158,IF(A159&lt;'Données projet'!$A$166,$DL$205^A159,IF(A159='Données projet'!$A$166,'Données projet'!$B$166,DO158+DN159-DW158)))</f>
        <v>130.55769230769181</v>
      </c>
      <c r="DP159" s="17">
        <f>DO159*VLOOKUP('Données projet'!$B$14,Paramètres!$A$1:$I$89,3,0)*VLOOKUP('Données projet'!$B$14,Paramètres!$A$1:$I$89,5,0)</f>
        <v>132.38549999999952</v>
      </c>
      <c r="DQ159" s="13">
        <f t="shared" si="176"/>
        <v>34.546993638315641</v>
      </c>
      <c r="DR159" s="20">
        <f t="shared" si="177"/>
        <v>290.74075975339895</v>
      </c>
      <c r="DS159" s="59">
        <f t="shared" si="125"/>
        <v>584.07409308673232</v>
      </c>
      <c r="DT159" s="59">
        <f ca="1">AVERAGE(OFFSET($DS$3,0,0,'Données projet'!$E$14+1,1))-AVERAGE(OFFSET($H$3,0,0,'Données projet'!$E$14+1,1))</f>
        <v>382.26108489744581</v>
      </c>
      <c r="DU159" s="59">
        <f t="shared" si="152"/>
        <v>233.89423996158826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111.88850607395798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111.88850607395798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-2.4158453015843406E-13</v>
      </c>
      <c r="EK159" s="17">
        <f>EJ159*VLOOKUP('Données projet'!$B$15,Paramètres!$A$1:$I$89,3,0)*VLOOKUP('Données projet'!$B$15,Paramètres!$A$1:$I$89,5,0)</f>
        <v>-2.0351080820546486E-13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312.48716825299158</v>
      </c>
      <c r="EP159" s="59">
        <f t="shared" si="154"/>
        <v>258.68277822755357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59.894473080369735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59.894473080369735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1.8717948717948829</v>
      </c>
      <c r="FE159" s="12">
        <f>IF('Données projet'!$A$218&gt;35,FE158+FD159-FM158,IF(A159&lt;'Données projet'!$A$218,$FB$205^A159,IF(A159='Données projet'!$A$218,'Données projet'!$B$218,FE158+FD159-FM158)))</f>
        <v>130.55769230769181</v>
      </c>
      <c r="FF159" s="17">
        <f>FE159*VLOOKUP('Données projet'!$B$16,Paramètres!$A$1:$I$89,3,0)*VLOOKUP('Données projet'!$B$16,Paramètres!$A$1:$I$89,5,0)</f>
        <v>140.53229999999945</v>
      </c>
      <c r="FG159" s="13">
        <f t="shared" si="182"/>
        <v>36.4189210043074</v>
      </c>
      <c r="FH159" s="20">
        <f t="shared" si="183"/>
        <v>308.19004324916779</v>
      </c>
      <c r="FI159" s="59">
        <f t="shared" si="131"/>
        <v>601.5233765825011</v>
      </c>
      <c r="FJ159" s="59">
        <f ca="1">AVERAGE(OFFSET($FI$3,0,0,'Données projet'!$E$16+1,1))-AVERAGE(OFFSET($H$3,0,0,'Données projet'!$E$16+1,1))</f>
        <v>403.23110963096246</v>
      </c>
      <c r="FK159" s="59">
        <f t="shared" si="156"/>
        <v>245.72000393124898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118.77395260158616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118.77395260158616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1.8717948717948829</v>
      </c>
      <c r="FZ159" s="12">
        <f>IF('Données projet'!$A$244&gt;35,FZ158+FY159-GH158,IF(A159&lt;'Données projet'!$A$244,$FW$205^A159,IF(A159='Données projet'!$A$244,'Données projet'!$B$244,FZ158+FY159-GH158)))</f>
        <v>130.55769230769181</v>
      </c>
      <c r="GA159" s="17">
        <f>FZ159*VLOOKUP('Données projet'!$B$17,Paramètres!$A$1:$I$89,3,0)*VLOOKUP('Données projet'!$B$17,Paramètres!$A$1:$I$89,5,0)</f>
        <v>126.27539999999952</v>
      </c>
      <c r="GB159" s="13">
        <f t="shared" si="185"/>
        <v>33.134262987172754</v>
      </c>
      <c r="GC159" s="20">
        <f t="shared" si="186"/>
        <v>277.63849636932508</v>
      </c>
      <c r="GD159" s="59">
        <f t="shared" si="134"/>
        <v>570.9718297026584</v>
      </c>
      <c r="GE159" s="59">
        <f ca="1">AVERAGE(OFFSET($GD$3,0,0,'Données projet'!$E$17+1,1))-AVERAGE(OFFSET($H$3,0,0,'Données projet'!$E$17+1,1))</f>
        <v>336.2911850338175</v>
      </c>
      <c r="GF159" s="59">
        <f t="shared" si="158"/>
        <v>225.01415116995503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106.72442117823687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106.72442117823687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1.8717948717948829</v>
      </c>
      <c r="GU159" s="12">
        <f>IF('Données projet'!$A$270&gt;35,GU158+GT159-HC158,IF(A159&lt;'Données projet'!$A$270,$GR$205^A159,IF(A159='Données projet'!$A$270,'Données projet'!$B$270,GU158+GT159-HC158)))</f>
        <v>130.55769230769181</v>
      </c>
      <c r="GV159" s="17">
        <f>GU159*VLOOKUP('Données projet'!$B$18,Paramètres!$A$1:$I$89,3,0)*VLOOKUP('Données projet'!$B$18,Paramètres!$A$1:$I$89,5,0)</f>
        <v>87.578099999999665</v>
      </c>
      <c r="GW159" s="13">
        <f t="shared" si="188"/>
        <v>23.980196938126554</v>
      </c>
      <c r="GX159" s="20">
        <f t="shared" si="189"/>
        <v>194.2973671672365</v>
      </c>
      <c r="GY159" s="59">
        <f t="shared" si="137"/>
        <v>487.63070050056979</v>
      </c>
      <c r="GZ159" s="59">
        <f ca="1">AVERAGE(OFFSET($GY$3,0,0,'Données projet'!$E$18+1,1))-AVERAGE(OFFSET($H$3,0,0,'Données projet'!$E$18+1,1))</f>
        <v>266.37807768393191</v>
      </c>
      <c r="HA159" s="59">
        <f t="shared" si="160"/>
        <v>168.52019826233425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91.232166491073443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190"/>
        <v>91.232166491073443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266.99999999999983</v>
      </c>
      <c r="O160" s="13">
        <f>N160*VLOOKUP('Données projet'!$B$9,Paramètres!$A$1:$I$89,3,0)*VLOOKUP('Données projet'!$B$9,Paramètres!$A$1:$I$89,5,0)</f>
        <v>233.2511999999999</v>
      </c>
      <c r="P160" s="13">
        <f t="shared" si="141"/>
        <v>56.985091661350864</v>
      </c>
      <c r="Q160" s="20">
        <f t="shared" si="162"/>
        <v>505.49487464351915</v>
      </c>
      <c r="R160" s="59">
        <f t="shared" si="109"/>
        <v>798.82820797685247</v>
      </c>
      <c r="S160" s="59">
        <f ca="1">AVERAGE(OFFSET($R$3,0,0,'Données projet'!$E$9+1,1))-AVERAGE(OFFSET($H$3,0,0,'Données projet'!$E$9+1,1))</f>
        <v>324.86930206492627</v>
      </c>
      <c r="T160" s="59">
        <f t="shared" si="142"/>
        <v>317.03005098025352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6.8803965347696163</v>
      </c>
      <c r="AA160" s="21">
        <f>EXP(-LN(2)/25)*AA159+(1-EXP(-LN(2)/25))/(LN(2)/25)*Calculateur!V160*Calculateur!X160*VLOOKUP('Données projet'!$B$9,Paramètres!$A$1:$I$89,3,0)*0.475*44/12</f>
        <v>1.0815190315216729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7.9619155662912888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5.4092197387944907E-13</v>
      </c>
      <c r="AK160" s="13">
        <f t="shared" si="164"/>
        <v>6.6765148417791561E-12</v>
      </c>
      <c r="AL160" s="20">
        <f t="shared" si="165"/>
        <v>1.2570369120605403E-11</v>
      </c>
      <c r="AM160" s="59">
        <f t="shared" si="113"/>
        <v>293.33333333334588</v>
      </c>
      <c r="AN160" s="59">
        <f ca="1">AVERAGE(OFFSET($AM$3,0,0,'Données projet'!$E$10+1,1))-AVERAGE(OFFSET($H$3,0,0,'Données projet'!$E$10+1,1))</f>
        <v>401.81944956556271</v>
      </c>
      <c r="AO160" s="59">
        <f t="shared" si="144"/>
        <v>292.20785523952651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107.45822308437138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107.45822308437138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1.7053025658242404E-13</v>
      </c>
      <c r="BE160" s="13">
        <f>BD160*VLOOKUP('Données projet'!$B$11,Paramètres!$A$1:$I$89,3,0)*VLOOKUP('Données projet'!$B$11,Paramètres!$A$1:$I$89,5,0)</f>
        <v>1.3301360013429075E-13</v>
      </c>
      <c r="BF160" s="13">
        <f t="shared" si="167"/>
        <v>1.9329766731057041E-12</v>
      </c>
      <c r="BG160" s="20">
        <f t="shared" si="168"/>
        <v>3.5982663925596575E-12</v>
      </c>
      <c r="BH160" s="59">
        <f t="shared" si="116"/>
        <v>293.3333333333369</v>
      </c>
      <c r="BI160" s="59">
        <f ca="1">AVERAGE(OFFSET($BH$3,0,0,'Données projet'!$E$11+1,1))-AVERAGE(OFFSET($H$3,0,0,'Données projet'!$E$11+1,1))</f>
        <v>288.80569134263209</v>
      </c>
      <c r="BJ160" s="59">
        <f t="shared" si="146"/>
        <v>283.48738729114024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14.201217177588781</v>
      </c>
      <c r="BQ160" s="21">
        <f>EXP(-LN(2)/25)*BQ159+(1-EXP(-LN(2)/25))/(LN(2)/25)*Calculateur!BL160*Calculateur!BN160*VLOOKUP('Données projet'!$B$11,Paramètres!$A$1:$I$89,3,0)*0.475*44/12</f>
        <v>5.9459265415383369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20.147143719127119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212.00000000000009</v>
      </c>
      <c r="BZ160" s="13">
        <f>BY160*VLOOKUP('Données projet'!$B$12,Paramètres!$A$1:$I$89,3,0)*VLOOKUP('Données projet'!$B$12,Paramètres!$A$1:$I$89,5,0)</f>
        <v>221.58240000000012</v>
      </c>
      <c r="CA160" s="13">
        <f t="shared" si="170"/>
        <v>54.458668952651578</v>
      </c>
      <c r="CB160" s="20">
        <f t="shared" si="171"/>
        <v>480.77152842586838</v>
      </c>
      <c r="CC160" s="59">
        <f t="shared" si="119"/>
        <v>774.10486175920164</v>
      </c>
      <c r="CD160" s="59">
        <f ca="1">AVERAGE(OFFSET($CC$3,0,0,'Données projet'!$E$12+1,1))-AVERAGE(OFFSET($H$3,0,0,'Données projet'!$E$12+1,1))</f>
        <v>352.22281362023102</v>
      </c>
      <c r="CE160" s="59">
        <f t="shared" si="148"/>
        <v>310.2353747925161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5.7786984122842089</v>
      </c>
      <c r="CL160" s="21">
        <f>EXP(-LN(2)/25)*CL159+(1-EXP(-LN(2)/25))/(LN(2)/25)*Calculateur!CG160*Calculateur!CI160*VLOOKUP('Données projet'!$B$12,Paramètres!$A$1:$I$89,3,0)*0.475*44/12</f>
        <v>3.4456155233196255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9.2243139356038348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>
        <f>VLOOKUP(A160,'Données projet'!$A$139:$I$159,2,0)</f>
        <v>132.42948717948718</v>
      </c>
      <c r="CR160" s="12">
        <f>VLOOKUP(A160,'Données projet'!$A$139:$I$159,9,0)</f>
        <v>1.8717948717948829</v>
      </c>
      <c r="CS160" s="12">
        <f t="array" ref="CS160">INDEX(CR:CR,MIN(IF(ISNUMBER(CR160:CR356),ROW(CR160:CR356),"")))</f>
        <v>1.8717948717948829</v>
      </c>
      <c r="CT160" s="12">
        <f>IF('Données projet'!$A$140&gt;35,CT159+CS160-DB159,IF(A160&lt;'Données projet'!$A$140,$CQ$205^A160,IF(A160='Données projet'!$A$140,'Données projet'!$B$140,CT159+CS160-DB159)))</f>
        <v>132.4294871794867</v>
      </c>
      <c r="CU160" s="17">
        <f>CT160*VLOOKUP('Données projet'!$B$13,Paramètres!$A$1:$I$89,3,0)*VLOOKUP('Données projet'!$B$13,Paramètres!$A$1:$I$89,5,0)</f>
        <v>119.82219999999955</v>
      </c>
      <c r="CV160" s="13">
        <f t="shared" si="173"/>
        <v>31.633526785966875</v>
      </c>
      <c r="CW160" s="20">
        <f t="shared" si="174"/>
        <v>263.78539081889153</v>
      </c>
      <c r="CX160" s="59">
        <f t="shared" si="122"/>
        <v>557.11872415222479</v>
      </c>
      <c r="CY160" s="59">
        <f ca="1">AVERAGE(OFFSET($CX$3,0,0,'Données projet'!$E$13+1,1))-AVERAGE(OFFSET($H$3,0,0,'Données projet'!$E$13+1,1))</f>
        <v>345.49688858037996</v>
      </c>
      <c r="CZ160" s="59">
        <f t="shared" si="150"/>
        <v>213.15872113755023</v>
      </c>
      <c r="DA160" s="15">
        <f>IF(ISNA(VLOOKUP(A160,'Données projet'!$A$139:$I$159,3,0)),0,VLOOKUP(A160,'Données projet'!$A$139:$I$159,3,0))</f>
        <v>14</v>
      </c>
      <c r="DB160" s="15">
        <f>IF(ISNA(VLOOKUP(A160,'Données projet'!$A$139:$I$159,4,0)),0,VLOOKUP(A160,'Données projet'!$A$139:$I$159,4,0))</f>
        <v>45.71153846153846</v>
      </c>
      <c r="DC160" s="16">
        <f>IF(ISNA(VLOOKUP(A160,'Données projet'!$A$139:$I$159,5,0)),0%,VLOOKUP(A160,'Données projet'!$A$139:$I$159,5,0)*VLOOKUP('Données projet'!$B$13,Paramètres!$A$1:$I$89,7,0))</f>
        <v>0.38700000000000001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115.57562033539027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115.57562033539027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>
        <f>VLOOKUP(A160,'Données projet'!$A$165:$I$185,2,0)</f>
        <v>132.42948717948718</v>
      </c>
      <c r="DM160" s="12">
        <f>VLOOKUP(A160,'Données projet'!$A$165:$I$185,9,0)</f>
        <v>1.8717948717948829</v>
      </c>
      <c r="DN160" s="12">
        <f t="array" ref="DN160">INDEX(DM:DM,MIN(IF(ISNUMBER(DM160:DM356),ROW(DM160:DM356),"")))</f>
        <v>1.8717948717948829</v>
      </c>
      <c r="DO160" s="12">
        <f>IF('Données projet'!$A$166&gt;35,DO159+DN160-DW159,IF(A160&lt;'Données projet'!$A$166,$DL$205^A160,IF(A160='Données projet'!$A$166,'Données projet'!$B$166,DO159+DN160-DW159)))</f>
        <v>132.4294871794867</v>
      </c>
      <c r="DP160" s="17">
        <f>DO160*VLOOKUP('Données projet'!$B$14,Paramètres!$A$1:$I$89,3,0)*VLOOKUP('Données projet'!$B$14,Paramètres!$A$1:$I$89,5,0)</f>
        <v>134.28349999999952</v>
      </c>
      <c r="DQ160" s="13">
        <f t="shared" si="176"/>
        <v>34.984275179883873</v>
      </c>
      <c r="DR160" s="20">
        <f t="shared" si="177"/>
        <v>294.80804177163026</v>
      </c>
      <c r="DS160" s="59">
        <f t="shared" si="125"/>
        <v>588.14137510496357</v>
      </c>
      <c r="DT160" s="59">
        <f ca="1">AVERAGE(OFFSET($DS$3,0,0,'Données projet'!$E$14+1,1))-AVERAGE(OFFSET($H$3,0,0,'Données projet'!$E$14+1,1))</f>
        <v>382.26108489744581</v>
      </c>
      <c r="DU160" s="59">
        <f t="shared" si="152"/>
        <v>233.89423996158826</v>
      </c>
      <c r="DV160" s="15">
        <f>IF(ISNA(VLOOKUP(A160,'Données projet'!$A$165:$I$185,3,0)),0,VLOOKUP(A160,'Données projet'!$A$165:$I$185,3,0))</f>
        <v>14</v>
      </c>
      <c r="DW160" s="15">
        <f>IF(ISNA(VLOOKUP(A160,'Données projet'!$A$165:$I$185,4,0)),0,VLOOKUP(A160,'Données projet'!$A$165:$I$185,4,0))</f>
        <v>45.71153846153846</v>
      </c>
      <c r="DX160" s="16">
        <f>IF(ISNA(VLOOKUP(A160,'Données projet'!$A$165:$I$185,5,0)),0%,VLOOKUP(A160,'Données projet'!$A$165:$I$185,5,0)*VLOOKUP('Données projet'!$B$14,Paramètres!$A$1:$I$89,7,0))</f>
        <v>0.38700000000000001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129.52440210000634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129.52440210000634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-2.4158453015843406E-13</v>
      </c>
      <c r="EK160" s="17">
        <f>EJ160*VLOOKUP('Données projet'!$B$15,Paramètres!$A$1:$I$89,3,0)*VLOOKUP('Données projet'!$B$15,Paramètres!$A$1:$I$89,5,0)</f>
        <v>-2.0351080820546486E-13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312.48716825299158</v>
      </c>
      <c r="EP160" s="59">
        <f t="shared" si="154"/>
        <v>258.68277822755357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58.719978995285025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58.719978995285025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>
        <f>VLOOKUP(A160,'Données projet'!$A$217:$I$237,2,0)</f>
        <v>132.42948717948718</v>
      </c>
      <c r="FC160" s="12">
        <f>VLOOKUP(A160,'Données projet'!$A$217:$I$237,9,0)</f>
        <v>1.8717948717948829</v>
      </c>
      <c r="FD160" s="12">
        <f t="array" ref="FD160">INDEX(FC:FC,MIN(IF(ISNUMBER(FC160:FC356),ROW(FC160:FC356),"")))</f>
        <v>1.8717948717948829</v>
      </c>
      <c r="FE160" s="12">
        <f>IF('Données projet'!$A$218&gt;35,FE159+FD160-FM159,IF(A160&lt;'Données projet'!$A$218,$FB$205^A160,IF(A160='Données projet'!$A$218,'Données projet'!$B$218,FE159+FD160-FM159)))</f>
        <v>132.4294871794867</v>
      </c>
      <c r="FF160" s="17">
        <f>FE160*VLOOKUP('Données projet'!$B$16,Paramètres!$A$1:$I$89,3,0)*VLOOKUP('Données projet'!$B$16,Paramètres!$A$1:$I$89,5,0)</f>
        <v>142.54709999999949</v>
      </c>
      <c r="FG160" s="13">
        <f t="shared" si="182"/>
        <v>36.87989662741785</v>
      </c>
      <c r="FH160" s="20">
        <f t="shared" si="183"/>
        <v>312.5020191260852</v>
      </c>
      <c r="FI160" s="59">
        <f t="shared" si="131"/>
        <v>605.83535245941857</v>
      </c>
      <c r="FJ160" s="59">
        <f ca="1">AVERAGE(OFFSET($FI$3,0,0,'Données projet'!$E$16+1,1))-AVERAGE(OFFSET($H$3,0,0,'Données projet'!$E$16+1,1))</f>
        <v>403.23110963096246</v>
      </c>
      <c r="FK160" s="59">
        <f t="shared" si="156"/>
        <v>245.72000393124898</v>
      </c>
      <c r="FL160" s="15">
        <f>IF(ISNA(VLOOKUP(A160,'Données projet'!$A$217:$I$237,3,0)),0,VLOOKUP(A160,'Données projet'!$A$217:$I$237,3,0))</f>
        <v>14</v>
      </c>
      <c r="FM160" s="15">
        <f>IF(ISNA(VLOOKUP(A160,'Données projet'!$A$217:$I$237,4,0)),0,VLOOKUP(A160,'Données projet'!$A$217:$I$237,4,0))</f>
        <v>45.71153846153846</v>
      </c>
      <c r="FN160" s="16">
        <f>IF(ISNA(VLOOKUP(A160,'Données projet'!$A$217:$I$237,5,0)),0%,VLOOKUP(A160,'Données projet'!$A$217:$I$237,5,0)*VLOOKUP('Données projet'!$B$16,Paramètres!$A$1:$I$89,7,0))</f>
        <v>0.38700000000000001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137.49513453692981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137.49513453692981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>
        <f>VLOOKUP(A160,'Données projet'!$A$243:$I$263,2,0)</f>
        <v>132.42948717948718</v>
      </c>
      <c r="FX160" s="12">
        <f>VLOOKUP(A160,'Données projet'!$A$243:$I$263,9,0)</f>
        <v>1.8717948717948829</v>
      </c>
      <c r="FY160" s="12">
        <f t="array" ref="FY160">INDEX(FX:FX,MIN(IF(ISNUMBER(FX160:FX356),ROW(FX160:FX356),"")))</f>
        <v>1.8717948717948829</v>
      </c>
      <c r="FZ160" s="12">
        <f>IF('Données projet'!$A$244&gt;35,FZ159+FY160-GH159,IF(A160&lt;'Données projet'!$A$244,$FW$205^A160,IF(A160='Données projet'!$A$244,'Données projet'!$B$244,FZ159+FY160-GH159)))</f>
        <v>132.4294871794867</v>
      </c>
      <c r="GA160" s="17">
        <f>FZ160*VLOOKUP('Données projet'!$B$17,Paramètres!$A$1:$I$89,3,0)*VLOOKUP('Données projet'!$B$17,Paramètres!$A$1:$I$89,5,0)</f>
        <v>128.08579999999955</v>
      </c>
      <c r="GB160" s="13">
        <f t="shared" si="185"/>
        <v>33.553662769088618</v>
      </c>
      <c r="GC160" s="20">
        <f t="shared" si="186"/>
        <v>281.5220643228285</v>
      </c>
      <c r="GD160" s="59">
        <f t="shared" si="134"/>
        <v>574.85539765616181</v>
      </c>
      <c r="GE160" s="59">
        <f ca="1">AVERAGE(OFFSET($GD$3,0,0,'Données projet'!$E$17+1,1))-AVERAGE(OFFSET($H$3,0,0,'Données projet'!$E$17+1,1))</f>
        <v>336.2911850338175</v>
      </c>
      <c r="GF160" s="59">
        <f t="shared" si="158"/>
        <v>225.01415116995503</v>
      </c>
      <c r="GG160" s="15">
        <f>IF(ISNA(VLOOKUP(A160,'Données projet'!$A$243:$I$263,3,0)),0,VLOOKUP(A160,'Données projet'!$A$243:$I$263,3,0))</f>
        <v>14</v>
      </c>
      <c r="GH160" s="15">
        <f>IF(ISNA(VLOOKUP(A160,'Données projet'!$A$243:$I$263,4,0)),0,VLOOKUP(A160,'Données projet'!$A$243:$I$263,4,0))</f>
        <v>45.71153846153846</v>
      </c>
      <c r="GI160" s="16">
        <f>IF(ISNA(VLOOKUP(A160,'Données projet'!$A$243:$I$263,5,0)),0%,VLOOKUP(A160,'Données projet'!$A$243:$I$263,5,0)*VLOOKUP('Données projet'!$B$17,Paramètres!$A$1:$I$89,7,0))</f>
        <v>0.38700000000000001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123.54635277231377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123.54635277231377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>
        <f>VLOOKUP(A160,'Données projet'!$A$269:$I$289,2,0)</f>
        <v>132.42948717948718</v>
      </c>
      <c r="GS160" s="12">
        <f>VLOOKUP(A160,'Données projet'!$A$269:$I$289,9,0)</f>
        <v>1.8717948717948829</v>
      </c>
      <c r="GT160" s="12">
        <f t="array" ref="GT160">INDEX(GS:GS,MIN(IF(ISNUMBER(GS160:GS356),ROW(GS160:GS356),"")))</f>
        <v>1.8717948717948829</v>
      </c>
      <c r="GU160" s="12">
        <f>IF('Données projet'!$A$270&gt;35,GU159+GT160-HC159,IF(A160&lt;'Données projet'!$A$270,$GR$205^A160,IF(A160='Données projet'!$A$270,'Données projet'!$B$270,GU159+GT160-HC159)))</f>
        <v>132.4294871794867</v>
      </c>
      <c r="GV160" s="17">
        <f>GU160*VLOOKUP('Données projet'!$B$18,Paramètres!$A$1:$I$89,3,0)*VLOOKUP('Données projet'!$B$18,Paramètres!$A$1:$I$89,5,0)</f>
        <v>88.833699999999681</v>
      </c>
      <c r="GW160" s="13">
        <f t="shared" si="188"/>
        <v>24.283728342161194</v>
      </c>
      <c r="GX160" s="20">
        <f t="shared" si="189"/>
        <v>197.01285436259687</v>
      </c>
      <c r="GY160" s="59">
        <f t="shared" si="137"/>
        <v>490.34618769593021</v>
      </c>
      <c r="GZ160" s="59">
        <f ca="1">AVERAGE(OFFSET($GY$3,0,0,'Données projet'!$E$18+1,1))-AVERAGE(OFFSET($H$3,0,0,'Données projet'!$E$18+1,1))</f>
        <v>266.37807768393191</v>
      </c>
      <c r="HA160" s="59">
        <f t="shared" si="160"/>
        <v>168.52019826233425</v>
      </c>
      <c r="HB160" s="15">
        <f>IF(ISNA(VLOOKUP(A160,'Données projet'!$A$269:$I$289,3,0)),0,VLOOKUP(A160,'Données projet'!$A$269:$I$289,3,0))</f>
        <v>14</v>
      </c>
      <c r="HC160" s="15">
        <f>IF(ISNA(VLOOKUP(A160,'Données projet'!$A$269:$I$289,4,0)),0,VLOOKUP(A160,'Données projet'!$A$269:$I$289,4,0))</f>
        <v>45.71153846153846</v>
      </c>
      <c r="HD160" s="16">
        <f>IF(ISNA(VLOOKUP(A160,'Données projet'!$A$269:$I$289,5,0)),0%,VLOOKUP(A160,'Données projet'!$A$269:$I$289,5,0)*VLOOKUP('Données projet'!$B$18,Paramètres!$A$1:$I$89,7,0))</f>
        <v>0.47700000000000004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105.61220478923596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190"/>
        <v>105.61220478923596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266.99999999999983</v>
      </c>
      <c r="O161" s="13">
        <f>N161*VLOOKUP('Données projet'!$B$9,Paramètres!$A$1:$I$89,3,0)*VLOOKUP('Données projet'!$B$9,Paramètres!$A$1:$I$89,5,0)</f>
        <v>233.2511999999999</v>
      </c>
      <c r="P161" s="13">
        <f t="shared" si="141"/>
        <v>56.985091661350864</v>
      </c>
      <c r="Q161" s="20">
        <f t="shared" si="162"/>
        <v>505.49487464351915</v>
      </c>
      <c r="R161" s="59">
        <f t="shared" si="109"/>
        <v>798.82820797685247</v>
      </c>
      <c r="S161" s="59">
        <f ca="1">AVERAGE(OFFSET($R$3,0,0,'Données projet'!$E$9+1,1))-AVERAGE(OFFSET($H$3,0,0,'Données projet'!$E$9+1,1))</f>
        <v>324.86930206492627</v>
      </c>
      <c r="T161" s="59">
        <f t="shared" si="142"/>
        <v>317.03005098025352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6.7454761553502882</v>
      </c>
      <c r="AA161" s="21">
        <f>EXP(-LN(2)/25)*AA160+(1-EXP(-LN(2)/25))/(LN(2)/25)*Calculateur!V161*Calculateur!X161*VLOOKUP('Données projet'!$B$9,Paramètres!$A$1:$I$89,3,0)*0.475*44/12</f>
        <v>1.0519448367300988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7.7974209920803865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5.4092197387944907E-13</v>
      </c>
      <c r="AK161" s="13">
        <f t="shared" si="164"/>
        <v>6.6765148417791561E-12</v>
      </c>
      <c r="AL161" s="20">
        <f t="shared" si="165"/>
        <v>1.2570369120605403E-11</v>
      </c>
      <c r="AM161" s="59">
        <f t="shared" si="113"/>
        <v>293.33333333334588</v>
      </c>
      <c r="AN161" s="59">
        <f ca="1">AVERAGE(OFFSET($AM$3,0,0,'Données projet'!$E$10+1,1))-AVERAGE(OFFSET($H$3,0,0,'Données projet'!$E$10+1,1))</f>
        <v>401.81944956556271</v>
      </c>
      <c r="AO161" s="59">
        <f t="shared" si="144"/>
        <v>292.20785523952651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105.35103287273111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105.35103287273111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1.7053025658242404E-13</v>
      </c>
      <c r="BE161" s="13">
        <f>BD161*VLOOKUP('Données projet'!$B$11,Paramètres!$A$1:$I$89,3,0)*VLOOKUP('Données projet'!$B$11,Paramètres!$A$1:$I$89,5,0)</f>
        <v>1.3301360013429075E-13</v>
      </c>
      <c r="BF161" s="13">
        <f t="shared" si="167"/>
        <v>1.9329766731057041E-12</v>
      </c>
      <c r="BG161" s="20">
        <f t="shared" si="168"/>
        <v>3.5982663925596575E-12</v>
      </c>
      <c r="BH161" s="59">
        <f t="shared" si="116"/>
        <v>293.3333333333369</v>
      </c>
      <c r="BI161" s="59">
        <f ca="1">AVERAGE(OFFSET($BH$3,0,0,'Données projet'!$E$11+1,1))-AVERAGE(OFFSET($H$3,0,0,'Données projet'!$E$11+1,1))</f>
        <v>288.80569134263209</v>
      </c>
      <c r="BJ161" s="59">
        <f t="shared" si="146"/>
        <v>283.48738729114024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13.922739970623454</v>
      </c>
      <c r="BQ161" s="21">
        <f>EXP(-LN(2)/25)*BQ160+(1-EXP(-LN(2)/25))/(LN(2)/25)*Calculateur!BL161*Calculateur!BN161*VLOOKUP('Données projet'!$B$11,Paramètres!$A$1:$I$89,3,0)*0.475*44/12</f>
        <v>5.7833348675772838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19.706074838200738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212.00000000000009</v>
      </c>
      <c r="BZ161" s="13">
        <f>BY161*VLOOKUP('Données projet'!$B$12,Paramètres!$A$1:$I$89,3,0)*VLOOKUP('Données projet'!$B$12,Paramètres!$A$1:$I$89,5,0)</f>
        <v>221.58240000000012</v>
      </c>
      <c r="CA161" s="13">
        <f t="shared" si="170"/>
        <v>54.458668952651578</v>
      </c>
      <c r="CB161" s="20">
        <f t="shared" si="171"/>
        <v>480.77152842586838</v>
      </c>
      <c r="CC161" s="59">
        <f t="shared" si="119"/>
        <v>774.10486175920164</v>
      </c>
      <c r="CD161" s="59">
        <f ca="1">AVERAGE(OFFSET($CC$3,0,0,'Données projet'!$E$12+1,1))-AVERAGE(OFFSET($H$3,0,0,'Données projet'!$E$12+1,1))</f>
        <v>352.22281362023102</v>
      </c>
      <c r="CE161" s="59">
        <f t="shared" si="148"/>
        <v>310.2353747925161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5.6653816610773156</v>
      </c>
      <c r="CL161" s="21">
        <f>EXP(-LN(2)/25)*CL160+(1-EXP(-LN(2)/25))/(LN(2)/25)*Calculateur!CG161*Calculateur!CI161*VLOOKUP('Données projet'!$B$12,Paramètres!$A$1:$I$89,3,0)*0.475*44/12</f>
        <v>3.351394985637405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9.016776646714721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1.1618589743589709</v>
      </c>
      <c r="CT161" s="12">
        <f>IF('Données projet'!$A$140&gt;35,CT160+CS161-DB160,IF(A161&lt;'Données projet'!$A$140,$CQ$205^A161,IF(A161='Données projet'!$A$140,'Données projet'!$B$140,CT160+CS161-DB160)))</f>
        <v>87.879807692307224</v>
      </c>
      <c r="CU161" s="17">
        <f>CT161*VLOOKUP('Données projet'!$B$13,Paramètres!$A$1:$I$89,3,0)*VLOOKUP('Données projet'!$B$13,Paramètres!$A$1:$I$89,5,0)</f>
        <v>79.513649999999572</v>
      </c>
      <c r="CV161" s="13">
        <f t="shared" si="173"/>
        <v>22.018226855281608</v>
      </c>
      <c r="CW161" s="20">
        <f t="shared" si="174"/>
        <v>176.83468552294804</v>
      </c>
      <c r="CX161" s="59">
        <f t="shared" si="122"/>
        <v>470.16801885628138</v>
      </c>
      <c r="CY161" s="59">
        <f ca="1">AVERAGE(OFFSET($CX$3,0,0,'Données projet'!$E$13+1,1))-AVERAGE(OFFSET($H$3,0,0,'Données projet'!$E$13+1,1))</f>
        <v>345.49688858037996</v>
      </c>
      <c r="CZ161" s="59">
        <f t="shared" si="150"/>
        <v>213.15872113755023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113.30925291478096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113.30925291478096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1.1618589743589709</v>
      </c>
      <c r="DO161" s="12">
        <f>IF('Données projet'!$A$166&gt;35,DO160+DN161-DW160,IF(A161&lt;'Données projet'!$A$166,$DL$205^A161,IF(A161='Données projet'!$A$166,'Données projet'!$B$166,DO160+DN161-DW160)))</f>
        <v>87.879807692307224</v>
      </c>
      <c r="DP161" s="17">
        <f>DO161*VLOOKUP('Données projet'!$B$14,Paramètres!$A$1:$I$89,3,0)*VLOOKUP('Données projet'!$B$14,Paramètres!$A$1:$I$89,5,0)</f>
        <v>89.110124999999528</v>
      </c>
      <c r="DQ161" s="13">
        <f t="shared" si="176"/>
        <v>24.350484613685058</v>
      </c>
      <c r="DR161" s="20">
        <f t="shared" si="177"/>
        <v>197.61056174383398</v>
      </c>
      <c r="DS161" s="59">
        <f t="shared" si="125"/>
        <v>490.94389507716733</v>
      </c>
      <c r="DT161" s="59">
        <f ca="1">AVERAGE(OFFSET($DS$3,0,0,'Données projet'!$E$14+1,1))-AVERAGE(OFFSET($H$3,0,0,'Données projet'!$E$14+1,1))</f>
        <v>382.26108489744581</v>
      </c>
      <c r="DU161" s="59">
        <f t="shared" si="152"/>
        <v>233.89423996158826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126.98450757690969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126.98450757690969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-2.4158453015843406E-13</v>
      </c>
      <c r="EK161" s="17">
        <f>EJ161*VLOOKUP('Données projet'!$B$15,Paramètres!$A$1:$I$89,3,0)*VLOOKUP('Données projet'!$B$15,Paramètres!$A$1:$I$89,5,0)</f>
        <v>-2.0351080820546486E-13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312.48716825299158</v>
      </c>
      <c r="EP161" s="59">
        <f t="shared" si="154"/>
        <v>258.68277822755357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57.568516022838175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57.568516022838175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1.1618589743589709</v>
      </c>
      <c r="FE161" s="12">
        <f>IF('Données projet'!$A$218&gt;35,FE160+FD161-FM160,IF(A161&lt;'Données projet'!$A$218,$FB$205^A161,IF(A161='Données projet'!$A$218,'Données projet'!$B$218,FE160+FD161-FM160)))</f>
        <v>87.879807692307224</v>
      </c>
      <c r="FF161" s="17">
        <f>FE161*VLOOKUP('Données projet'!$B$16,Paramètres!$A$1:$I$89,3,0)*VLOOKUP('Données projet'!$B$16,Paramètres!$A$1:$I$89,5,0)</f>
        <v>94.593824999999484</v>
      </c>
      <c r="FG161" s="13">
        <f t="shared" si="182"/>
        <v>25.669914576266915</v>
      </c>
      <c r="FH161" s="20">
        <f t="shared" si="183"/>
        <v>209.45934642866396</v>
      </c>
      <c r="FI161" s="59">
        <f t="shared" si="131"/>
        <v>502.79267976199731</v>
      </c>
      <c r="FJ161" s="59">
        <f ca="1">AVERAGE(OFFSET($FI$3,0,0,'Données projet'!$E$16+1,1))-AVERAGE(OFFSET($H$3,0,0,'Données projet'!$E$16+1,1))</f>
        <v>403.23110963096246</v>
      </c>
      <c r="FK161" s="59">
        <f t="shared" si="156"/>
        <v>245.72000393124898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134.79893881241182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134.79893881241182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1.1618589743589709</v>
      </c>
      <c r="FZ161" s="12">
        <f>IF('Données projet'!$A$244&gt;35,FZ160+FY161-GH160,IF(A161&lt;'Données projet'!$A$244,$FW$205^A161,IF(A161='Données projet'!$A$244,'Données projet'!$B$244,FZ160+FY161-GH160)))</f>
        <v>87.879807692307224</v>
      </c>
      <c r="GA161" s="17">
        <f>FZ161*VLOOKUP('Données projet'!$B$17,Paramètres!$A$1:$I$89,3,0)*VLOOKUP('Données projet'!$B$17,Paramètres!$A$1:$I$89,5,0)</f>
        <v>84.997349999999543</v>
      </c>
      <c r="GB161" s="13">
        <f t="shared" si="185"/>
        <v>23.354719936037892</v>
      </c>
      <c r="GC161" s="20">
        <f t="shared" si="186"/>
        <v>188.71318847193186</v>
      </c>
      <c r="GD161" s="59">
        <f t="shared" si="134"/>
        <v>482.04652180526517</v>
      </c>
      <c r="GE161" s="59">
        <f ca="1">AVERAGE(OFFSET($GD$3,0,0,'Données projet'!$E$17+1,1))-AVERAGE(OFFSET($H$3,0,0,'Données projet'!$E$17+1,1))</f>
        <v>336.2911850338175</v>
      </c>
      <c r="GF161" s="59">
        <f t="shared" si="158"/>
        <v>225.01415116995503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121.12368415028311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121.12368415028311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1.1618589743589709</v>
      </c>
      <c r="GU161" s="12">
        <f>IF('Données projet'!$A$270&gt;35,GU160+GT161-HC160,IF(A161&lt;'Données projet'!$A$270,$GR$205^A161,IF(A161='Données projet'!$A$270,'Données projet'!$B$270,GU160+GT161-HC160)))</f>
        <v>87.879807692307224</v>
      </c>
      <c r="GV161" s="17">
        <f>GU161*VLOOKUP('Données projet'!$B$18,Paramètres!$A$1:$I$89,3,0)*VLOOKUP('Données projet'!$B$18,Paramètres!$A$1:$I$89,5,0)</f>
        <v>58.949774999999683</v>
      </c>
      <c r="GW161" s="13">
        <f t="shared" si="188"/>
        <v>16.9024669031507</v>
      </c>
      <c r="GX161" s="20">
        <f t="shared" si="189"/>
        <v>132.10932131465358</v>
      </c>
      <c r="GY161" s="59">
        <f t="shared" si="137"/>
        <v>425.4426546479869</v>
      </c>
      <c r="GZ161" s="59">
        <f ca="1">AVERAGE(OFFSET($GY$3,0,0,'Données projet'!$E$18+1,1))-AVERAGE(OFFSET($H$3,0,0,'Données projet'!$E$18+1,1))</f>
        <v>266.37807768393191</v>
      </c>
      <c r="HA161" s="59">
        <f t="shared" si="160"/>
        <v>168.52019826233425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103.54121387040331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190"/>
        <v>103.54121387040331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266.99999999999983</v>
      </c>
      <c r="O162" s="13">
        <f>N162*VLOOKUP('Données projet'!$B$9,Paramètres!$A$1:$I$89,3,0)*VLOOKUP('Données projet'!$B$9,Paramètres!$A$1:$I$89,5,0)</f>
        <v>233.2511999999999</v>
      </c>
      <c r="P162" s="13">
        <f t="shared" si="141"/>
        <v>56.985091661350864</v>
      </c>
      <c r="Q162" s="20">
        <f t="shared" si="162"/>
        <v>505.49487464351915</v>
      </c>
      <c r="R162" s="59">
        <f t="shared" si="109"/>
        <v>798.82820797685247</v>
      </c>
      <c r="S162" s="59">
        <f ca="1">AVERAGE(OFFSET($R$3,0,0,'Données projet'!$E$9+1,1))-AVERAGE(OFFSET($H$3,0,0,'Données projet'!$E$9+1,1))</f>
        <v>324.86930206492627</v>
      </c>
      <c r="T162" s="59">
        <f t="shared" si="142"/>
        <v>317.03005098025352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6.6132014822780674</v>
      </c>
      <c r="AA162" s="21">
        <f>EXP(-LN(2)/25)*AA161+(1-EXP(-LN(2)/25))/(LN(2)/25)*Calculateur!V162*Calculateur!X162*VLOOKUP('Données projet'!$B$9,Paramètres!$A$1:$I$89,3,0)*0.475*44/12</f>
        <v>1.0231793498503394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7.636380832128407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5.4092197387944907E-13</v>
      </c>
      <c r="AK162" s="13">
        <f t="shared" si="164"/>
        <v>6.6765148417791561E-12</v>
      </c>
      <c r="AL162" s="20">
        <f t="shared" si="165"/>
        <v>1.2570369120605403E-11</v>
      </c>
      <c r="AM162" s="59">
        <f t="shared" si="113"/>
        <v>293.33333333334588</v>
      </c>
      <c r="AN162" s="59">
        <f ca="1">AVERAGE(OFFSET($AM$3,0,0,'Données projet'!$E$10+1,1))-AVERAGE(OFFSET($H$3,0,0,'Données projet'!$E$10+1,1))</f>
        <v>401.81944956556271</v>
      </c>
      <c r="AO162" s="59">
        <f t="shared" si="144"/>
        <v>292.20785523952651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103.28516337588198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103.28516337588198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1.7053025658242404E-13</v>
      </c>
      <c r="BE162" s="13">
        <f>BD162*VLOOKUP('Données projet'!$B$11,Paramètres!$A$1:$I$89,3,0)*VLOOKUP('Données projet'!$B$11,Paramètres!$A$1:$I$89,5,0)</f>
        <v>1.3301360013429075E-13</v>
      </c>
      <c r="BF162" s="13">
        <f t="shared" si="167"/>
        <v>1.9329766731057041E-12</v>
      </c>
      <c r="BG162" s="20">
        <f t="shared" si="168"/>
        <v>3.5982663925596575E-12</v>
      </c>
      <c r="BH162" s="59">
        <f t="shared" si="116"/>
        <v>293.3333333333369</v>
      </c>
      <c r="BI162" s="59">
        <f ca="1">AVERAGE(OFFSET($BH$3,0,0,'Données projet'!$E$11+1,1))-AVERAGE(OFFSET($H$3,0,0,'Données projet'!$E$11+1,1))</f>
        <v>288.80569134263209</v>
      </c>
      <c r="BJ162" s="59">
        <f t="shared" si="146"/>
        <v>283.48738729114024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13.649723531832391</v>
      </c>
      <c r="BQ162" s="21">
        <f>EXP(-LN(2)/25)*BQ161+(1-EXP(-LN(2)/25))/(LN(2)/25)*Calculateur!BL162*Calculateur!BN162*VLOOKUP('Données projet'!$B$11,Paramètres!$A$1:$I$89,3,0)*0.475*44/12</f>
        <v>5.6251892714910205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19.27491280332341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212.00000000000009</v>
      </c>
      <c r="BZ162" s="13">
        <f>BY162*VLOOKUP('Données projet'!$B$12,Paramètres!$A$1:$I$89,3,0)*VLOOKUP('Données projet'!$B$12,Paramètres!$A$1:$I$89,5,0)</f>
        <v>221.58240000000012</v>
      </c>
      <c r="CA162" s="13">
        <f t="shared" si="170"/>
        <v>54.458668952651578</v>
      </c>
      <c r="CB162" s="20">
        <f t="shared" si="171"/>
        <v>480.77152842586838</v>
      </c>
      <c r="CC162" s="59">
        <f t="shared" si="119"/>
        <v>774.10486175920164</v>
      </c>
      <c r="CD162" s="59">
        <f ca="1">AVERAGE(OFFSET($CC$3,0,0,'Données projet'!$E$12+1,1))-AVERAGE(OFFSET($H$3,0,0,'Données projet'!$E$12+1,1))</f>
        <v>352.22281362023102</v>
      </c>
      <c r="CE162" s="59">
        <f t="shared" si="148"/>
        <v>310.2353747925161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5.5542869822451966</v>
      </c>
      <c r="CL162" s="21">
        <f>EXP(-LN(2)/25)*CL161+(1-EXP(-LN(2)/25))/(LN(2)/25)*Calculateur!CG162*Calculateur!CI162*VLOOKUP('Données projet'!$B$12,Paramètres!$A$1:$I$89,3,0)*0.475*44/12</f>
        <v>3.2597509135129474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8.814037895758144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1.1618589743589709</v>
      </c>
      <c r="CT162" s="12">
        <f>IF('Données projet'!$A$140&gt;35,CT161+CS162-DB161,IF(A162&lt;'Données projet'!$A$140,$CQ$205^A162,IF(A162='Données projet'!$A$140,'Données projet'!$B$140,CT161+CS162-DB161)))</f>
        <v>89.041666666666202</v>
      </c>
      <c r="CU162" s="17">
        <f>CT162*VLOOKUP('Données projet'!$B$13,Paramètres!$A$1:$I$89,3,0)*VLOOKUP('Données projet'!$B$13,Paramètres!$A$1:$I$89,5,0)</f>
        <v>80.564899999999582</v>
      </c>
      <c r="CV162" s="13">
        <f t="shared" si="173"/>
        <v>22.275248501153126</v>
      </c>
      <c r="CW162" s="20">
        <f t="shared" si="174"/>
        <v>179.11325863950762</v>
      </c>
      <c r="CX162" s="59">
        <f t="shared" si="122"/>
        <v>472.44659197284091</v>
      </c>
      <c r="CY162" s="59">
        <f ca="1">AVERAGE(OFFSET($CX$3,0,0,'Données projet'!$E$13+1,1))-AVERAGE(OFFSET($H$3,0,0,'Données projet'!$E$13+1,1))</f>
        <v>345.49688858037996</v>
      </c>
      <c r="CZ162" s="59">
        <f t="shared" si="150"/>
        <v>213.15872113755023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111.08732757694216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111.08732757694216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1.1618589743589709</v>
      </c>
      <c r="DO162" s="12">
        <f>IF('Données projet'!$A$166&gt;35,DO161+DN162-DW161,IF(A162&lt;'Données projet'!$A$166,$DL$205^A162,IF(A162='Données projet'!$A$166,'Données projet'!$B$166,DO161+DN162-DW161)))</f>
        <v>89.041666666666202</v>
      </c>
      <c r="DP162" s="17">
        <f>DO162*VLOOKUP('Données projet'!$B$14,Paramètres!$A$1:$I$89,3,0)*VLOOKUP('Données projet'!$B$14,Paramètres!$A$1:$I$89,5,0)</f>
        <v>90.288249999999536</v>
      </c>
      <c r="DQ162" s="13">
        <f t="shared" si="176"/>
        <v>24.634731009832841</v>
      </c>
      <c r="DR162" s="20">
        <f t="shared" si="177"/>
        <v>200.15752525879137</v>
      </c>
      <c r="DS162" s="59">
        <f t="shared" si="125"/>
        <v>493.49085859212471</v>
      </c>
      <c r="DT162" s="59">
        <f ca="1">AVERAGE(OFFSET($DS$3,0,0,'Données projet'!$E$14+1,1))-AVERAGE(OFFSET($H$3,0,0,'Données projet'!$E$14+1,1))</f>
        <v>382.26108489744581</v>
      </c>
      <c r="DU162" s="59">
        <f t="shared" si="152"/>
        <v>233.89423996158826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124.49441883622828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124.49441883622828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-2.4158453015843406E-13</v>
      </c>
      <c r="EK162" s="17">
        <f>EJ162*VLOOKUP('Données projet'!$B$15,Paramètres!$A$1:$I$89,3,0)*VLOOKUP('Données projet'!$B$15,Paramètres!$A$1:$I$89,5,0)</f>
        <v>-2.0351080820546486E-13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312.48716825299158</v>
      </c>
      <c r="EP162" s="59">
        <f t="shared" si="154"/>
        <v>258.68277822755357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56.439632536957937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56.439632536957937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1.1618589743589709</v>
      </c>
      <c r="FE162" s="12">
        <f>IF('Données projet'!$A$218&gt;35,FE161+FD162-FM161,IF(A162&lt;'Données projet'!$A$218,$FB$205^A162,IF(A162='Données projet'!$A$218,'Données projet'!$B$218,FE161+FD162-FM161)))</f>
        <v>89.041666666666202</v>
      </c>
      <c r="FF162" s="17">
        <f>FE162*VLOOKUP('Données projet'!$B$16,Paramètres!$A$1:$I$89,3,0)*VLOOKUP('Données projet'!$B$16,Paramètres!$A$1:$I$89,5,0)</f>
        <v>95.844449999999497</v>
      </c>
      <c r="FG162" s="13">
        <f t="shared" si="182"/>
        <v>25.969562851177422</v>
      </c>
      <c r="FH162" s="20">
        <f t="shared" si="183"/>
        <v>212.15940571579981</v>
      </c>
      <c r="FI162" s="59">
        <f t="shared" si="131"/>
        <v>505.49273904913309</v>
      </c>
      <c r="FJ162" s="59">
        <f ca="1">AVERAGE(OFFSET($FI$3,0,0,'Données projet'!$E$16+1,1))-AVERAGE(OFFSET($H$3,0,0,'Données projet'!$E$16+1,1))</f>
        <v>403.23110963096246</v>
      </c>
      <c r="FK162" s="59">
        <f t="shared" si="156"/>
        <v>245.72000393124898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132.15561384153463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132.15561384153463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1.1618589743589709</v>
      </c>
      <c r="FZ162" s="12">
        <f>IF('Données projet'!$A$244&gt;35,FZ161+FY162-GH161,IF(A162&lt;'Données projet'!$A$244,$FW$205^A162,IF(A162='Données projet'!$A$244,'Données projet'!$B$244,FZ161+FY162-GH161)))</f>
        <v>89.041666666666202</v>
      </c>
      <c r="GA162" s="17">
        <f>FZ162*VLOOKUP('Données projet'!$B$17,Paramètres!$A$1:$I$89,3,0)*VLOOKUP('Données projet'!$B$17,Paramètres!$A$1:$I$89,5,0)</f>
        <v>86.121099999999558</v>
      </c>
      <c r="GB162" s="13">
        <f t="shared" si="185"/>
        <v>23.627342640685377</v>
      </c>
      <c r="GC162" s="20">
        <f t="shared" si="186"/>
        <v>191.14520426585958</v>
      </c>
      <c r="GD162" s="59">
        <f t="shared" si="134"/>
        <v>484.47853759919292</v>
      </c>
      <c r="GE162" s="59">
        <f ca="1">AVERAGE(OFFSET($GD$3,0,0,'Données projet'!$E$17+1,1))-AVERAGE(OFFSET($H$3,0,0,'Données projet'!$E$17+1,1))</f>
        <v>336.2911850338175</v>
      </c>
      <c r="GF162" s="59">
        <f t="shared" si="158"/>
        <v>225.01415116995503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118.74852258224853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118.74852258224853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1.1618589743589709</v>
      </c>
      <c r="GU162" s="12">
        <f>IF('Données projet'!$A$270&gt;35,GU161+GT162-HC161,IF(A162&lt;'Données projet'!$A$270,$GR$205^A162,IF(A162='Données projet'!$A$270,'Données projet'!$B$270,GU161+GT162-HC161)))</f>
        <v>89.041666666666202</v>
      </c>
      <c r="GV162" s="17">
        <f>GU162*VLOOKUP('Données projet'!$B$18,Paramètres!$A$1:$I$89,3,0)*VLOOKUP('Données projet'!$B$18,Paramètres!$A$1:$I$89,5,0)</f>
        <v>59.729149999999692</v>
      </c>
      <c r="GW162" s="13">
        <f t="shared" si="188"/>
        <v>17.099771613075358</v>
      </c>
      <c r="GX162" s="20">
        <f t="shared" si="189"/>
        <v>133.81037180943903</v>
      </c>
      <c r="GY162" s="59">
        <f t="shared" si="137"/>
        <v>427.14370514277232</v>
      </c>
      <c r="GZ162" s="59">
        <f ca="1">AVERAGE(OFFSET($GY$3,0,0,'Données projet'!$E$18+1,1))-AVERAGE(OFFSET($H$3,0,0,'Données projet'!$E$18+1,1))</f>
        <v>266.37807768393191</v>
      </c>
      <c r="HA162" s="59">
        <f t="shared" si="160"/>
        <v>168.52019826233425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101.51083382030923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190"/>
        <v>101.51083382030923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266.99999999999983</v>
      </c>
      <c r="O163" s="13">
        <f>N163*VLOOKUP('Données projet'!$B$9,Paramètres!$A$1:$I$89,3,0)*VLOOKUP('Données projet'!$B$9,Paramètres!$A$1:$I$89,5,0)</f>
        <v>233.2511999999999</v>
      </c>
      <c r="P163" s="13">
        <f t="shared" si="141"/>
        <v>56.985091661350864</v>
      </c>
      <c r="Q163" s="20">
        <f t="shared" si="162"/>
        <v>505.49487464351915</v>
      </c>
      <c r="R163" s="59">
        <f t="shared" si="109"/>
        <v>798.82820797685247</v>
      </c>
      <c r="S163" s="59">
        <f ca="1">AVERAGE(OFFSET($R$3,0,0,'Données projet'!$E$9+1,1))-AVERAGE(OFFSET($H$3,0,0,'Données projet'!$E$9+1,1))</f>
        <v>324.86930206492627</v>
      </c>
      <c r="T163" s="59">
        <f t="shared" si="142"/>
        <v>317.03005098025352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6.4835206348652079</v>
      </c>
      <c r="AA163" s="21">
        <f>EXP(-LN(2)/25)*AA162+(1-EXP(-LN(2)/25))/(LN(2)/25)*Calculateur!V163*Calculateur!X163*VLOOKUP('Données projet'!$B$9,Paramètres!$A$1:$I$89,3,0)*0.475*44/12</f>
        <v>0.9952004567220184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7.478721091587226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5.4092197387944907E-13</v>
      </c>
      <c r="AK163" s="13">
        <f t="shared" si="164"/>
        <v>6.6765148417791561E-12</v>
      </c>
      <c r="AL163" s="20">
        <f t="shared" si="165"/>
        <v>1.2570369120605403E-11</v>
      </c>
      <c r="AM163" s="59">
        <f t="shared" si="113"/>
        <v>293.33333333334588</v>
      </c>
      <c r="AN163" s="59">
        <f ca="1">AVERAGE(OFFSET($AM$3,0,0,'Données projet'!$E$10+1,1))-AVERAGE(OFFSET($H$3,0,0,'Données projet'!$E$10+1,1))</f>
        <v>401.81944956556271</v>
      </c>
      <c r="AO163" s="59">
        <f t="shared" si="144"/>
        <v>292.20785523952651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101.25980431981009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101.25980431981009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1.7053025658242404E-13</v>
      </c>
      <c r="BE163" s="13">
        <f>BD163*VLOOKUP('Données projet'!$B$11,Paramètres!$A$1:$I$89,3,0)*VLOOKUP('Données projet'!$B$11,Paramètres!$A$1:$I$89,5,0)</f>
        <v>1.3301360013429075E-13</v>
      </c>
      <c r="BF163" s="13">
        <f t="shared" si="167"/>
        <v>1.9329766731057041E-12</v>
      </c>
      <c r="BG163" s="20">
        <f t="shared" si="168"/>
        <v>3.5982663925596575E-12</v>
      </c>
      <c r="BH163" s="59">
        <f t="shared" si="116"/>
        <v>293.3333333333369</v>
      </c>
      <c r="BI163" s="59">
        <f ca="1">AVERAGE(OFFSET($BH$3,0,0,'Données projet'!$E$11+1,1))-AVERAGE(OFFSET($H$3,0,0,'Données projet'!$E$11+1,1))</f>
        <v>288.80569134263209</v>
      </c>
      <c r="BJ163" s="59">
        <f t="shared" si="146"/>
        <v>283.48738729114024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13.382060778882437</v>
      </c>
      <c r="BQ163" s="21">
        <f>EXP(-LN(2)/25)*BQ162+(1-EXP(-LN(2)/25))/(LN(2)/25)*Calculateur!BL163*Calculateur!BN163*VLOOKUP('Données projet'!$B$11,Paramètres!$A$1:$I$89,3,0)*0.475*44/12</f>
        <v>5.4713681750462513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18.853428953928688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212.00000000000009</v>
      </c>
      <c r="BZ163" s="13">
        <f>BY163*VLOOKUP('Données projet'!$B$12,Paramètres!$A$1:$I$89,3,0)*VLOOKUP('Données projet'!$B$12,Paramètres!$A$1:$I$89,5,0)</f>
        <v>221.58240000000012</v>
      </c>
      <c r="CA163" s="13">
        <f t="shared" si="170"/>
        <v>54.458668952651578</v>
      </c>
      <c r="CB163" s="20">
        <f t="shared" si="171"/>
        <v>480.77152842586838</v>
      </c>
      <c r="CC163" s="59">
        <f t="shared" si="119"/>
        <v>774.10486175920164</v>
      </c>
      <c r="CD163" s="59">
        <f ca="1">AVERAGE(OFFSET($CC$3,0,0,'Données projet'!$E$12+1,1))-AVERAGE(OFFSET($H$3,0,0,'Données projet'!$E$12+1,1))</f>
        <v>352.22281362023102</v>
      </c>
      <c r="CE163" s="59">
        <f t="shared" si="148"/>
        <v>310.2353747925161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5.4453708023039118</v>
      </c>
      <c r="CL163" s="21">
        <f>EXP(-LN(2)/25)*CL162+(1-EXP(-LN(2)/25))/(LN(2)/25)*Calculateur!CG163*Calculateur!CI163*VLOOKUP('Données projet'!$B$12,Paramètres!$A$1:$I$89,3,0)*0.475*44/12</f>
        <v>3.1706128533600855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8.6159836556639977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1.1618589743589709</v>
      </c>
      <c r="CT163" s="12">
        <f>IF('Données projet'!$A$140&gt;35,CT162+CS163-DB162,IF(A163&lt;'Données projet'!$A$140,$CQ$205^A163,IF(A163='Données projet'!$A$140,'Données projet'!$B$140,CT162+CS163-DB162)))</f>
        <v>90.20352564102518</v>
      </c>
      <c r="CU163" s="17">
        <f>CT163*VLOOKUP('Données projet'!$B$13,Paramètres!$A$1:$I$89,3,0)*VLOOKUP('Données projet'!$B$13,Paramètres!$A$1:$I$89,5,0)</f>
        <v>81.616149999999578</v>
      </c>
      <c r="CV163" s="13">
        <f t="shared" si="173"/>
        <v>22.531880055892035</v>
      </c>
      <c r="CW163" s="20">
        <f t="shared" si="174"/>
        <v>181.39115234734456</v>
      </c>
      <c r="CX163" s="59">
        <f t="shared" si="122"/>
        <v>474.72448568067784</v>
      </c>
      <c r="CY163" s="59">
        <f ca="1">AVERAGE(OFFSET($CX$3,0,0,'Données projet'!$E$13+1,1))-AVERAGE(OFFSET($H$3,0,0,'Données projet'!$E$13+1,1))</f>
        <v>345.49688858037996</v>
      </c>
      <c r="CZ163" s="59">
        <f t="shared" si="150"/>
        <v>213.15872113755023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108.90897283973774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108.90897283973774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1.1618589743589709</v>
      </c>
      <c r="DO163" s="12">
        <f>IF('Données projet'!$A$166&gt;35,DO162+DN163-DW162,IF(A163&lt;'Données projet'!$A$166,$DL$205^A163,IF(A163='Données projet'!$A$166,'Données projet'!$B$166,DO162+DN163-DW162)))</f>
        <v>90.20352564102518</v>
      </c>
      <c r="DP163" s="17">
        <f>DO163*VLOOKUP('Données projet'!$B$14,Paramètres!$A$1:$I$89,3,0)*VLOOKUP('Données projet'!$B$14,Paramètres!$A$1:$I$89,5,0)</f>
        <v>91.466374999999545</v>
      </c>
      <c r="DQ163" s="13">
        <f t="shared" si="176"/>
        <v>24.918545994850898</v>
      </c>
      <c r="DR163" s="20">
        <f t="shared" si="177"/>
        <v>202.70373739936451</v>
      </c>
      <c r="DS163" s="59">
        <f t="shared" si="125"/>
        <v>496.03707073269783</v>
      </c>
      <c r="DT163" s="59">
        <f ca="1">AVERAGE(OFFSET($DS$3,0,0,'Données projet'!$E$14+1,1))-AVERAGE(OFFSET($H$3,0,0,'Données projet'!$E$14+1,1))</f>
        <v>382.26108489744581</v>
      </c>
      <c r="DU163" s="59">
        <f t="shared" si="152"/>
        <v>233.89423996158826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122.05315921694746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122.05315921694746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-2.4158453015843406E-13</v>
      </c>
      <c r="EK163" s="17">
        <f>EJ163*VLOOKUP('Données projet'!$B$15,Paramètres!$A$1:$I$89,3,0)*VLOOKUP('Données projet'!$B$15,Paramètres!$A$1:$I$89,5,0)</f>
        <v>-2.0351080820546486E-13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312.48716825299158</v>
      </c>
      <c r="EP163" s="59">
        <f t="shared" si="154"/>
        <v>258.68277822755357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55.332885767684878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55.332885767684878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1.1618589743589709</v>
      </c>
      <c r="FE163" s="12">
        <f>IF('Données projet'!$A$218&gt;35,FE162+FD163-FM162,IF(A163&lt;'Données projet'!$A$218,$FB$205^A163,IF(A163='Données projet'!$A$218,'Données projet'!$B$218,FE162+FD163-FM162)))</f>
        <v>90.20352564102518</v>
      </c>
      <c r="FF163" s="17">
        <f>FE163*VLOOKUP('Données projet'!$B$16,Paramètres!$A$1:$I$89,3,0)*VLOOKUP('Données projet'!$B$16,Paramètres!$A$1:$I$89,5,0)</f>
        <v>97.095074999999511</v>
      </c>
      <c r="FG163" s="13">
        <f t="shared" si="182"/>
        <v>26.268756338964664</v>
      </c>
      <c r="FH163" s="20">
        <f t="shared" si="183"/>
        <v>214.8586729153626</v>
      </c>
      <c r="FI163" s="59">
        <f t="shared" si="131"/>
        <v>508.19200624869592</v>
      </c>
      <c r="FJ163" s="59">
        <f ca="1">AVERAGE(OFFSET($FI$3,0,0,'Données projet'!$E$16+1,1))-AVERAGE(OFFSET($H$3,0,0,'Données projet'!$E$16+1,1))</f>
        <v>403.23110963096246</v>
      </c>
      <c r="FK163" s="59">
        <f t="shared" si="156"/>
        <v>245.72000393124898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129.56412286106729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129.56412286106729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1.1618589743589709</v>
      </c>
      <c r="FZ163" s="12">
        <f>IF('Données projet'!$A$244&gt;35,FZ162+FY163-GH162,IF(A163&lt;'Données projet'!$A$244,$FW$205^A163,IF(A163='Données projet'!$A$244,'Données projet'!$B$244,FZ162+FY163-GH162)))</f>
        <v>90.20352564102518</v>
      </c>
      <c r="GA163" s="17">
        <f>FZ163*VLOOKUP('Données projet'!$B$17,Paramètres!$A$1:$I$89,3,0)*VLOOKUP('Données projet'!$B$17,Paramètres!$A$1:$I$89,5,0)</f>
        <v>87.244849999999559</v>
      </c>
      <c r="GB163" s="13">
        <f t="shared" si="185"/>
        <v>23.899551575903931</v>
      </c>
      <c r="GC163" s="20">
        <f t="shared" si="186"/>
        <v>193.57649941136523</v>
      </c>
      <c r="GD163" s="59">
        <f t="shared" si="134"/>
        <v>486.90983274469852</v>
      </c>
      <c r="GE163" s="59">
        <f ca="1">AVERAGE(OFFSET($GD$3,0,0,'Données projet'!$E$17+1,1))-AVERAGE(OFFSET($H$3,0,0,'Données projet'!$E$17+1,1))</f>
        <v>336.2911850338175</v>
      </c>
      <c r="GF163" s="59">
        <f t="shared" si="158"/>
        <v>225.01415116995503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116.4199364838576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116.4199364838576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1.1618589743589709</v>
      </c>
      <c r="GU163" s="12">
        <f>IF('Données projet'!$A$270&gt;35,GU162+GT163-HC162,IF(A163&lt;'Données projet'!$A$270,$GR$205^A163,IF(A163='Données projet'!$A$270,'Données projet'!$B$270,GU162+GT163-HC162)))</f>
        <v>90.20352564102518</v>
      </c>
      <c r="GV163" s="17">
        <f>GU163*VLOOKUP('Données projet'!$B$18,Paramètres!$A$1:$I$89,3,0)*VLOOKUP('Données projet'!$B$18,Paramètres!$A$1:$I$89,5,0)</f>
        <v>60.508524999999693</v>
      </c>
      <c r="GW163" s="13">
        <f t="shared" si="188"/>
        <v>17.296776866440617</v>
      </c>
      <c r="GX163" s="20">
        <f t="shared" si="189"/>
        <v>135.5109007507169</v>
      </c>
      <c r="GY163" s="59">
        <f t="shared" si="137"/>
        <v>428.84423408405019</v>
      </c>
      <c r="GZ163" s="59">
        <f ca="1">AVERAGE(OFFSET($GY$3,0,0,'Données projet'!$E$18+1,1))-AVERAGE(OFFSET($H$3,0,0,'Données projet'!$E$18+1,1))</f>
        <v>266.37807768393191</v>
      </c>
      <c r="HA163" s="59">
        <f t="shared" si="160"/>
        <v>168.52019826233425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99.520268284587942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190"/>
        <v>99.520268284587942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266.99999999999983</v>
      </c>
      <c r="O164" s="13">
        <f>N164*VLOOKUP('Données projet'!$B$9,Paramètres!$A$1:$I$89,3,0)*VLOOKUP('Données projet'!$B$9,Paramètres!$A$1:$I$89,5,0)</f>
        <v>233.2511999999999</v>
      </c>
      <c r="P164" s="13">
        <f t="shared" si="141"/>
        <v>56.985091661350864</v>
      </c>
      <c r="Q164" s="20">
        <f t="shared" si="162"/>
        <v>505.49487464351915</v>
      </c>
      <c r="R164" s="59">
        <f t="shared" si="109"/>
        <v>798.82820797685247</v>
      </c>
      <c r="S164" s="59">
        <f ca="1">AVERAGE(OFFSET($R$3,0,0,'Données projet'!$E$9+1,1))-AVERAGE(OFFSET($H$3,0,0,'Données projet'!$E$9+1,1))</f>
        <v>324.86930206492627</v>
      </c>
      <c r="T164" s="59">
        <f t="shared" si="142"/>
        <v>317.03005098025352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6.3563827497726084</v>
      </c>
      <c r="AA164" s="21">
        <f>EXP(-LN(2)/25)*AA163+(1-EXP(-LN(2)/25))/(LN(2)/25)*Calculateur!V164*Calculateur!X164*VLOOKUP('Données projet'!$B$9,Paramètres!$A$1:$I$89,3,0)*0.475*44/12</f>
        <v>0.96798664789763733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7.324369397670246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5.4092197387944907E-13</v>
      </c>
      <c r="AK164" s="13">
        <f t="shared" si="164"/>
        <v>6.6765148417791561E-12</v>
      </c>
      <c r="AL164" s="20">
        <f t="shared" si="165"/>
        <v>1.2570369120605403E-11</v>
      </c>
      <c r="AM164" s="59">
        <f t="shared" si="113"/>
        <v>293.33333333334588</v>
      </c>
      <c r="AN164" s="59">
        <f ca="1">AVERAGE(OFFSET($AM$3,0,0,'Données projet'!$E$10+1,1))-AVERAGE(OFFSET($H$3,0,0,'Données projet'!$E$10+1,1))</f>
        <v>401.81944956556271</v>
      </c>
      <c r="AO164" s="59">
        <f t="shared" si="144"/>
        <v>292.20785523952651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99.274161319480712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99.274161319480712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1.7053025658242404E-13</v>
      </c>
      <c r="BE164" s="13">
        <f>BD164*VLOOKUP('Données projet'!$B$11,Paramètres!$A$1:$I$89,3,0)*VLOOKUP('Données projet'!$B$11,Paramètres!$A$1:$I$89,5,0)</f>
        <v>1.3301360013429075E-13</v>
      </c>
      <c r="BF164" s="13">
        <f t="shared" si="167"/>
        <v>1.9329766731057041E-12</v>
      </c>
      <c r="BG164" s="20">
        <f t="shared" si="168"/>
        <v>3.5982663925596575E-12</v>
      </c>
      <c r="BH164" s="59">
        <f t="shared" si="116"/>
        <v>293.3333333333369</v>
      </c>
      <c r="BI164" s="59">
        <f ca="1">AVERAGE(OFFSET($BH$3,0,0,'Données projet'!$E$11+1,1))-AVERAGE(OFFSET($H$3,0,0,'Données projet'!$E$11+1,1))</f>
        <v>288.80569134263209</v>
      </c>
      <c r="BJ164" s="59">
        <f t="shared" si="146"/>
        <v>283.48738729114024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13.119646729259673</v>
      </c>
      <c r="BQ164" s="21">
        <f>EXP(-LN(2)/25)*BQ163+(1-EXP(-LN(2)/25))/(LN(2)/25)*Calculateur!BL164*Calculateur!BN164*VLOOKUP('Données projet'!$B$11,Paramètres!$A$1:$I$89,3,0)*0.475*44/12</f>
        <v>5.3217533245728639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18.441400053832538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212.00000000000009</v>
      </c>
      <c r="BZ164" s="13">
        <f>BY164*VLOOKUP('Données projet'!$B$12,Paramètres!$A$1:$I$89,3,0)*VLOOKUP('Données projet'!$B$12,Paramètres!$A$1:$I$89,5,0)</f>
        <v>221.58240000000012</v>
      </c>
      <c r="CA164" s="13">
        <f t="shared" si="170"/>
        <v>54.458668952651578</v>
      </c>
      <c r="CB164" s="20">
        <f t="shared" si="171"/>
        <v>480.77152842586838</v>
      </c>
      <c r="CC164" s="59">
        <f t="shared" si="119"/>
        <v>774.10486175920164</v>
      </c>
      <c r="CD164" s="59">
        <f ca="1">AVERAGE(OFFSET($CC$3,0,0,'Données projet'!$E$12+1,1))-AVERAGE(OFFSET($H$3,0,0,'Données projet'!$E$12+1,1))</f>
        <v>352.22281362023102</v>
      </c>
      <c r="CE164" s="59">
        <f t="shared" si="148"/>
        <v>310.2353747925161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5.3385904022189656</v>
      </c>
      <c r="CL164" s="21">
        <f>EXP(-LN(2)/25)*CL163+(1-EXP(-LN(2)/25))/(LN(2)/25)*Calculateur!CG164*Calculateur!CI164*VLOOKUP('Données projet'!$B$12,Paramètres!$A$1:$I$89,3,0)*0.475*44/12</f>
        <v>3.0839122781496706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8.4225026803686358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>
        <f>VLOOKUP(A164,'Données projet'!$A$139:$I$159,2,0)</f>
        <v>91.365384615384613</v>
      </c>
      <c r="CR164" s="12">
        <f>VLOOKUP(A164,'Données projet'!$A$139:$I$159,9,0)</f>
        <v>1.1618589743589709</v>
      </c>
      <c r="CS164" s="12">
        <f t="array" ref="CS164">INDEX(CR:CR,MIN(IF(ISNUMBER(CR164:CR360),ROW(CR164:CR360),"")))</f>
        <v>1.1618589743589709</v>
      </c>
      <c r="CT164" s="12">
        <f>IF('Données projet'!$A$140&gt;35,CT163+CS164-DB163,IF(A164&lt;'Données projet'!$A$140,$CQ$205^A164,IF(A164='Données projet'!$A$140,'Données projet'!$B$140,CT163+CS164-DB163)))</f>
        <v>91.365384615384158</v>
      </c>
      <c r="CU164" s="17">
        <f>CT164*VLOOKUP('Données projet'!$B$13,Paramètres!$A$1:$I$89,3,0)*VLOOKUP('Données projet'!$B$13,Paramètres!$A$1:$I$89,5,0)</f>
        <v>82.667399999999589</v>
      </c>
      <c r="CV164" s="13">
        <f t="shared" si="173"/>
        <v>22.788127124999455</v>
      </c>
      <c r="CW164" s="20">
        <f t="shared" si="174"/>
        <v>183.66837640937331</v>
      </c>
      <c r="CX164" s="59">
        <f t="shared" si="122"/>
        <v>477.00170974270662</v>
      </c>
      <c r="CY164" s="59">
        <f ca="1">AVERAGE(OFFSET($CX$3,0,0,'Données projet'!$E$13+1,1))-AVERAGE(OFFSET($H$3,0,0,'Données projet'!$E$13+1,1))</f>
        <v>345.49688858037996</v>
      </c>
      <c r="CZ164" s="59">
        <f t="shared" si="150"/>
        <v>213.15872113755023</v>
      </c>
      <c r="DA164" s="15">
        <f>IF(ISNA(VLOOKUP(A164,'Données projet'!$A$139:$I$159,3,0)),0,VLOOKUP(A164,'Données projet'!$A$139:$I$159,3,0))</f>
        <v>15</v>
      </c>
      <c r="DB164" s="15">
        <f>IF(ISNA(VLOOKUP(A164,'Données projet'!$A$139:$I$159,4,0)),0,VLOOKUP(A164,'Données projet'!$A$139:$I$159,4,0))</f>
        <v>91.365384615384613</v>
      </c>
      <c r="DC164" s="16">
        <f>IF(ISNA(VLOOKUP(A164,'Données projet'!$A$139:$I$159,5,0)),0%,VLOOKUP(A164,'Données projet'!$A$139:$I$159,5,0)*VLOOKUP('Données projet'!$B$13,Paramètres!$A$1:$I$89,7,0))</f>
        <v>0.38700000000000001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142.13985642477655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142.13985642477655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>
        <f>VLOOKUP(A164,'Données projet'!$A$165:$I$185,2,0)</f>
        <v>91.365384615384613</v>
      </c>
      <c r="DM164" s="12">
        <f>VLOOKUP(A164,'Données projet'!$A$165:$I$185,9,0)</f>
        <v>1.1618589743589709</v>
      </c>
      <c r="DN164" s="12">
        <f t="array" ref="DN164">INDEX(DM:DM,MIN(IF(ISNUMBER(DM164:DM360),ROW(DM164:DM360),"")))</f>
        <v>1.1618589743589709</v>
      </c>
      <c r="DO164" s="12">
        <f>IF('Données projet'!$A$166&gt;35,DO163+DN164-DW163,IF(A164&lt;'Données projet'!$A$166,$DL$205^A164,IF(A164='Données projet'!$A$166,'Données projet'!$B$166,DO163+DN164-DW163)))</f>
        <v>91.365384615384158</v>
      </c>
      <c r="DP164" s="17">
        <f>DO164*VLOOKUP('Données projet'!$B$14,Paramètres!$A$1:$I$89,3,0)*VLOOKUP('Données projet'!$B$14,Paramètres!$A$1:$I$89,5,0)</f>
        <v>92.644499999999539</v>
      </c>
      <c r="DQ164" s="13">
        <f t="shared" si="176"/>
        <v>25.201935767997217</v>
      </c>
      <c r="DR164" s="20">
        <f t="shared" si="177"/>
        <v>205.24920896259434</v>
      </c>
      <c r="DS164" s="59">
        <f t="shared" si="125"/>
        <v>498.58254229592762</v>
      </c>
      <c r="DT164" s="59">
        <f ca="1">AVERAGE(OFFSET($DS$3,0,0,'Données projet'!$E$14+1,1))-AVERAGE(OFFSET($H$3,0,0,'Données projet'!$E$14+1,1))</f>
        <v>382.26108489744581</v>
      </c>
      <c r="DU164" s="59">
        <f t="shared" si="152"/>
        <v>233.89423996158826</v>
      </c>
      <c r="DV164" s="15">
        <f>IF(ISNA(VLOOKUP(A164,'Données projet'!$A$165:$I$185,3,0)),0,VLOOKUP(A164,'Données projet'!$A$165:$I$185,3,0))</f>
        <v>15</v>
      </c>
      <c r="DW164" s="15">
        <f>IF(ISNA(VLOOKUP(A164,'Données projet'!$A$165:$I$185,4,0)),0,VLOOKUP(A164,'Données projet'!$A$165:$I$185,4,0))</f>
        <v>91.365384615384613</v>
      </c>
      <c r="DX164" s="16">
        <f>IF(ISNA(VLOOKUP(A164,'Données projet'!$A$165:$I$185,5,0)),0%,VLOOKUP(A164,'Données projet'!$A$165:$I$185,5,0)*VLOOKUP('Données projet'!$B$14,Paramètres!$A$1:$I$89,7,0))</f>
        <v>0.38700000000000001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159.29466668293924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159.29466668293924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-2.4158453015843406E-13</v>
      </c>
      <c r="EK164" s="17">
        <f>EJ164*VLOOKUP('Données projet'!$B$15,Paramètres!$A$1:$I$89,3,0)*VLOOKUP('Données projet'!$B$15,Paramètres!$A$1:$I$89,5,0)</f>
        <v>-2.0351080820546486E-13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312.48716825299158</v>
      </c>
      <c r="EP164" s="59">
        <f t="shared" si="154"/>
        <v>258.68277822755357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54.247841627508386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54.247841627508386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>
        <f>VLOOKUP(A164,'Données projet'!$A$217:$I$237,2,0)</f>
        <v>91.365384615384613</v>
      </c>
      <c r="FC164" s="12">
        <f>VLOOKUP(A164,'Données projet'!$A$217:$I$237,9,0)</f>
        <v>1.1618589743589709</v>
      </c>
      <c r="FD164" s="12">
        <f t="array" ref="FD164">INDEX(FC:FC,MIN(IF(ISNUMBER(FC164:FC360),ROW(FC164:FC360),"")))</f>
        <v>1.1618589743589709</v>
      </c>
      <c r="FE164" s="12">
        <f>IF('Données projet'!$A$218&gt;35,FE163+FD164-FM163,IF(A164&lt;'Données projet'!$A$218,$FB$205^A164,IF(A164='Données projet'!$A$218,'Données projet'!$B$218,FE163+FD164-FM163)))</f>
        <v>91.365384615384158</v>
      </c>
      <c r="FF164" s="17">
        <f>FE164*VLOOKUP('Données projet'!$B$16,Paramètres!$A$1:$I$89,3,0)*VLOOKUP('Données projet'!$B$16,Paramètres!$A$1:$I$89,5,0)</f>
        <v>98.345699999999511</v>
      </c>
      <c r="FG164" s="13">
        <f t="shared" si="182"/>
        <v>26.567501574793177</v>
      </c>
      <c r="FH164" s="20">
        <f t="shared" si="183"/>
        <v>217.5571594094306</v>
      </c>
      <c r="FI164" s="59">
        <f t="shared" si="131"/>
        <v>510.89049274276391</v>
      </c>
      <c r="FJ164" s="59">
        <f ca="1">AVERAGE(OFFSET($FI$3,0,0,'Données projet'!$E$16+1,1))-AVERAGE(OFFSET($H$3,0,0,'Données projet'!$E$16+1,1))</f>
        <v>403.23110963096246</v>
      </c>
      <c r="FK164" s="59">
        <f t="shared" si="156"/>
        <v>245.72000393124898</v>
      </c>
      <c r="FL164" s="15">
        <f>IF(ISNA(VLOOKUP(A164,'Données projet'!$A$217:$I$237,3,0)),0,VLOOKUP(A164,'Données projet'!$A$217:$I$237,3,0))</f>
        <v>15</v>
      </c>
      <c r="FM164" s="15">
        <f>IF(ISNA(VLOOKUP(A164,'Données projet'!$A$217:$I$237,4,0)),0,VLOOKUP(A164,'Données projet'!$A$217:$I$237,4,0))</f>
        <v>91.365384615384613</v>
      </c>
      <c r="FN164" s="16">
        <f>IF(ISNA(VLOOKUP(A164,'Données projet'!$A$217:$I$237,5,0)),0%,VLOOKUP(A164,'Données projet'!$A$217:$I$237,5,0)*VLOOKUP('Données projet'!$B$16,Paramètres!$A$1:$I$89,7,0))</f>
        <v>0.38700000000000001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169.09741540188932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169.09741540188932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>
        <f>VLOOKUP(A164,'Données projet'!$A$243:$I$263,2,0)</f>
        <v>91.365384615384613</v>
      </c>
      <c r="FX164" s="12">
        <f>VLOOKUP(A164,'Données projet'!$A$243:$I$263,9,0)</f>
        <v>1.1618589743589709</v>
      </c>
      <c r="FY164" s="12">
        <f t="array" ref="FY164">INDEX(FX:FX,MIN(IF(ISNUMBER(FX164:FX360),ROW(FX164:FX360),"")))</f>
        <v>1.1618589743589709</v>
      </c>
      <c r="FZ164" s="12">
        <f>IF('Données projet'!$A$244&gt;35,FZ163+FY164-GH163,IF(A164&lt;'Données projet'!$A$244,$FW$205^A164,IF(A164='Données projet'!$A$244,'Données projet'!$B$244,FZ163+FY164-GH163)))</f>
        <v>91.365384615384158</v>
      </c>
      <c r="GA164" s="17">
        <f>FZ164*VLOOKUP('Données projet'!$B$17,Paramètres!$A$1:$I$89,3,0)*VLOOKUP('Données projet'!$B$17,Paramètres!$A$1:$I$89,5,0)</f>
        <v>88.36859999999956</v>
      </c>
      <c r="GB164" s="13">
        <f t="shared" si="185"/>
        <v>24.171352687445268</v>
      </c>
      <c r="GC164" s="20">
        <f t="shared" si="186"/>
        <v>196.00708426396639</v>
      </c>
      <c r="GD164" s="59">
        <f t="shared" si="134"/>
        <v>489.34041759729973</v>
      </c>
      <c r="GE164" s="59">
        <f ca="1">AVERAGE(OFFSET($GD$3,0,0,'Données projet'!$E$17+1,1))-AVERAGE(OFFSET($H$3,0,0,'Données projet'!$E$17+1,1))</f>
        <v>336.2911850338175</v>
      </c>
      <c r="GF164" s="59">
        <f t="shared" si="158"/>
        <v>225.01415116995503</v>
      </c>
      <c r="GG164" s="15">
        <f>IF(ISNA(VLOOKUP(A164,'Données projet'!$A$243:$I$263,3,0)),0,VLOOKUP(A164,'Données projet'!$A$243:$I$263,3,0))</f>
        <v>15</v>
      </c>
      <c r="GH164" s="15">
        <f>IF(ISNA(VLOOKUP(A164,'Données projet'!$A$243:$I$263,4,0)),0,VLOOKUP(A164,'Données projet'!$A$243:$I$263,4,0))</f>
        <v>91.365384615384613</v>
      </c>
      <c r="GI164" s="16">
        <f>IF(ISNA(VLOOKUP(A164,'Données projet'!$A$243:$I$263,5,0)),0%,VLOOKUP(A164,'Données projet'!$A$243:$I$263,5,0)*VLOOKUP('Données projet'!$B$17,Paramètres!$A$1:$I$89,7,0))</f>
        <v>0.38700000000000001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151.94260514372667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151.94260514372667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>
        <f>VLOOKUP(A164,'Données projet'!$A$269:$I$289,2,0)</f>
        <v>91.365384615384613</v>
      </c>
      <c r="GS164" s="12">
        <f>VLOOKUP(A164,'Données projet'!$A$269:$I$289,9,0)</f>
        <v>1.1618589743589709</v>
      </c>
      <c r="GT164" s="12">
        <f t="array" ref="GT164">INDEX(GS:GS,MIN(IF(ISNUMBER(GS164:GS360),ROW(GS164:GS360),"")))</f>
        <v>1.1618589743589709</v>
      </c>
      <c r="GU164" s="12">
        <f>IF('Données projet'!$A$270&gt;35,GU163+GT164-HC163,IF(A164&lt;'Données projet'!$A$270,$GR$205^A164,IF(A164='Données projet'!$A$270,'Données projet'!$B$270,GU163+GT164-HC163)))</f>
        <v>91.365384615384158</v>
      </c>
      <c r="GV164" s="17">
        <f>GU164*VLOOKUP('Données projet'!$B$18,Paramètres!$A$1:$I$89,3,0)*VLOOKUP('Données projet'!$B$18,Paramètres!$A$1:$I$89,5,0)</f>
        <v>61.287899999999688</v>
      </c>
      <c r="GW164" s="13">
        <f t="shared" si="188"/>
        <v>17.493486966353981</v>
      </c>
      <c r="GX164" s="20">
        <f t="shared" si="189"/>
        <v>137.21091563306595</v>
      </c>
      <c r="GY164" s="59">
        <f t="shared" si="137"/>
        <v>430.54424896639927</v>
      </c>
      <c r="GZ164" s="59">
        <f ca="1">AVERAGE(OFFSET($GY$3,0,0,'Données projet'!$E$18+1,1))-AVERAGE(OFFSET($H$3,0,0,'Données projet'!$E$18+1,1))</f>
        <v>266.37807768393191</v>
      </c>
      <c r="HA164" s="59">
        <f t="shared" si="160"/>
        <v>168.52019826233425</v>
      </c>
      <c r="HB164" s="15">
        <f>IF(ISNA(VLOOKUP(A164,'Données projet'!$A$269:$I$289,3,0)),0,VLOOKUP(A164,'Données projet'!$A$269:$I$289,3,0))</f>
        <v>15</v>
      </c>
      <c r="HC164" s="15">
        <f>IF(ISNA(VLOOKUP(A164,'Données projet'!$A$269:$I$289,4,0)),0,VLOOKUP(A164,'Données projet'!$A$269:$I$289,4,0))</f>
        <v>91.365384615384613</v>
      </c>
      <c r="HD164" s="16">
        <f>IF(ISNA(VLOOKUP(A164,'Données projet'!$A$269:$I$289,5,0)),0%,VLOOKUP(A164,'Données projet'!$A$269:$I$289,5,0)*VLOOKUP('Données projet'!$B$18,Paramètres!$A$1:$I$89,7,0))</f>
        <v>0.47700000000000004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129.88642052608893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190"/>
        <v>129.88642052608893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266.99999999999983</v>
      </c>
      <c r="O165" s="13">
        <f>N165*VLOOKUP('Données projet'!$B$9,Paramètres!$A$1:$I$89,3,0)*VLOOKUP('Données projet'!$B$9,Paramètres!$A$1:$I$89,5,0)</f>
        <v>233.2511999999999</v>
      </c>
      <c r="P165" s="13">
        <f t="shared" si="141"/>
        <v>56.985091661350864</v>
      </c>
      <c r="Q165" s="20">
        <f t="shared" si="162"/>
        <v>505.49487464351915</v>
      </c>
      <c r="R165" s="59">
        <f t="shared" si="109"/>
        <v>798.82820797685247</v>
      </c>
      <c r="S165" s="59">
        <f ca="1">AVERAGE(OFFSET($R$3,0,0,'Données projet'!$E$9+1,1))-AVERAGE(OFFSET($H$3,0,0,'Données projet'!$E$9+1,1))</f>
        <v>324.86930206492627</v>
      </c>
      <c r="T165" s="59">
        <f t="shared" si="142"/>
        <v>317.03005098025352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6.2317379610602215</v>
      </c>
      <c r="AA165" s="21">
        <f>EXP(-LN(2)/25)*AA164+(1-EXP(-LN(2)/25))/(LN(2)/25)*Calculateur!V165*Calculateur!X165*VLOOKUP('Données projet'!$B$9,Paramètres!$A$1:$I$89,3,0)*0.475*44/12</f>
        <v>0.941517002106671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7.173254963166892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5.4092197387944907E-13</v>
      </c>
      <c r="AK165" s="13">
        <f t="shared" si="164"/>
        <v>6.6765148417791561E-12</v>
      </c>
      <c r="AL165" s="20">
        <f t="shared" si="165"/>
        <v>1.2570369120605403E-11</v>
      </c>
      <c r="AM165" s="59">
        <f t="shared" si="113"/>
        <v>293.33333333334588</v>
      </c>
      <c r="AN165" s="59">
        <f ca="1">AVERAGE(OFFSET($AM$3,0,0,'Données projet'!$E$10+1,1))-AVERAGE(OFFSET($H$3,0,0,'Données projet'!$E$10+1,1))</f>
        <v>401.81944956556271</v>
      </c>
      <c r="AO165" s="59">
        <f t="shared" si="144"/>
        <v>292.20785523952651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97.327455567265162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97.327455567265162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1.7053025658242404E-13</v>
      </c>
      <c r="BE165" s="13">
        <f>BD165*VLOOKUP('Données projet'!$B$11,Paramètres!$A$1:$I$89,3,0)*VLOOKUP('Données projet'!$B$11,Paramètres!$A$1:$I$89,5,0)</f>
        <v>1.3301360013429075E-13</v>
      </c>
      <c r="BF165" s="13">
        <f t="shared" si="167"/>
        <v>1.9329766731057041E-12</v>
      </c>
      <c r="BG165" s="20">
        <f t="shared" si="168"/>
        <v>3.5982663925596575E-12</v>
      </c>
      <c r="BH165" s="59">
        <f t="shared" si="116"/>
        <v>293.3333333333369</v>
      </c>
      <c r="BI165" s="59">
        <f ca="1">AVERAGE(OFFSET($BH$3,0,0,'Données projet'!$E$11+1,1))-AVERAGE(OFFSET($H$3,0,0,'Données projet'!$E$11+1,1))</f>
        <v>288.80569134263209</v>
      </c>
      <c r="BJ165" s="59">
        <f t="shared" si="146"/>
        <v>283.48738729114024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12.862378459093245</v>
      </c>
      <c r="BQ165" s="21">
        <f>EXP(-LN(2)/25)*BQ164+(1-EXP(-LN(2)/25))/(LN(2)/25)*Calculateur!BL165*Calculateur!BN165*VLOOKUP('Données projet'!$B$11,Paramètres!$A$1:$I$89,3,0)*0.475*44/12</f>
        <v>5.1762297000535744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18.038608159146818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212.00000000000009</v>
      </c>
      <c r="BZ165" s="13">
        <f>BY165*VLOOKUP('Données projet'!$B$12,Paramètres!$A$1:$I$89,3,0)*VLOOKUP('Données projet'!$B$12,Paramètres!$A$1:$I$89,5,0)</f>
        <v>221.58240000000012</v>
      </c>
      <c r="CA165" s="13">
        <f t="shared" si="170"/>
        <v>54.458668952651578</v>
      </c>
      <c r="CB165" s="20">
        <f t="shared" si="171"/>
        <v>480.77152842586838</v>
      </c>
      <c r="CC165" s="59">
        <f t="shared" si="119"/>
        <v>774.10486175920164</v>
      </c>
      <c r="CD165" s="59">
        <f ca="1">AVERAGE(OFFSET($CC$3,0,0,'Données projet'!$E$12+1,1))-AVERAGE(OFFSET($H$3,0,0,'Données projet'!$E$12+1,1))</f>
        <v>352.22281362023102</v>
      </c>
      <c r="CE165" s="59">
        <f t="shared" si="148"/>
        <v>310.2353747925161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5.2339039006500725</v>
      </c>
      <c r="CL165" s="21">
        <f>EXP(-LN(2)/25)*CL164+(1-EXP(-LN(2)/25))/(LN(2)/25)*Calculateur!CG165*Calculateur!CI165*VLOOKUP('Données projet'!$B$12,Paramètres!$A$1:$I$89,3,0)*0.475*44/12</f>
        <v>2.9995825347277694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8.2334864353778414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-4.5474735088646412E-13</v>
      </c>
      <c r="CU165" s="17">
        <f>CT165*VLOOKUP('Données projet'!$B$13,Paramètres!$A$1:$I$89,3,0)*VLOOKUP('Données projet'!$B$13,Paramètres!$A$1:$I$89,5,0)</f>
        <v>-4.1145540308207271E-13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345.49688858037996</v>
      </c>
      <c r="CZ165" s="59">
        <f t="shared" si="150"/>
        <v>213.15872113755023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139.35258053703851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139.35258053703851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-4.5474735088646412E-13</v>
      </c>
      <c r="DP165" s="17">
        <f>DO165*VLOOKUP('Données projet'!$B$14,Paramètres!$A$1:$I$89,3,0)*VLOOKUP('Données projet'!$B$14,Paramètres!$A$1:$I$89,5,0)</f>
        <v>-4.6111381379887462E-13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382.26108489744581</v>
      </c>
      <c r="DU165" s="59">
        <f t="shared" si="152"/>
        <v>233.89423996158826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156.1709954294397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156.1709954294397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-2.4158453015843406E-13</v>
      </c>
      <c r="EK165" s="17">
        <f>EJ165*VLOOKUP('Données projet'!$B$15,Paramètres!$A$1:$I$89,3,0)*VLOOKUP('Données projet'!$B$15,Paramètres!$A$1:$I$89,5,0)</f>
        <v>-2.0351080820546486E-13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312.48716825299158</v>
      </c>
      <c r="EP165" s="59">
        <f t="shared" si="154"/>
        <v>258.68277822755357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53.184074541109176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53.184074541109176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-4.5474735088646412E-13</v>
      </c>
      <c r="FF165" s="17">
        <f>FE165*VLOOKUP('Données projet'!$B$16,Paramètres!$A$1:$I$89,3,0)*VLOOKUP('Données projet'!$B$16,Paramètres!$A$1:$I$89,5,0)</f>
        <v>-4.8949004849418999E-13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403.23110963096246</v>
      </c>
      <c r="FK165" s="59">
        <f t="shared" si="156"/>
        <v>245.72000393124898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165.7815182250975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165.7815182250975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-4.5474735088646412E-13</v>
      </c>
      <c r="GA165" s="17">
        <f>FZ165*VLOOKUP('Données projet'!$B$17,Paramètres!$A$1:$I$89,3,0)*VLOOKUP('Données projet'!$B$17,Paramètres!$A$1:$I$89,5,0)</f>
        <v>-4.3983163777738812E-13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336.2911850338175</v>
      </c>
      <c r="GF165" s="59">
        <f t="shared" si="158"/>
        <v>225.01415116995503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148.96310333269633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148.96310333269633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-4.5474735088646412E-13</v>
      </c>
      <c r="GV165" s="17">
        <f>GU165*VLOOKUP('Données projet'!$B$18,Paramètres!$A$1:$I$89,3,0)*VLOOKUP('Données projet'!$B$18,Paramètres!$A$1:$I$89,5,0)</f>
        <v>-3.0504452297464016E-13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266.37807768393191</v>
      </c>
      <c r="HA165" s="59">
        <f t="shared" si="160"/>
        <v>168.52019826233425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127.33942704246623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190"/>
        <v>127.33942704246623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266.99999999999983</v>
      </c>
      <c r="O166" s="13">
        <f>N166*VLOOKUP('Données projet'!$B$9,Paramètres!$A$1:$I$89,3,0)*VLOOKUP('Données projet'!$B$9,Paramètres!$A$1:$I$89,5,0)</f>
        <v>233.2511999999999</v>
      </c>
      <c r="P166" s="13">
        <f t="shared" si="141"/>
        <v>56.985091661350864</v>
      </c>
      <c r="Q166" s="20">
        <f t="shared" si="162"/>
        <v>505.49487464351915</v>
      </c>
      <c r="R166" s="59">
        <f t="shared" si="109"/>
        <v>798.82820797685247</v>
      </c>
      <c r="S166" s="59">
        <f ca="1">AVERAGE(OFFSET($R$3,0,0,'Données projet'!$E$9+1,1))-AVERAGE(OFFSET($H$3,0,0,'Données projet'!$E$9+1,1))</f>
        <v>324.86930206492627</v>
      </c>
      <c r="T166" s="59">
        <f t="shared" si="142"/>
        <v>317.03005098025352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6.1095373806286704</v>
      </c>
      <c r="AA166" s="21">
        <f>EXP(-LN(2)/25)*AA165+(1-EXP(-LN(2)/25))/(LN(2)/25)*Calculateur!V166*Calculateur!X166*VLOOKUP('Données projet'!$B$9,Paramètres!$A$1:$I$89,3,0)*0.475*44/12</f>
        <v>0.91577117017183685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7.0253085508005073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5.4092197387944907E-13</v>
      </c>
      <c r="AK166" s="13">
        <f t="shared" si="164"/>
        <v>6.6765148417791561E-12</v>
      </c>
      <c r="AL166" s="20">
        <f t="shared" si="165"/>
        <v>1.2570369120605403E-11</v>
      </c>
      <c r="AM166" s="59">
        <f t="shared" si="113"/>
        <v>293.33333333334588</v>
      </c>
      <c r="AN166" s="59">
        <f ca="1">AVERAGE(OFFSET($AM$3,0,0,'Données projet'!$E$10+1,1))-AVERAGE(OFFSET($H$3,0,0,'Données projet'!$E$10+1,1))</f>
        <v>401.81944956556271</v>
      </c>
      <c r="AO166" s="59">
        <f t="shared" si="144"/>
        <v>292.20785523952651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95.41892352747729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95.41892352747729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1.7053025658242404E-13</v>
      </c>
      <c r="BE166" s="13">
        <f>BD166*VLOOKUP('Données projet'!$B$11,Paramètres!$A$1:$I$89,3,0)*VLOOKUP('Données projet'!$B$11,Paramètres!$A$1:$I$89,5,0)</f>
        <v>1.3301360013429075E-13</v>
      </c>
      <c r="BF166" s="13">
        <f t="shared" si="167"/>
        <v>1.9329766731057041E-12</v>
      </c>
      <c r="BG166" s="20">
        <f t="shared" si="168"/>
        <v>3.5982663925596575E-12</v>
      </c>
      <c r="BH166" s="59">
        <f t="shared" si="116"/>
        <v>293.3333333333369</v>
      </c>
      <c r="BI166" s="59">
        <f ca="1">AVERAGE(OFFSET($BH$3,0,0,'Données projet'!$E$11+1,1))-AVERAGE(OFFSET($H$3,0,0,'Données projet'!$E$11+1,1))</f>
        <v>288.80569134263209</v>
      </c>
      <c r="BJ166" s="59">
        <f t="shared" si="146"/>
        <v>283.48738729114024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12.61015506278663</v>
      </c>
      <c r="BQ166" s="21">
        <f>EXP(-LN(2)/25)*BQ165+(1-EXP(-LN(2)/25))/(LN(2)/25)*Calculateur!BL166*Calculateur!BN166*VLOOKUP('Données projet'!$B$11,Paramètres!$A$1:$I$89,3,0)*0.475*44/12</f>
        <v>5.0346854266995198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17.64484048948615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212.00000000000009</v>
      </c>
      <c r="BZ166" s="13">
        <f>BY166*VLOOKUP('Données projet'!$B$12,Paramètres!$A$1:$I$89,3,0)*VLOOKUP('Données projet'!$B$12,Paramètres!$A$1:$I$89,5,0)</f>
        <v>221.58240000000012</v>
      </c>
      <c r="CA166" s="13">
        <f t="shared" si="170"/>
        <v>54.458668952651578</v>
      </c>
      <c r="CB166" s="20">
        <f t="shared" si="171"/>
        <v>480.77152842586838</v>
      </c>
      <c r="CC166" s="59">
        <f t="shared" si="119"/>
        <v>774.10486175920164</v>
      </c>
      <c r="CD166" s="59">
        <f ca="1">AVERAGE(OFFSET($CC$3,0,0,'Données projet'!$E$12+1,1))-AVERAGE(OFFSET($H$3,0,0,'Données projet'!$E$12+1,1))</f>
        <v>352.22281362023102</v>
      </c>
      <c r="CE166" s="59">
        <f t="shared" si="148"/>
        <v>310.2353747925161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5.1312702375244843</v>
      </c>
      <c r="CL166" s="21">
        <f>EXP(-LN(2)/25)*CL165+(1-EXP(-LN(2)/25))/(LN(2)/25)*Calculateur!CG166*Calculateur!CI166*VLOOKUP('Données projet'!$B$12,Paramètres!$A$1:$I$89,3,0)*0.475*44/12</f>
        <v>2.9175587925744488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8.0488290300989327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-4.5474735088646412E-13</v>
      </c>
      <c r="CU166" s="17">
        <f>CT166*VLOOKUP('Données projet'!$B$13,Paramètres!$A$1:$I$89,3,0)*VLOOKUP('Données projet'!$B$13,Paramètres!$A$1:$I$89,5,0)</f>
        <v>-4.1145540308207271E-13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345.49688858037996</v>
      </c>
      <c r="CZ166" s="59">
        <f t="shared" si="150"/>
        <v>213.15872113755023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136.61996142938858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136.61996142938858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-4.5474735088646412E-13</v>
      </c>
      <c r="DP166" s="17">
        <f>DO166*VLOOKUP('Données projet'!$B$14,Paramètres!$A$1:$I$89,3,0)*VLOOKUP('Données projet'!$B$14,Paramètres!$A$1:$I$89,5,0)</f>
        <v>-4.6111381379887462E-13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382.26108489744581</v>
      </c>
      <c r="DU166" s="59">
        <f t="shared" si="152"/>
        <v>233.89423996158826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153.10857746396997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153.10857746396997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-2.4158453015843406E-13</v>
      </c>
      <c r="EK166" s="17">
        <f>EJ166*VLOOKUP('Données projet'!$B$15,Paramètres!$A$1:$I$89,3,0)*VLOOKUP('Données projet'!$B$15,Paramètres!$A$1:$I$89,5,0)</f>
        <v>-2.0351080820546486E-13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312.48716825299158</v>
      </c>
      <c r="EP166" s="59">
        <f t="shared" si="154"/>
        <v>258.68277822755357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52.141167278440399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52.141167278440399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-4.5474735088646412E-13</v>
      </c>
      <c r="FF166" s="17">
        <f>FE166*VLOOKUP('Données projet'!$B$16,Paramètres!$A$1:$I$89,3,0)*VLOOKUP('Données projet'!$B$16,Paramètres!$A$1:$I$89,5,0)</f>
        <v>-4.8949004849418999E-13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403.23110963096246</v>
      </c>
      <c r="FK166" s="59">
        <f t="shared" si="156"/>
        <v>245.72000393124898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162.53064376944499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162.53064376944499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-4.5474735088646412E-13</v>
      </c>
      <c r="GA166" s="17">
        <f>FZ166*VLOOKUP('Données projet'!$B$17,Paramètres!$A$1:$I$89,3,0)*VLOOKUP('Données projet'!$B$17,Paramètres!$A$1:$I$89,5,0)</f>
        <v>-4.3983163777738812E-13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336.2911850338175</v>
      </c>
      <c r="GF166" s="59">
        <f t="shared" si="158"/>
        <v>225.01415116995503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146.04202773486367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146.04202773486367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-4.5474735088646412E-13</v>
      </c>
      <c r="GV166" s="17">
        <f>GU166*VLOOKUP('Données projet'!$B$18,Paramètres!$A$1:$I$89,3,0)*VLOOKUP('Données projet'!$B$18,Paramètres!$A$1:$I$89,5,0)</f>
        <v>-3.0504452297464016E-13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266.37807768393191</v>
      </c>
      <c r="HA166" s="59">
        <f t="shared" si="160"/>
        <v>168.52019826233425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124.84237854754474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190"/>
        <v>124.84237854754474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266.99999999999983</v>
      </c>
      <c r="O167" s="13">
        <f>N167*VLOOKUP('Données projet'!$B$9,Paramètres!$A$1:$I$89,3,0)*VLOOKUP('Données projet'!$B$9,Paramètres!$A$1:$I$89,5,0)</f>
        <v>233.2511999999999</v>
      </c>
      <c r="P167" s="13">
        <f t="shared" si="141"/>
        <v>56.985091661350864</v>
      </c>
      <c r="Q167" s="20">
        <f t="shared" si="162"/>
        <v>505.49487464351915</v>
      </c>
      <c r="R167" s="59">
        <f t="shared" si="109"/>
        <v>798.82820797685247</v>
      </c>
      <c r="S167" s="59">
        <f ca="1">AVERAGE(OFFSET($R$3,0,0,'Données projet'!$E$9+1,1))-AVERAGE(OFFSET($H$3,0,0,'Données projet'!$E$9+1,1))</f>
        <v>324.86930206492627</v>
      </c>
      <c r="T167" s="59">
        <f t="shared" si="142"/>
        <v>317.03005098025352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5.9897330790443881</v>
      </c>
      <c r="AA167" s="21">
        <f>EXP(-LN(2)/25)*AA166+(1-EXP(-LN(2)/25))/(LN(2)/25)*Calculateur!V167*Calculateur!X167*VLOOKUP('Données projet'!$B$9,Paramètres!$A$1:$I$89,3,0)*0.475*44/12</f>
        <v>0.89072935936517517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6.8804624384095634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5.4092197387944907E-13</v>
      </c>
      <c r="AK167" s="13">
        <f t="shared" si="164"/>
        <v>6.6765148417791561E-12</v>
      </c>
      <c r="AL167" s="20">
        <f t="shared" si="165"/>
        <v>1.2570369120605403E-11</v>
      </c>
      <c r="AM167" s="59">
        <f t="shared" si="113"/>
        <v>293.33333333334588</v>
      </c>
      <c r="AN167" s="59">
        <f ca="1">AVERAGE(OFFSET($AM$3,0,0,'Données projet'!$E$10+1,1))-AVERAGE(OFFSET($H$3,0,0,'Données projet'!$E$10+1,1))</f>
        <v>401.81944956556271</v>
      </c>
      <c r="AO167" s="59">
        <f t="shared" si="144"/>
        <v>292.20785523952651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93.547816636900066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93.547816636900066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1.7053025658242404E-13</v>
      </c>
      <c r="BE167" s="13">
        <f>BD167*VLOOKUP('Données projet'!$B$11,Paramètres!$A$1:$I$89,3,0)*VLOOKUP('Données projet'!$B$11,Paramètres!$A$1:$I$89,5,0)</f>
        <v>1.3301360013429075E-13</v>
      </c>
      <c r="BF167" s="13">
        <f t="shared" si="167"/>
        <v>1.9329766731057041E-12</v>
      </c>
      <c r="BG167" s="20">
        <f t="shared" si="168"/>
        <v>3.5982663925596575E-12</v>
      </c>
      <c r="BH167" s="59">
        <f t="shared" si="116"/>
        <v>293.3333333333369</v>
      </c>
      <c r="BI167" s="59">
        <f ca="1">AVERAGE(OFFSET($BH$3,0,0,'Données projet'!$E$11+1,1))-AVERAGE(OFFSET($H$3,0,0,'Données projet'!$E$11+1,1))</f>
        <v>288.80569134263209</v>
      </c>
      <c r="BJ167" s="59">
        <f t="shared" si="146"/>
        <v>283.48738729114024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12.362877613440507</v>
      </c>
      <c r="BQ167" s="21">
        <f>EXP(-LN(2)/25)*BQ166+(1-EXP(-LN(2)/25))/(LN(2)/25)*Calculateur!BL167*Calculateur!BN167*VLOOKUP('Données projet'!$B$11,Paramètres!$A$1:$I$89,3,0)*0.475*44/12</f>
        <v>4.897011688943822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17.25988930238433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212.00000000000009</v>
      </c>
      <c r="BZ167" s="13">
        <f>BY167*VLOOKUP('Données projet'!$B$12,Paramètres!$A$1:$I$89,3,0)*VLOOKUP('Données projet'!$B$12,Paramètres!$A$1:$I$89,5,0)</f>
        <v>221.58240000000012</v>
      </c>
      <c r="CA167" s="13">
        <f t="shared" si="170"/>
        <v>54.458668952651578</v>
      </c>
      <c r="CB167" s="20">
        <f t="shared" si="171"/>
        <v>480.77152842586838</v>
      </c>
      <c r="CC167" s="59">
        <f t="shared" si="119"/>
        <v>774.10486175920164</v>
      </c>
      <c r="CD167" s="59">
        <f ca="1">AVERAGE(OFFSET($CC$3,0,0,'Données projet'!$E$12+1,1))-AVERAGE(OFFSET($H$3,0,0,'Données projet'!$E$12+1,1))</f>
        <v>352.22281362023102</v>
      </c>
      <c r="CE167" s="59">
        <f t="shared" si="148"/>
        <v>310.2353747925161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5.0306491579324355</v>
      </c>
      <c r="CL167" s="21">
        <f>EXP(-LN(2)/25)*CL166+(1-EXP(-LN(2)/25))/(LN(2)/25)*Calculateur!CG167*Calculateur!CI167*VLOOKUP('Données projet'!$B$12,Paramètres!$A$1:$I$89,3,0)*0.475*44/12</f>
        <v>2.8377779939637517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7.8684271518961868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-4.5474735088646412E-13</v>
      </c>
      <c r="CU167" s="17">
        <f>CT167*VLOOKUP('Données projet'!$B$13,Paramètres!$A$1:$I$89,3,0)*VLOOKUP('Données projet'!$B$13,Paramètres!$A$1:$I$89,5,0)</f>
        <v>-4.1145540308207271E-13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345.49688858037996</v>
      </c>
      <c r="CZ167" s="59">
        <f t="shared" si="150"/>
        <v>213.15872113755023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133.9409273157066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133.9409273157066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-4.5474735088646412E-13</v>
      </c>
      <c r="DP167" s="17">
        <f>DO167*VLOOKUP('Données projet'!$B$14,Paramètres!$A$1:$I$89,3,0)*VLOOKUP('Données projet'!$B$14,Paramètres!$A$1:$I$89,5,0)</f>
        <v>-4.6111381379887462E-13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382.26108489744581</v>
      </c>
      <c r="DU167" s="59">
        <f t="shared" si="152"/>
        <v>233.89423996158826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150.10621164691256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150.10621164691256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-2.4158453015843406E-13</v>
      </c>
      <c r="EK167" s="17">
        <f>EJ167*VLOOKUP('Données projet'!$B$15,Paramètres!$A$1:$I$89,3,0)*VLOOKUP('Données projet'!$B$15,Paramètres!$A$1:$I$89,5,0)</f>
        <v>-2.0351080820546486E-13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312.48716825299158</v>
      </c>
      <c r="EP167" s="59">
        <f t="shared" si="154"/>
        <v>258.68277822755357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51.118710791081938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51.118710791081938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-4.5474735088646412E-13</v>
      </c>
      <c r="FF167" s="17">
        <f>FE167*VLOOKUP('Données projet'!$B$16,Paramètres!$A$1:$I$89,3,0)*VLOOKUP('Données projet'!$B$16,Paramètres!$A$1:$I$89,5,0)</f>
        <v>-4.8949004849418999E-13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403.23110963096246</v>
      </c>
      <c r="FK167" s="59">
        <f t="shared" si="156"/>
        <v>245.72000393124898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159.34351697903023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159.34351697903023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-4.5474735088646412E-13</v>
      </c>
      <c r="GA167" s="17">
        <f>FZ167*VLOOKUP('Données projet'!$B$17,Paramètres!$A$1:$I$89,3,0)*VLOOKUP('Données projet'!$B$17,Paramètres!$A$1:$I$89,5,0)</f>
        <v>-4.3983163777738812E-13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336.2911850338175</v>
      </c>
      <c r="GF167" s="59">
        <f t="shared" si="158"/>
        <v>225.01415116995503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143.1782326478243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143.1782326478243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-4.5474735088646412E-13</v>
      </c>
      <c r="GV167" s="17">
        <f>GU167*VLOOKUP('Données projet'!$B$18,Paramètres!$A$1:$I$89,3,0)*VLOOKUP('Données projet'!$B$18,Paramètres!$A$1:$I$89,5,0)</f>
        <v>-3.0504452297464016E-13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266.37807768393191</v>
      </c>
      <c r="HA167" s="59">
        <f t="shared" si="160"/>
        <v>168.52019826233425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122.39429565055947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190"/>
        <v>122.39429565055947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266.99999999999983</v>
      </c>
      <c r="O168" s="13">
        <f>N168*VLOOKUP('Données projet'!$B$9,Paramètres!$A$1:$I$89,3,0)*VLOOKUP('Données projet'!$B$9,Paramètres!$A$1:$I$89,5,0)</f>
        <v>233.2511999999999</v>
      </c>
      <c r="P168" s="13">
        <f t="shared" si="141"/>
        <v>56.985091661350864</v>
      </c>
      <c r="Q168" s="20">
        <f t="shared" si="162"/>
        <v>505.49487464351915</v>
      </c>
      <c r="R168" s="59">
        <f t="shared" si="109"/>
        <v>798.82820797685247</v>
      </c>
      <c r="S168" s="59">
        <f ca="1">AVERAGE(OFFSET($R$3,0,0,'Données projet'!$E$9+1,1))-AVERAGE(OFFSET($H$3,0,0,'Données projet'!$E$9+1,1))</f>
        <v>324.86930206492627</v>
      </c>
      <c r="T168" s="59">
        <f t="shared" si="142"/>
        <v>317.03005098025352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5.8722780667407646</v>
      </c>
      <c r="AA168" s="21">
        <f>EXP(-LN(2)/25)*AA167+(1-EXP(-LN(2)/25))/(LN(2)/25)*Calculateur!V168*Calculateur!X168*VLOOKUP('Données projet'!$B$9,Paramètres!$A$1:$I$89,3,0)*0.475*44/12</f>
        <v>0.86637231819191318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6.7386503849326775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5.4092197387944907E-13</v>
      </c>
      <c r="AK168" s="13">
        <f t="shared" si="164"/>
        <v>6.6765148417791561E-12</v>
      </c>
      <c r="AL168" s="20">
        <f t="shared" si="165"/>
        <v>1.2570369120605403E-11</v>
      </c>
      <c r="AM168" s="59">
        <f t="shared" si="113"/>
        <v>293.33333333334588</v>
      </c>
      <c r="AN168" s="59">
        <f ca="1">AVERAGE(OFFSET($AM$3,0,0,'Données projet'!$E$10+1,1))-AVERAGE(OFFSET($H$3,0,0,'Données projet'!$E$10+1,1))</f>
        <v>401.81944956556271</v>
      </c>
      <c r="AO168" s="59">
        <f t="shared" si="144"/>
        <v>292.20785523952651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91.713401011184544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91.713401011184544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1.7053025658242404E-13</v>
      </c>
      <c r="BE168" s="13">
        <f>BD168*VLOOKUP('Données projet'!$B$11,Paramètres!$A$1:$I$89,3,0)*VLOOKUP('Données projet'!$B$11,Paramètres!$A$1:$I$89,5,0)</f>
        <v>1.3301360013429075E-13</v>
      </c>
      <c r="BF168" s="13">
        <f t="shared" si="167"/>
        <v>1.9329766731057041E-12</v>
      </c>
      <c r="BG168" s="20">
        <f t="shared" si="168"/>
        <v>3.5982663925596575E-12</v>
      </c>
      <c r="BH168" s="59">
        <f t="shared" si="116"/>
        <v>293.3333333333369</v>
      </c>
      <c r="BI168" s="59">
        <f ca="1">AVERAGE(OFFSET($BH$3,0,0,'Données projet'!$E$11+1,1))-AVERAGE(OFFSET($H$3,0,0,'Données projet'!$E$11+1,1))</f>
        <v>288.80569134263209</v>
      </c>
      <c r="BJ168" s="59">
        <f t="shared" si="146"/>
        <v>283.48738729114024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12.120449124051708</v>
      </c>
      <c r="BQ168" s="21">
        <f>EXP(-LN(2)/25)*BQ167+(1-EXP(-LN(2)/25))/(LN(2)/25)*Calculateur!BL168*Calculateur!BN168*VLOOKUP('Données projet'!$B$11,Paramètres!$A$1:$I$89,3,0)*0.475*44/12</f>
        <v>4.7631026467870008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16.883551770838707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212.00000000000009</v>
      </c>
      <c r="BZ168" s="13">
        <f>BY168*VLOOKUP('Données projet'!$B$12,Paramètres!$A$1:$I$89,3,0)*VLOOKUP('Données projet'!$B$12,Paramètres!$A$1:$I$89,5,0)</f>
        <v>221.58240000000012</v>
      </c>
      <c r="CA168" s="13">
        <f t="shared" si="170"/>
        <v>54.458668952651578</v>
      </c>
      <c r="CB168" s="20">
        <f t="shared" si="171"/>
        <v>480.77152842586838</v>
      </c>
      <c r="CC168" s="59">
        <f t="shared" si="119"/>
        <v>774.10486175920164</v>
      </c>
      <c r="CD168" s="59">
        <f ca="1">AVERAGE(OFFSET($CC$3,0,0,'Données projet'!$E$12+1,1))-AVERAGE(OFFSET($H$3,0,0,'Données projet'!$E$12+1,1))</f>
        <v>352.22281362023102</v>
      </c>
      <c r="CE168" s="59">
        <f t="shared" si="148"/>
        <v>310.2353747925161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4.9320011963383878</v>
      </c>
      <c r="CL168" s="21">
        <f>EXP(-LN(2)/25)*CL167+(1-EXP(-LN(2)/25))/(LN(2)/25)*Calculateur!CG168*Calculateur!CI168*VLOOKUP('Données projet'!$B$12,Paramètres!$A$1:$I$89,3,0)*0.475*44/12</f>
        <v>2.7601788054865541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7.6921800018249424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-4.5474735088646412E-13</v>
      </c>
      <c r="CU168" s="17">
        <f>CT168*VLOOKUP('Données projet'!$B$13,Paramètres!$A$1:$I$89,3,0)*VLOOKUP('Données projet'!$B$13,Paramètres!$A$1:$I$89,5,0)</f>
        <v>-4.1145540308207271E-13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345.49688858037996</v>
      </c>
      <c r="CZ168" s="59">
        <f t="shared" si="150"/>
        <v>213.15872113755023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131.31442742694446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131.31442742694446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-4.5474735088646412E-13</v>
      </c>
      <c r="DP168" s="17">
        <f>DO168*VLOOKUP('Données projet'!$B$14,Paramètres!$A$1:$I$89,3,0)*VLOOKUP('Données projet'!$B$14,Paramètres!$A$1:$I$89,5,0)</f>
        <v>-4.6111381379887462E-13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382.26108489744581</v>
      </c>
      <c r="DU168" s="59">
        <f t="shared" si="152"/>
        <v>233.89423996158826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147.16272039226533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147.16272039226533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-2.4158453015843406E-13</v>
      </c>
      <c r="EK168" s="17">
        <f>EJ168*VLOOKUP('Données projet'!$B$15,Paramètres!$A$1:$I$89,3,0)*VLOOKUP('Données projet'!$B$15,Paramètres!$A$1:$I$89,5,0)</f>
        <v>-2.0351080820546486E-13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312.48716825299158</v>
      </c>
      <c r="EP168" s="59">
        <f t="shared" si="154"/>
        <v>258.68277822755357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50.116304051803702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50.116304051803702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-4.5474735088646412E-13</v>
      </c>
      <c r="FF168" s="17">
        <f>FE168*VLOOKUP('Données projet'!$B$16,Paramètres!$A$1:$I$89,3,0)*VLOOKUP('Données projet'!$B$16,Paramètres!$A$1:$I$89,5,0)</f>
        <v>-4.8949004849418999E-13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403.23110963096246</v>
      </c>
      <c r="FK168" s="59">
        <f t="shared" si="156"/>
        <v>245.72000393124898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156.21888780102009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156.21888780102009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-4.5474735088646412E-13</v>
      </c>
      <c r="GA168" s="17">
        <f>FZ168*VLOOKUP('Données projet'!$B$17,Paramètres!$A$1:$I$89,3,0)*VLOOKUP('Données projet'!$B$17,Paramètres!$A$1:$I$89,5,0)</f>
        <v>-4.3983163777738812E-13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336.2911850338175</v>
      </c>
      <c r="GF168" s="59">
        <f t="shared" si="158"/>
        <v>225.01415116995503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140.37059483569925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140.37059483569925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-4.5474735088646412E-13</v>
      </c>
      <c r="GV168" s="17">
        <f>GU168*VLOOKUP('Données projet'!$B$18,Paramètres!$A$1:$I$89,3,0)*VLOOKUP('Données projet'!$B$18,Paramètres!$A$1:$I$89,5,0)</f>
        <v>-3.0504452297464016E-13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266.37807768393191</v>
      </c>
      <c r="HA168" s="59">
        <f t="shared" si="160"/>
        <v>168.52019826233425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119.99421816600096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190"/>
        <v>119.99421816600096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266.99999999999983</v>
      </c>
      <c r="O169" s="13">
        <f>N169*VLOOKUP('Données projet'!$B$9,Paramètres!$A$1:$I$89,3,0)*VLOOKUP('Données projet'!$B$9,Paramètres!$A$1:$I$89,5,0)</f>
        <v>233.2511999999999</v>
      </c>
      <c r="P169" s="13">
        <f t="shared" si="141"/>
        <v>56.985091661350864</v>
      </c>
      <c r="Q169" s="20">
        <f t="shared" si="162"/>
        <v>505.49487464351915</v>
      </c>
      <c r="R169" s="59">
        <f t="shared" si="109"/>
        <v>798.82820797685247</v>
      </c>
      <c r="S169" s="59">
        <f ca="1">AVERAGE(OFFSET($R$3,0,0,'Données projet'!$E$9+1,1))-AVERAGE(OFFSET($H$3,0,0,'Données projet'!$E$9+1,1))</f>
        <v>324.86930206492627</v>
      </c>
      <c r="T169" s="59">
        <f t="shared" si="142"/>
        <v>317.03005098025352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5.7571262755879316</v>
      </c>
      <c r="AA169" s="21">
        <f>EXP(-LN(2)/25)*AA168+(1-EXP(-LN(2)/25))/(LN(2)/25)*Calculateur!V169*Calculateur!X169*VLOOKUP('Données projet'!$B$9,Paramètres!$A$1:$I$89,3,0)*0.475*44/12</f>
        <v>0.8426813215904152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6.599807597178347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5.4092197387944907E-13</v>
      </c>
      <c r="AK169" s="13">
        <f t="shared" si="164"/>
        <v>6.6765148417791561E-12</v>
      </c>
      <c r="AL169" s="20">
        <f t="shared" si="165"/>
        <v>1.2570369120605403E-11</v>
      </c>
      <c r="AM169" s="59">
        <f t="shared" si="113"/>
        <v>293.33333333334588</v>
      </c>
      <c r="AN169" s="59">
        <f ca="1">AVERAGE(OFFSET($AM$3,0,0,'Données projet'!$E$10+1,1))-AVERAGE(OFFSET($H$3,0,0,'Données projet'!$E$10+1,1))</f>
        <v>401.81944956556271</v>
      </c>
      <c r="AO169" s="59">
        <f t="shared" si="144"/>
        <v>292.20785523952651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89.914957157006256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89.914957157006256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1.7053025658242404E-13</v>
      </c>
      <c r="BE169" s="13">
        <f>BD169*VLOOKUP('Données projet'!$B$11,Paramètres!$A$1:$I$89,3,0)*VLOOKUP('Données projet'!$B$11,Paramètres!$A$1:$I$89,5,0)</f>
        <v>1.3301360013429075E-13</v>
      </c>
      <c r="BF169" s="13">
        <f t="shared" si="167"/>
        <v>1.9329766731057041E-12</v>
      </c>
      <c r="BG169" s="20">
        <f t="shared" si="168"/>
        <v>3.5982663925596575E-12</v>
      </c>
      <c r="BH169" s="59">
        <f t="shared" si="116"/>
        <v>293.3333333333369</v>
      </c>
      <c r="BI169" s="59">
        <f ca="1">AVERAGE(OFFSET($BH$3,0,0,'Données projet'!$E$11+1,1))-AVERAGE(OFFSET($H$3,0,0,'Données projet'!$E$11+1,1))</f>
        <v>288.80569134263209</v>
      </c>
      <c r="BJ169" s="59">
        <f t="shared" si="146"/>
        <v>283.48738729114024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11.882774509473046</v>
      </c>
      <c r="BQ169" s="21">
        <f>EXP(-LN(2)/25)*BQ168+(1-EXP(-LN(2)/25))/(LN(2)/25)*Calculateur!BL169*Calculateur!BN169*VLOOKUP('Données projet'!$B$11,Paramètres!$A$1:$I$89,3,0)*0.475*44/12</f>
        <v>4.6328553544299282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16.515629863902973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212.00000000000009</v>
      </c>
      <c r="BZ169" s="13">
        <f>BY169*VLOOKUP('Données projet'!$B$12,Paramètres!$A$1:$I$89,3,0)*VLOOKUP('Données projet'!$B$12,Paramètres!$A$1:$I$89,5,0)</f>
        <v>221.58240000000012</v>
      </c>
      <c r="CA169" s="13">
        <f t="shared" si="170"/>
        <v>54.458668952651578</v>
      </c>
      <c r="CB169" s="20">
        <f t="shared" si="171"/>
        <v>480.77152842586838</v>
      </c>
      <c r="CC169" s="59">
        <f t="shared" si="119"/>
        <v>774.10486175920164</v>
      </c>
      <c r="CD169" s="59">
        <f ca="1">AVERAGE(OFFSET($CC$3,0,0,'Données projet'!$E$12+1,1))-AVERAGE(OFFSET($H$3,0,0,'Données projet'!$E$12+1,1))</f>
        <v>352.22281362023102</v>
      </c>
      <c r="CE169" s="59">
        <f t="shared" si="148"/>
        <v>310.2353747925161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4.8352876611018845</v>
      </c>
      <c r="CL169" s="21">
        <f>EXP(-LN(2)/25)*CL168+(1-EXP(-LN(2)/25))/(LN(2)/25)*Calculateur!CG169*Calculateur!CI169*VLOOKUP('Données projet'!$B$12,Paramètres!$A$1:$I$89,3,0)*0.475*44/12</f>
        <v>2.6847015708990294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7.5199892320009134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-4.5474735088646412E-13</v>
      </c>
      <c r="CU169" s="17">
        <f>CT169*VLOOKUP('Données projet'!$B$13,Paramètres!$A$1:$I$89,3,0)*VLOOKUP('Données projet'!$B$13,Paramètres!$A$1:$I$89,5,0)</f>
        <v>-4.1145540308207271E-13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345.49688858037996</v>
      </c>
      <c r="CZ169" s="59">
        <f t="shared" si="150"/>
        <v>213.15872113755023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128.7394315989942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128.7394315989942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-4.5474735088646412E-13</v>
      </c>
      <c r="DP169" s="17">
        <f>DO169*VLOOKUP('Données projet'!$B$14,Paramètres!$A$1:$I$89,3,0)*VLOOKUP('Données projet'!$B$14,Paramètres!$A$1:$I$89,5,0)</f>
        <v>-4.6111381379887462E-13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382.26108489744581</v>
      </c>
      <c r="DU169" s="59">
        <f t="shared" si="152"/>
        <v>233.89423996158826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144.27694920576934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144.27694920576934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-2.4158453015843406E-13</v>
      </c>
      <c r="EK169" s="17">
        <f>EJ169*VLOOKUP('Données projet'!$B$15,Paramètres!$A$1:$I$89,3,0)*VLOOKUP('Données projet'!$B$15,Paramètres!$A$1:$I$89,5,0)</f>
        <v>-2.0351080820546486E-13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312.48716825299158</v>
      </c>
      <c r="EP169" s="59">
        <f t="shared" si="154"/>
        <v>258.68277822755357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49.133553897274972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49.133553897274972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-4.5474735088646412E-13</v>
      </c>
      <c r="FF169" s="17">
        <f>FE169*VLOOKUP('Données projet'!$B$16,Paramètres!$A$1:$I$89,3,0)*VLOOKUP('Données projet'!$B$16,Paramètres!$A$1:$I$89,5,0)</f>
        <v>-4.8949004849418999E-13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403.23110963096246</v>
      </c>
      <c r="FK169" s="59">
        <f t="shared" si="156"/>
        <v>245.72000393124898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153.15553069535511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153.15553069535511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-4.5474735088646412E-13</v>
      </c>
      <c r="GA169" s="17">
        <f>FZ169*VLOOKUP('Données projet'!$B$17,Paramètres!$A$1:$I$89,3,0)*VLOOKUP('Données projet'!$B$17,Paramètres!$A$1:$I$89,5,0)</f>
        <v>-4.3983163777738812E-13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336.2911850338175</v>
      </c>
      <c r="GF169" s="59">
        <f t="shared" si="158"/>
        <v>225.01415116995503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137.61801308858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137.61801308858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-4.5474735088646412E-13</v>
      </c>
      <c r="GV169" s="17">
        <f>GU169*VLOOKUP('Données projet'!$B$18,Paramètres!$A$1:$I$89,3,0)*VLOOKUP('Données projet'!$B$18,Paramètres!$A$1:$I$89,5,0)</f>
        <v>-3.0504452297464016E-13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266.37807768393191</v>
      </c>
      <c r="HA169" s="59">
        <f t="shared" si="160"/>
        <v>168.52019826233425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117.64120473701193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190"/>
        <v>117.64120473701193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266.99999999999983</v>
      </c>
      <c r="O170" s="13">
        <f>N170*VLOOKUP('Données projet'!$B$9,Paramètres!$A$1:$I$89,3,0)*VLOOKUP('Données projet'!$B$9,Paramètres!$A$1:$I$89,5,0)</f>
        <v>233.2511999999999</v>
      </c>
      <c r="P170" s="13">
        <f t="shared" si="141"/>
        <v>56.985091661350864</v>
      </c>
      <c r="Q170" s="20">
        <f t="shared" si="162"/>
        <v>505.49487464351915</v>
      </c>
      <c r="R170" s="59">
        <f t="shared" si="109"/>
        <v>798.82820797685247</v>
      </c>
      <c r="S170" s="59">
        <f ca="1">AVERAGE(OFFSET($R$3,0,0,'Données projet'!$E$9+1,1))-AVERAGE(OFFSET($H$3,0,0,'Données projet'!$E$9+1,1))</f>
        <v>324.86930206492627</v>
      </c>
      <c r="T170" s="59">
        <f t="shared" si="142"/>
        <v>317.03005098025352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5.6442325408239489</v>
      </c>
      <c r="AA170" s="21">
        <f>EXP(-LN(2)/25)*AA169+(1-EXP(-LN(2)/25))/(LN(2)/25)*Calculateur!V170*Calculateur!X170*VLOOKUP('Données projet'!$B$9,Paramètres!$A$1:$I$89,3,0)*0.475*44/12</f>
        <v>0.81963815653684058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6.4638706973607896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5.4092197387944907E-13</v>
      </c>
      <c r="AK170" s="13">
        <f t="shared" si="164"/>
        <v>6.6765148417791561E-12</v>
      </c>
      <c r="AL170" s="20">
        <f t="shared" si="165"/>
        <v>1.2570369120605403E-11</v>
      </c>
      <c r="AM170" s="59">
        <f t="shared" si="113"/>
        <v>293.33333333334588</v>
      </c>
      <c r="AN170" s="59">
        <f ca="1">AVERAGE(OFFSET($AM$3,0,0,'Données projet'!$E$10+1,1))-AVERAGE(OFFSET($H$3,0,0,'Données projet'!$E$10+1,1))</f>
        <v>401.81944956556271</v>
      </c>
      <c r="AO170" s="59">
        <f t="shared" si="144"/>
        <v>292.20785523952651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88.151779689865961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88.151779689865961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1.7053025658242404E-13</v>
      </c>
      <c r="BE170" s="13">
        <f>BD170*VLOOKUP('Données projet'!$B$11,Paramètres!$A$1:$I$89,3,0)*VLOOKUP('Données projet'!$B$11,Paramètres!$A$1:$I$89,5,0)</f>
        <v>1.3301360013429075E-13</v>
      </c>
      <c r="BF170" s="13">
        <f t="shared" si="167"/>
        <v>1.9329766731057041E-12</v>
      </c>
      <c r="BG170" s="20">
        <f t="shared" si="168"/>
        <v>3.5982663925596575E-12</v>
      </c>
      <c r="BH170" s="59">
        <f t="shared" si="116"/>
        <v>293.3333333333369</v>
      </c>
      <c r="BI170" s="59">
        <f ca="1">AVERAGE(OFFSET($BH$3,0,0,'Données projet'!$E$11+1,1))-AVERAGE(OFFSET($H$3,0,0,'Données projet'!$E$11+1,1))</f>
        <v>288.80569134263209</v>
      </c>
      <c r="BJ170" s="59">
        <f t="shared" si="146"/>
        <v>283.48738729114024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11.649760549119073</v>
      </c>
      <c r="BQ170" s="21">
        <f>EXP(-LN(2)/25)*BQ169+(1-EXP(-LN(2)/25))/(LN(2)/25)*Calculateur!BL170*Calculateur!BN170*VLOOKUP('Données projet'!$B$11,Paramètres!$A$1:$I$89,3,0)*0.475*44/12</f>
        <v>4.5061696811317669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16.155930230250839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212.00000000000009</v>
      </c>
      <c r="BZ170" s="13">
        <f>BY170*VLOOKUP('Données projet'!$B$12,Paramètres!$A$1:$I$89,3,0)*VLOOKUP('Données projet'!$B$12,Paramètres!$A$1:$I$89,5,0)</f>
        <v>221.58240000000012</v>
      </c>
      <c r="CA170" s="13">
        <f t="shared" si="170"/>
        <v>54.458668952651578</v>
      </c>
      <c r="CB170" s="20">
        <f t="shared" si="171"/>
        <v>480.77152842586838</v>
      </c>
      <c r="CC170" s="59">
        <f t="shared" si="119"/>
        <v>774.10486175920164</v>
      </c>
      <c r="CD170" s="59">
        <f ca="1">AVERAGE(OFFSET($CC$3,0,0,'Données projet'!$E$12+1,1))-AVERAGE(OFFSET($H$3,0,0,'Données projet'!$E$12+1,1))</f>
        <v>352.22281362023102</v>
      </c>
      <c r="CE170" s="59">
        <f t="shared" si="148"/>
        <v>310.2353747925161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4.740470619301937</v>
      </c>
      <c r="CL170" s="21">
        <f>EXP(-LN(2)/25)*CL169+(1-EXP(-LN(2)/25))/(LN(2)/25)*Calculateur!CG170*Calculateur!CI170*VLOOKUP('Données projet'!$B$12,Paramètres!$A$1:$I$89,3,0)*0.475*44/12</f>
        <v>2.6112882652604759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7.3517588845624129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-4.5474735088646412E-13</v>
      </c>
      <c r="CU170" s="17">
        <f>CT170*VLOOKUP('Données projet'!$B$13,Paramètres!$A$1:$I$89,3,0)*VLOOKUP('Données projet'!$B$13,Paramètres!$A$1:$I$89,5,0)</f>
        <v>-4.1145540308207271E-13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345.49688858037996</v>
      </c>
      <c r="CZ170" s="59">
        <f t="shared" si="150"/>
        <v>213.15872113755023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126.21492986863767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126.21492986863767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-4.5474735088646412E-13</v>
      </c>
      <c r="DP170" s="17">
        <f>DO170*VLOOKUP('Données projet'!$B$14,Paramètres!$A$1:$I$89,3,0)*VLOOKUP('Données projet'!$B$14,Paramètres!$A$1:$I$89,5,0)</f>
        <v>-4.6111381379887462E-13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382.26108489744581</v>
      </c>
      <c r="DU170" s="59">
        <f t="shared" si="152"/>
        <v>233.89423996158826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141.44776623209393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141.44776623209393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-2.4158453015843406E-13</v>
      </c>
      <c r="EK170" s="17">
        <f>EJ170*VLOOKUP('Données projet'!$B$15,Paramètres!$A$1:$I$89,3,0)*VLOOKUP('Données projet'!$B$15,Paramètres!$A$1:$I$89,5,0)</f>
        <v>-2.0351080820546486E-13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312.48716825299158</v>
      </c>
      <c r="EP170" s="59">
        <f t="shared" si="154"/>
        <v>258.68277822755357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48.170074873858141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48.170074873858141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-4.5474735088646412E-13</v>
      </c>
      <c r="FF170" s="17">
        <f>FE170*VLOOKUP('Données projet'!$B$16,Paramètres!$A$1:$I$89,3,0)*VLOOKUP('Données projet'!$B$16,Paramètres!$A$1:$I$89,5,0)</f>
        <v>-4.8949004849418999E-13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403.23110963096246</v>
      </c>
      <c r="FK170" s="59">
        <f t="shared" si="156"/>
        <v>245.72000393124898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150.15224415406888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150.15224415406888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-4.5474735088646412E-13</v>
      </c>
      <c r="GA170" s="17">
        <f>FZ170*VLOOKUP('Données projet'!$B$17,Paramètres!$A$1:$I$89,3,0)*VLOOKUP('Données projet'!$B$17,Paramètres!$A$1:$I$89,5,0)</f>
        <v>-4.3983163777738812E-13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336.2911850338175</v>
      </c>
      <c r="GF170" s="59">
        <f t="shared" si="158"/>
        <v>225.01415116995503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134.91940779061267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134.91940779061267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-4.5474735088646412E-13</v>
      </c>
      <c r="GV170" s="17">
        <f>GU170*VLOOKUP('Données projet'!$B$18,Paramètres!$A$1:$I$89,3,0)*VLOOKUP('Données projet'!$B$18,Paramètres!$A$1:$I$89,5,0)</f>
        <v>-3.0504452297464016E-13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266.37807768393191</v>
      </c>
      <c r="HA170" s="59">
        <f t="shared" si="160"/>
        <v>168.52019826233425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115.33433246616889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190"/>
        <v>115.33433246616889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266.99999999999983</v>
      </c>
      <c r="O171" s="13">
        <f>N171*VLOOKUP('Données projet'!$B$9,Paramètres!$A$1:$I$89,3,0)*VLOOKUP('Données projet'!$B$9,Paramètres!$A$1:$I$89,5,0)</f>
        <v>233.2511999999999</v>
      </c>
      <c r="P171" s="13">
        <f t="shared" si="141"/>
        <v>56.985091661350864</v>
      </c>
      <c r="Q171" s="20">
        <f t="shared" si="162"/>
        <v>505.49487464351915</v>
      </c>
      <c r="R171" s="59">
        <f t="shared" si="109"/>
        <v>798.82820797685247</v>
      </c>
      <c r="S171" s="59">
        <f ca="1">AVERAGE(OFFSET($R$3,0,0,'Données projet'!$E$9+1,1))-AVERAGE(OFFSET($H$3,0,0,'Données projet'!$E$9+1,1))</f>
        <v>324.86930206492627</v>
      </c>
      <c r="T171" s="59">
        <f t="shared" si="142"/>
        <v>317.03005098025352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5.5335525833403088</v>
      </c>
      <c r="AA171" s="21">
        <f>EXP(-LN(2)/25)*AA170+(1-EXP(-LN(2)/25))/(LN(2)/25)*Calculateur!V171*Calculateur!X171*VLOOKUP('Données projet'!$B$9,Paramètres!$A$1:$I$89,3,0)*0.475*44/12</f>
        <v>0.79722510804344338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6.3307776913837523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5.4092197387944907E-13</v>
      </c>
      <c r="AK171" s="13">
        <f t="shared" si="164"/>
        <v>6.6765148417791561E-12</v>
      </c>
      <c r="AL171" s="20">
        <f t="shared" si="165"/>
        <v>1.2570369120605403E-11</v>
      </c>
      <c r="AM171" s="59">
        <f t="shared" si="113"/>
        <v>293.33333333334588</v>
      </c>
      <c r="AN171" s="59">
        <f ca="1">AVERAGE(OFFSET($AM$3,0,0,'Données projet'!$E$10+1,1))-AVERAGE(OFFSET($H$3,0,0,'Données projet'!$E$10+1,1))</f>
        <v>401.81944956556271</v>
      </c>
      <c r="AO171" s="59">
        <f t="shared" si="144"/>
        <v>292.20785523952651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86.423177057424226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86.423177057424226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1.7053025658242404E-13</v>
      </c>
      <c r="BE171" s="13">
        <f>BD171*VLOOKUP('Données projet'!$B$11,Paramètres!$A$1:$I$89,3,0)*VLOOKUP('Données projet'!$B$11,Paramètres!$A$1:$I$89,5,0)</f>
        <v>1.3301360013429075E-13</v>
      </c>
      <c r="BF171" s="13">
        <f t="shared" si="167"/>
        <v>1.9329766731057041E-12</v>
      </c>
      <c r="BG171" s="20">
        <f t="shared" si="168"/>
        <v>3.5982663925596575E-12</v>
      </c>
      <c r="BH171" s="59">
        <f t="shared" si="116"/>
        <v>293.3333333333369</v>
      </c>
      <c r="BI171" s="59">
        <f ca="1">AVERAGE(OFFSET($BH$3,0,0,'Données projet'!$E$11+1,1))-AVERAGE(OFFSET($H$3,0,0,'Données projet'!$E$11+1,1))</f>
        <v>288.80569134263209</v>
      </c>
      <c r="BJ171" s="59">
        <f t="shared" si="146"/>
        <v>283.48738729114024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11.421315850403158</v>
      </c>
      <c r="BQ171" s="21">
        <f>EXP(-LN(2)/25)*BQ170+(1-EXP(-LN(2)/25))/(LN(2)/25)*Calculateur!BL171*Calculateur!BN171*VLOOKUP('Données projet'!$B$11,Paramètres!$A$1:$I$89,3,0)*0.475*44/12</f>
        <v>4.382948234232054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15.804264084635211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212.00000000000009</v>
      </c>
      <c r="BZ171" s="13">
        <f>BY171*VLOOKUP('Données projet'!$B$12,Paramètres!$A$1:$I$89,3,0)*VLOOKUP('Données projet'!$B$12,Paramètres!$A$1:$I$89,5,0)</f>
        <v>221.58240000000012</v>
      </c>
      <c r="CA171" s="13">
        <f t="shared" si="170"/>
        <v>54.458668952651578</v>
      </c>
      <c r="CB171" s="20">
        <f t="shared" si="171"/>
        <v>480.77152842586838</v>
      </c>
      <c r="CC171" s="59">
        <f t="shared" si="119"/>
        <v>774.10486175920164</v>
      </c>
      <c r="CD171" s="59">
        <f ca="1">AVERAGE(OFFSET($CC$3,0,0,'Données projet'!$E$12+1,1))-AVERAGE(OFFSET($H$3,0,0,'Données projet'!$E$12+1,1))</f>
        <v>352.22281362023102</v>
      </c>
      <c r="CE171" s="59">
        <f t="shared" si="148"/>
        <v>310.2353747925161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4.6475128818590017</v>
      </c>
      <c r="CL171" s="21">
        <f>EXP(-LN(2)/25)*CL170+(1-EXP(-LN(2)/25))/(LN(2)/25)*Calculateur!CG171*Calculateur!CI171*VLOOKUP('Données projet'!$B$12,Paramètres!$A$1:$I$89,3,0)*0.475*44/12</f>
        <v>2.5398824503252464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7.1873953321842485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-4.5474735088646412E-13</v>
      </c>
      <c r="CU171" s="17">
        <f>CT171*VLOOKUP('Données projet'!$B$13,Paramètres!$A$1:$I$89,3,0)*VLOOKUP('Données projet'!$B$13,Paramètres!$A$1:$I$89,5,0)</f>
        <v>-4.1145540308207271E-13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345.49688858037996</v>
      </c>
      <c r="CZ171" s="59">
        <f t="shared" si="150"/>
        <v>213.15872113755023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123.73993207741941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123.73993207741941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-4.5474735088646412E-13</v>
      </c>
      <c r="DP171" s="17">
        <f>DO171*VLOOKUP('Données projet'!$B$14,Paramètres!$A$1:$I$89,3,0)*VLOOKUP('Données projet'!$B$14,Paramètres!$A$1:$I$89,5,0)</f>
        <v>-4.6111381379887462E-13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382.26108489744581</v>
      </c>
      <c r="DU171" s="59">
        <f t="shared" si="152"/>
        <v>233.89423996158826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138.67406181090107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138.67406181090107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-2.4158453015843406E-13</v>
      </c>
      <c r="EK171" s="17">
        <f>EJ171*VLOOKUP('Données projet'!$B$15,Paramètres!$A$1:$I$89,3,0)*VLOOKUP('Données projet'!$B$15,Paramètres!$A$1:$I$89,5,0)</f>
        <v>-2.0351080820546486E-13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312.48716825299158</v>
      </c>
      <c r="EP171" s="59">
        <f t="shared" si="154"/>
        <v>258.68277822755357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47.225489086426336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47.225489086426336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-4.5474735088646412E-13</v>
      </c>
      <c r="FF171" s="17">
        <f>FE171*VLOOKUP('Données projet'!$B$16,Paramètres!$A$1:$I$89,3,0)*VLOOKUP('Données projet'!$B$16,Paramètres!$A$1:$I$89,5,0)</f>
        <v>-4.8949004849418999E-13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403.23110963096246</v>
      </c>
      <c r="FK171" s="59">
        <f t="shared" si="156"/>
        <v>245.72000393124898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147.20785023003339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147.20785023003339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-4.5474735088646412E-13</v>
      </c>
      <c r="GA171" s="17">
        <f>FZ171*VLOOKUP('Données projet'!$B$17,Paramètres!$A$1:$I$89,3,0)*VLOOKUP('Données projet'!$B$17,Paramètres!$A$1:$I$89,5,0)</f>
        <v>-4.3983163777738812E-13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336.2911850338175</v>
      </c>
      <c r="GF171" s="59">
        <f t="shared" si="158"/>
        <v>225.01415116995503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132.27372049655176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132.27372049655176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-4.5474735088646412E-13</v>
      </c>
      <c r="GV171" s="17">
        <f>GU171*VLOOKUP('Données projet'!$B$18,Paramètres!$A$1:$I$89,3,0)*VLOOKUP('Données projet'!$B$18,Paramètres!$A$1:$I$89,5,0)</f>
        <v>-3.0504452297464016E-13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266.37807768393191</v>
      </c>
      <c r="HA171" s="59">
        <f t="shared" si="160"/>
        <v>168.52019826233425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113.07269655350393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190"/>
        <v>113.07269655350393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266.99999999999983</v>
      </c>
      <c r="O172" s="13">
        <f>N172*VLOOKUP('Données projet'!$B$9,Paramètres!$A$1:$I$89,3,0)*VLOOKUP('Données projet'!$B$9,Paramètres!$A$1:$I$89,5,0)</f>
        <v>233.2511999999999</v>
      </c>
      <c r="P172" s="13">
        <f t="shared" si="141"/>
        <v>56.985091661350864</v>
      </c>
      <c r="Q172" s="20">
        <f t="shared" si="162"/>
        <v>505.49487464351915</v>
      </c>
      <c r="R172" s="59">
        <f t="shared" si="109"/>
        <v>798.82820797685247</v>
      </c>
      <c r="S172" s="59">
        <f ca="1">AVERAGE(OFFSET($R$3,0,0,'Données projet'!$E$9+1,1))-AVERAGE(OFFSET($H$3,0,0,'Données projet'!$E$9+1,1))</f>
        <v>324.86930206492627</v>
      </c>
      <c r="T172" s="59">
        <f t="shared" si="142"/>
        <v>317.03005098025352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5.4250429923148147</v>
      </c>
      <c r="AA172" s="21">
        <f>EXP(-LN(2)/25)*AA171+(1-EXP(-LN(2)/25))/(LN(2)/25)*Calculateur!V172*Calculateur!X172*VLOOKUP('Données projet'!$B$9,Paramètres!$A$1:$I$89,3,0)*0.475*44/12</f>
        <v>0.77542494553974906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6.2004679378545635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5.4092197387944907E-13</v>
      </c>
      <c r="AK172" s="13">
        <f t="shared" si="164"/>
        <v>6.6765148417791561E-12</v>
      </c>
      <c r="AL172" s="20">
        <f t="shared" si="165"/>
        <v>1.2570369120605403E-11</v>
      </c>
      <c r="AM172" s="59">
        <f t="shared" si="113"/>
        <v>293.33333333334588</v>
      </c>
      <c r="AN172" s="59">
        <f ca="1">AVERAGE(OFFSET($AM$3,0,0,'Données projet'!$E$10+1,1))-AVERAGE(OFFSET($H$3,0,0,'Données projet'!$E$10+1,1))</f>
        <v>401.81944956556271</v>
      </c>
      <c r="AO172" s="59">
        <f t="shared" si="144"/>
        <v>292.20785523952651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84.728471268261174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84.728471268261174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1.7053025658242404E-13</v>
      </c>
      <c r="BE172" s="13">
        <f>BD172*VLOOKUP('Données projet'!$B$11,Paramètres!$A$1:$I$89,3,0)*VLOOKUP('Données projet'!$B$11,Paramètres!$A$1:$I$89,5,0)</f>
        <v>1.3301360013429075E-13</v>
      </c>
      <c r="BF172" s="13">
        <f t="shared" si="167"/>
        <v>1.9329766731057041E-12</v>
      </c>
      <c r="BG172" s="20">
        <f t="shared" si="168"/>
        <v>3.5982663925596575E-12</v>
      </c>
      <c r="BH172" s="59">
        <f t="shared" si="116"/>
        <v>293.3333333333369</v>
      </c>
      <c r="BI172" s="59">
        <f ca="1">AVERAGE(OFFSET($BH$3,0,0,'Données projet'!$E$11+1,1))-AVERAGE(OFFSET($H$3,0,0,'Données projet'!$E$11+1,1))</f>
        <v>288.80569134263209</v>
      </c>
      <c r="BJ172" s="59">
        <f t="shared" si="146"/>
        <v>283.48738729114024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11.197350812891553</v>
      </c>
      <c r="BQ172" s="21">
        <f>EXP(-LN(2)/25)*BQ171+(1-EXP(-LN(2)/25))/(LN(2)/25)*Calculateur!BL172*Calculateur!BN172*VLOOKUP('Données projet'!$B$11,Paramètres!$A$1:$I$89,3,0)*0.475*44/12</f>
        <v>4.263096284277748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15.4604470971693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212.00000000000009</v>
      </c>
      <c r="BZ172" s="13">
        <f>BY172*VLOOKUP('Données projet'!$B$12,Paramètres!$A$1:$I$89,3,0)*VLOOKUP('Données projet'!$B$12,Paramètres!$A$1:$I$89,5,0)</f>
        <v>221.58240000000012</v>
      </c>
      <c r="CA172" s="13">
        <f t="shared" si="170"/>
        <v>54.458668952651578</v>
      </c>
      <c r="CB172" s="20">
        <f t="shared" si="171"/>
        <v>480.77152842586838</v>
      </c>
      <c r="CC172" s="59">
        <f t="shared" si="119"/>
        <v>774.10486175920164</v>
      </c>
      <c r="CD172" s="59">
        <f ca="1">AVERAGE(OFFSET($CC$3,0,0,'Données projet'!$E$12+1,1))-AVERAGE(OFFSET($H$3,0,0,'Données projet'!$E$12+1,1))</f>
        <v>352.22281362023102</v>
      </c>
      <c r="CE172" s="59">
        <f t="shared" si="148"/>
        <v>310.2353747925161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4.5563779889487011</v>
      </c>
      <c r="CL172" s="21">
        <f>EXP(-LN(2)/25)*CL171+(1-EXP(-LN(2)/25))/(LN(2)/25)*Calculateur!CG172*Calculateur!CI172*VLOOKUP('Données projet'!$B$12,Paramètres!$A$1:$I$89,3,0)*0.475*44/12</f>
        <v>2.4704292311544895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7.0268072201031906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-4.5474735088646412E-13</v>
      </c>
      <c r="CU172" s="17">
        <f>CT172*VLOOKUP('Données projet'!$B$13,Paramètres!$A$1:$I$89,3,0)*VLOOKUP('Données projet'!$B$13,Paramètres!$A$1:$I$89,5,0)</f>
        <v>-4.1145540308207271E-13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345.49688858037996</v>
      </c>
      <c r="CZ172" s="59">
        <f t="shared" si="150"/>
        <v>213.15872113755023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121.31346748328735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121.31346748328735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-4.5474735088646412E-13</v>
      </c>
      <c r="DP172" s="17">
        <f>DO172*VLOOKUP('Données projet'!$B$14,Paramètres!$A$1:$I$89,3,0)*VLOOKUP('Données projet'!$B$14,Paramètres!$A$1:$I$89,5,0)</f>
        <v>-4.6111381379887462E-13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382.26108489744581</v>
      </c>
      <c r="DU172" s="59">
        <f t="shared" si="152"/>
        <v>233.89423996158826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135.95474804161515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135.95474804161515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-2.4158453015843406E-13</v>
      </c>
      <c r="EK172" s="17">
        <f>EJ172*VLOOKUP('Données projet'!$B$15,Paramètres!$A$1:$I$89,3,0)*VLOOKUP('Données projet'!$B$15,Paramètres!$A$1:$I$89,5,0)</f>
        <v>-2.0351080820546486E-13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312.48716825299158</v>
      </c>
      <c r="EP172" s="59">
        <f t="shared" si="154"/>
        <v>258.68277822755357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46.299426050145627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46.299426050145627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-4.5474735088646412E-13</v>
      </c>
      <c r="FF172" s="17">
        <f>FE172*VLOOKUP('Données projet'!$B$16,Paramètres!$A$1:$I$89,3,0)*VLOOKUP('Données projet'!$B$16,Paramètres!$A$1:$I$89,5,0)</f>
        <v>-4.8949004849418999E-13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403.23110963096246</v>
      </c>
      <c r="FK172" s="59">
        <f t="shared" si="156"/>
        <v>245.72000393124898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144.32119407494525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144.32119407494525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-4.5474735088646412E-13</v>
      </c>
      <c r="GA172" s="17">
        <f>FZ172*VLOOKUP('Données projet'!$B$17,Paramètres!$A$1:$I$89,3,0)*VLOOKUP('Données projet'!$B$17,Paramètres!$A$1:$I$89,5,0)</f>
        <v>-4.3983163777738812E-13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336.2911850338175</v>
      </c>
      <c r="GF172" s="59">
        <f t="shared" si="158"/>
        <v>225.01415116995503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129.67991351661749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129.67991351661749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-4.5474735088646412E-13</v>
      </c>
      <c r="GV172" s="17">
        <f>GU172*VLOOKUP('Données projet'!$B$18,Paramètres!$A$1:$I$89,3,0)*VLOOKUP('Données projet'!$B$18,Paramètres!$A$1:$I$89,5,0)</f>
        <v>-3.0504452297464016E-13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266.37807768393191</v>
      </c>
      <c r="HA172" s="59">
        <f t="shared" si="160"/>
        <v>168.52019826233425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110.85540994162464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190"/>
        <v>110.85540994162464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266.99999999999983</v>
      </c>
      <c r="O173" s="13">
        <f>N173*VLOOKUP('Données projet'!$B$9,Paramètres!$A$1:$I$89,3,0)*VLOOKUP('Données projet'!$B$9,Paramètres!$A$1:$I$89,5,0)</f>
        <v>233.2511999999999</v>
      </c>
      <c r="P173" s="13">
        <f t="shared" si="141"/>
        <v>56.985091661350864</v>
      </c>
      <c r="Q173" s="20">
        <f t="shared" si="162"/>
        <v>505.49487464351915</v>
      </c>
      <c r="R173" s="59">
        <f t="shared" si="109"/>
        <v>798.82820797685247</v>
      </c>
      <c r="S173" s="59">
        <f ca="1">AVERAGE(OFFSET($R$3,0,0,'Données projet'!$E$9+1,1))-AVERAGE(OFFSET($H$3,0,0,'Données projet'!$E$9+1,1))</f>
        <v>324.86930206492627</v>
      </c>
      <c r="T173" s="59">
        <f t="shared" si="142"/>
        <v>317.03005098025352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5.3186612081850146</v>
      </c>
      <c r="AA173" s="21">
        <f>EXP(-LN(2)/25)*AA172+(1-EXP(-LN(2)/25))/(LN(2)/25)*Calculateur!V173*Calculateur!X173*VLOOKUP('Données projet'!$B$9,Paramètres!$A$1:$I$89,3,0)*0.475*44/12</f>
        <v>0.75422090962613897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6.0728821178111536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5.4092197387944907E-13</v>
      </c>
      <c r="AK173" s="13">
        <f t="shared" si="164"/>
        <v>6.6765148417791561E-12</v>
      </c>
      <c r="AL173" s="20">
        <f t="shared" si="165"/>
        <v>1.2570369120605403E-11</v>
      </c>
      <c r="AM173" s="59">
        <f t="shared" si="113"/>
        <v>293.33333333334588</v>
      </c>
      <c r="AN173" s="59">
        <f ca="1">AVERAGE(OFFSET($AM$3,0,0,'Données projet'!$E$10+1,1))-AVERAGE(OFFSET($H$3,0,0,'Données projet'!$E$10+1,1))</f>
        <v>401.81944956556271</v>
      </c>
      <c r="AO173" s="59">
        <f t="shared" si="144"/>
        <v>292.20785523952651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83.066997625955139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83.066997625955139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1.7053025658242404E-13</v>
      </c>
      <c r="BE173" s="13">
        <f>BD173*VLOOKUP('Données projet'!$B$11,Paramètres!$A$1:$I$89,3,0)*VLOOKUP('Données projet'!$B$11,Paramètres!$A$1:$I$89,5,0)</f>
        <v>1.3301360013429075E-13</v>
      </c>
      <c r="BF173" s="13">
        <f t="shared" si="167"/>
        <v>1.9329766731057041E-12</v>
      </c>
      <c r="BG173" s="20">
        <f t="shared" si="168"/>
        <v>3.5982663925596575E-12</v>
      </c>
      <c r="BH173" s="59">
        <f t="shared" si="116"/>
        <v>293.3333333333369</v>
      </c>
      <c r="BI173" s="59">
        <f ca="1">AVERAGE(OFFSET($BH$3,0,0,'Données projet'!$E$11+1,1))-AVERAGE(OFFSET($H$3,0,0,'Données projet'!$E$11+1,1))</f>
        <v>288.80569134263209</v>
      </c>
      <c r="BJ173" s="59">
        <f t="shared" si="146"/>
        <v>283.48738729114024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10.977777593160368</v>
      </c>
      <c r="BQ173" s="21">
        <f>EXP(-LN(2)/25)*BQ172+(1-EXP(-LN(2)/25))/(LN(2)/25)*Calculateur!BL173*Calculateur!BN173*VLOOKUP('Données projet'!$B$11,Paramètres!$A$1:$I$89,3,0)*0.475*44/12</f>
        <v>4.1465216921976831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15.124299285358052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212.00000000000009</v>
      </c>
      <c r="BZ173" s="13">
        <f>BY173*VLOOKUP('Données projet'!$B$12,Paramètres!$A$1:$I$89,3,0)*VLOOKUP('Données projet'!$B$12,Paramètres!$A$1:$I$89,5,0)</f>
        <v>221.58240000000012</v>
      </c>
      <c r="CA173" s="13">
        <f t="shared" si="170"/>
        <v>54.458668952651578</v>
      </c>
      <c r="CB173" s="20">
        <f t="shared" si="171"/>
        <v>480.77152842586838</v>
      </c>
      <c r="CC173" s="59">
        <f t="shared" si="119"/>
        <v>774.10486175920164</v>
      </c>
      <c r="CD173" s="59">
        <f ca="1">AVERAGE(OFFSET($CC$3,0,0,'Données projet'!$E$12+1,1))-AVERAGE(OFFSET($H$3,0,0,'Données projet'!$E$12+1,1))</f>
        <v>352.22281362023102</v>
      </c>
      <c r="CE173" s="59">
        <f t="shared" si="148"/>
        <v>310.2353747925161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4.4670301957015752</v>
      </c>
      <c r="CL173" s="21">
        <f>EXP(-LN(2)/25)*CL172+(1-EXP(-LN(2)/25))/(LN(2)/25)*Calculateur!CG173*Calculateur!CI173*VLOOKUP('Données projet'!$B$12,Paramètres!$A$1:$I$89,3,0)*0.475*44/12</f>
        <v>2.402875213914343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6.8699054096159182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-4.5474735088646412E-13</v>
      </c>
      <c r="CU173" s="17">
        <f>CT173*VLOOKUP('Données projet'!$B$13,Paramètres!$A$1:$I$89,3,0)*VLOOKUP('Données projet'!$B$13,Paramètres!$A$1:$I$89,5,0)</f>
        <v>-4.1145540308207271E-13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345.49688858037996</v>
      </c>
      <c r="CZ173" s="59">
        <f t="shared" si="150"/>
        <v>213.15872113755023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118.93458437984896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118.93458437984896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-4.5474735088646412E-13</v>
      </c>
      <c r="DP173" s="17">
        <f>DO173*VLOOKUP('Données projet'!$B$14,Paramètres!$A$1:$I$89,3,0)*VLOOKUP('Données projet'!$B$14,Paramètres!$A$1:$I$89,5,0)</f>
        <v>-4.6111381379887462E-13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382.26108489744581</v>
      </c>
      <c r="DU173" s="59">
        <f t="shared" si="152"/>
        <v>233.89423996158826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133.2887583567273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133.2887583567273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-2.4158453015843406E-13</v>
      </c>
      <c r="EK173" s="17">
        <f>EJ173*VLOOKUP('Données projet'!$B$15,Paramètres!$A$1:$I$89,3,0)*VLOOKUP('Données projet'!$B$15,Paramètres!$A$1:$I$89,5,0)</f>
        <v>-2.0351080820546486E-13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312.48716825299158</v>
      </c>
      <c r="EP173" s="59">
        <f t="shared" si="154"/>
        <v>258.68277822755357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45.39152254516371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45.39152254516371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-4.5474735088646412E-13</v>
      </c>
      <c r="FF173" s="17">
        <f>FE173*VLOOKUP('Données projet'!$B$16,Paramètres!$A$1:$I$89,3,0)*VLOOKUP('Données projet'!$B$16,Paramètres!$A$1:$I$89,5,0)</f>
        <v>-4.8949004849418999E-13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403.23110963096246</v>
      </c>
      <c r="FK173" s="59">
        <f t="shared" si="156"/>
        <v>245.72000393124898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141.49114348637198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141.49114348637198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-4.5474735088646412E-13</v>
      </c>
      <c r="GA173" s="17">
        <f>FZ173*VLOOKUP('Données projet'!$B$17,Paramètres!$A$1:$I$89,3,0)*VLOOKUP('Données projet'!$B$17,Paramètres!$A$1:$I$89,5,0)</f>
        <v>-4.3983163777738812E-13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336.2911850338175</v>
      </c>
      <c r="GF173" s="59">
        <f t="shared" si="158"/>
        <v>225.01415116995503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127.1369695094937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127.1369695094937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-4.5474735088646412E-13</v>
      </c>
      <c r="GV173" s="17">
        <f>GU173*VLOOKUP('Données projet'!$B$18,Paramètres!$A$1:$I$89,3,0)*VLOOKUP('Données projet'!$B$18,Paramètres!$A$1:$I$89,5,0)</f>
        <v>-3.0504452297464016E-13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266.37807768393191</v>
      </c>
      <c r="HA173" s="59">
        <f t="shared" si="160"/>
        <v>168.52019826233425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108.68160296779301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190"/>
        <v>108.68160296779301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266.99999999999983</v>
      </c>
      <c r="O174" s="13">
        <f>N174*VLOOKUP('Données projet'!$B$9,Paramètres!$A$1:$I$89,3,0)*VLOOKUP('Données projet'!$B$9,Paramètres!$A$1:$I$89,5,0)</f>
        <v>233.2511999999999</v>
      </c>
      <c r="P174" s="13">
        <f t="shared" si="141"/>
        <v>56.985091661350864</v>
      </c>
      <c r="Q174" s="20">
        <f t="shared" si="162"/>
        <v>505.49487464351915</v>
      </c>
      <c r="R174" s="59">
        <f t="shared" si="109"/>
        <v>798.82820797685247</v>
      </c>
      <c r="S174" s="59">
        <f ca="1">AVERAGE(OFFSET($R$3,0,0,'Données projet'!$E$9+1,1))-AVERAGE(OFFSET($H$3,0,0,'Données projet'!$E$9+1,1))</f>
        <v>324.86930206492627</v>
      </c>
      <c r="T174" s="59">
        <f t="shared" si="142"/>
        <v>317.03005098025352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5.2143655059555192</v>
      </c>
      <c r="AA174" s="21">
        <f>EXP(-LN(2)/25)*AA173+(1-EXP(-LN(2)/25))/(LN(2)/25)*Calculateur!V174*Calculateur!X174*VLOOKUP('Données projet'!$B$9,Paramètres!$A$1:$I$89,3,0)*0.475*44/12</f>
        <v>0.73359669918965831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5.9479622051451777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5.4092197387944907E-13</v>
      </c>
      <c r="AK174" s="13">
        <f t="shared" si="164"/>
        <v>6.6765148417791561E-12</v>
      </c>
      <c r="AL174" s="20">
        <f t="shared" si="165"/>
        <v>1.2570369120605403E-11</v>
      </c>
      <c r="AM174" s="59">
        <f t="shared" si="113"/>
        <v>293.33333333334588</v>
      </c>
      <c r="AN174" s="59">
        <f ca="1">AVERAGE(OFFSET($AM$3,0,0,'Données projet'!$E$10+1,1))-AVERAGE(OFFSET($H$3,0,0,'Données projet'!$E$10+1,1))</f>
        <v>401.81944956556271</v>
      </c>
      <c r="AO174" s="59">
        <f t="shared" si="144"/>
        <v>292.20785523952651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81.438104468375869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81.438104468375869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1.7053025658242404E-13</v>
      </c>
      <c r="BE174" s="13">
        <f>BD174*VLOOKUP('Données projet'!$B$11,Paramètres!$A$1:$I$89,3,0)*VLOOKUP('Données projet'!$B$11,Paramètres!$A$1:$I$89,5,0)</f>
        <v>1.3301360013429075E-13</v>
      </c>
      <c r="BF174" s="13">
        <f t="shared" si="167"/>
        <v>1.9329766731057041E-12</v>
      </c>
      <c r="BG174" s="20">
        <f t="shared" si="168"/>
        <v>3.5982663925596575E-12</v>
      </c>
      <c r="BH174" s="59">
        <f t="shared" si="116"/>
        <v>293.3333333333369</v>
      </c>
      <c r="BI174" s="59">
        <f ca="1">AVERAGE(OFFSET($BH$3,0,0,'Données projet'!$E$11+1,1))-AVERAGE(OFFSET($H$3,0,0,'Données projet'!$E$11+1,1))</f>
        <v>288.80569134263209</v>
      </c>
      <c r="BJ174" s="59">
        <f t="shared" si="146"/>
        <v>283.48738729114024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10.762510070341671</v>
      </c>
      <c r="BQ174" s="21">
        <f>EXP(-LN(2)/25)*BQ173+(1-EXP(-LN(2)/25))/(LN(2)/25)*Calculateur!BL174*Calculateur!BN174*VLOOKUP('Données projet'!$B$11,Paramètres!$A$1:$I$89,3,0)*0.475*44/12</f>
        <v>4.0331348384684382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14.795644908810109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212.00000000000009</v>
      </c>
      <c r="BZ174" s="13">
        <f>BY174*VLOOKUP('Données projet'!$B$12,Paramètres!$A$1:$I$89,3,0)*VLOOKUP('Données projet'!$B$12,Paramètres!$A$1:$I$89,5,0)</f>
        <v>221.58240000000012</v>
      </c>
      <c r="CA174" s="13">
        <f t="shared" si="170"/>
        <v>54.458668952651578</v>
      </c>
      <c r="CB174" s="20">
        <f t="shared" si="171"/>
        <v>480.77152842586838</v>
      </c>
      <c r="CC174" s="59">
        <f t="shared" si="119"/>
        <v>774.10486175920164</v>
      </c>
      <c r="CD174" s="59">
        <f ca="1">AVERAGE(OFFSET($CC$3,0,0,'Données projet'!$E$12+1,1))-AVERAGE(OFFSET($H$3,0,0,'Données projet'!$E$12+1,1))</f>
        <v>352.22281362023102</v>
      </c>
      <c r="CE174" s="59">
        <f t="shared" si="148"/>
        <v>310.2353747925161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4.3794344581832529</v>
      </c>
      <c r="CL174" s="21">
        <f>EXP(-LN(2)/25)*CL173+(1-EXP(-LN(2)/25))/(LN(2)/25)*Calculateur!CG174*Calculateur!CI174*VLOOKUP('Données projet'!$B$12,Paramètres!$A$1:$I$89,3,0)*0.475*44/12</f>
        <v>2.3371684648281397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6.7166029230113926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-4.5474735088646412E-13</v>
      </c>
      <c r="CU174" s="17">
        <f>CT174*VLOOKUP('Données projet'!$B$13,Paramètres!$A$1:$I$89,3,0)*VLOOKUP('Données projet'!$B$13,Paramètres!$A$1:$I$89,5,0)</f>
        <v>-4.1145540308207271E-13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345.49688858037996</v>
      </c>
      <c r="CZ174" s="59">
        <f t="shared" si="150"/>
        <v>213.15872113755023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116.60234972309357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116.60234972309357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-4.5474735088646412E-13</v>
      </c>
      <c r="DP174" s="17">
        <f>DO174*VLOOKUP('Données projet'!$B$14,Paramètres!$A$1:$I$89,3,0)*VLOOKUP('Données projet'!$B$14,Paramètres!$A$1:$I$89,5,0)</f>
        <v>-4.6111381379887462E-13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382.26108489744581</v>
      </c>
      <c r="DU174" s="59">
        <f t="shared" si="152"/>
        <v>233.89423996158826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130.67504710346697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130.67504710346697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-2.4158453015843406E-13</v>
      </c>
      <c r="EK174" s="17">
        <f>EJ174*VLOOKUP('Données projet'!$B$15,Paramètres!$A$1:$I$89,3,0)*VLOOKUP('Données projet'!$B$15,Paramètres!$A$1:$I$89,5,0)</f>
        <v>-2.0351080820546486E-13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312.48716825299158</v>
      </c>
      <c r="EP174" s="59">
        <f t="shared" si="154"/>
        <v>258.68277822755357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44.501422474148029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44.501422474148029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-4.5474735088646412E-13</v>
      </c>
      <c r="FF174" s="17">
        <f>FE174*VLOOKUP('Données projet'!$B$16,Paramètres!$A$1:$I$89,3,0)*VLOOKUP('Données projet'!$B$16,Paramètres!$A$1:$I$89,5,0)</f>
        <v>-4.8949004849418999E-13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403.23110963096246</v>
      </c>
      <c r="FK174" s="59">
        <f t="shared" si="156"/>
        <v>245.72000393124898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138.71658846368024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138.71658846368024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-4.5474735088646412E-13</v>
      </c>
      <c r="GA174" s="17">
        <f>FZ174*VLOOKUP('Données projet'!$B$17,Paramètres!$A$1:$I$89,3,0)*VLOOKUP('Données projet'!$B$17,Paramètres!$A$1:$I$89,5,0)</f>
        <v>-4.3983163777738812E-13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336.2911850338175</v>
      </c>
      <c r="GF174" s="59">
        <f t="shared" si="158"/>
        <v>225.01415116995503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124.6438910833069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124.6438910833069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-4.5474735088646412E-13</v>
      </c>
      <c r="GV174" s="17">
        <f>GU174*VLOOKUP('Données projet'!$B$18,Paramètres!$A$1:$I$89,3,0)*VLOOKUP('Données projet'!$B$18,Paramètres!$A$1:$I$89,5,0)</f>
        <v>-3.0504452297464016E-13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266.37807768393191</v>
      </c>
      <c r="HA174" s="59">
        <f t="shared" si="160"/>
        <v>168.52019826233425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106.55042302282688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190"/>
        <v>106.55042302282688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266.99999999999983</v>
      </c>
      <c r="O175" s="13">
        <f>N175*VLOOKUP('Données projet'!$B$9,Paramètres!$A$1:$I$89,3,0)*VLOOKUP('Données projet'!$B$9,Paramètres!$A$1:$I$89,5,0)</f>
        <v>233.2511999999999</v>
      </c>
      <c r="P175" s="13">
        <f t="shared" si="141"/>
        <v>56.985091661350864</v>
      </c>
      <c r="Q175" s="20">
        <f t="shared" si="162"/>
        <v>505.49487464351915</v>
      </c>
      <c r="R175" s="59">
        <f t="shared" si="109"/>
        <v>798.82820797685247</v>
      </c>
      <c r="S175" s="59">
        <f ca="1">AVERAGE(OFFSET($R$3,0,0,'Données projet'!$E$9+1,1))-AVERAGE(OFFSET($H$3,0,0,'Données projet'!$E$9+1,1))</f>
        <v>324.86930206492627</v>
      </c>
      <c r="T175" s="59">
        <f t="shared" si="142"/>
        <v>317.03005098025352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5.112114978832647</v>
      </c>
      <c r="AA175" s="21">
        <f>EXP(-LN(2)/25)*AA174+(1-EXP(-LN(2)/25))/(LN(2)/25)*Calculateur!V175*Calculateur!X175*VLOOKUP('Données projet'!$B$9,Paramètres!$A$1:$I$89,3,0)*0.475*44/12</f>
        <v>0.71353645887214334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5.8256514377047903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5.4092197387944907E-13</v>
      </c>
      <c r="AK175" s="13">
        <f t="shared" si="164"/>
        <v>6.6765148417791561E-12</v>
      </c>
      <c r="AL175" s="20">
        <f t="shared" si="165"/>
        <v>1.2570369120605403E-11</v>
      </c>
      <c r="AM175" s="59">
        <f t="shared" si="113"/>
        <v>293.33333333334588</v>
      </c>
      <c r="AN175" s="59">
        <f ca="1">AVERAGE(OFFSET($AM$3,0,0,'Données projet'!$E$10+1,1))-AVERAGE(OFFSET($H$3,0,0,'Données projet'!$E$10+1,1))</f>
        <v>401.81944956556271</v>
      </c>
      <c r="AO175" s="59">
        <f t="shared" si="144"/>
        <v>292.20785523952651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79.84115291209001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79.84115291209001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1.7053025658242404E-13</v>
      </c>
      <c r="BE175" s="13">
        <f>BD175*VLOOKUP('Données projet'!$B$11,Paramètres!$A$1:$I$89,3,0)*VLOOKUP('Données projet'!$B$11,Paramètres!$A$1:$I$89,5,0)</f>
        <v>1.3301360013429075E-13</v>
      </c>
      <c r="BF175" s="13">
        <f t="shared" si="167"/>
        <v>1.9329766731057041E-12</v>
      </c>
      <c r="BG175" s="20">
        <f t="shared" si="168"/>
        <v>3.5982663925596575E-12</v>
      </c>
      <c r="BH175" s="59">
        <f t="shared" si="116"/>
        <v>293.3333333333369</v>
      </c>
      <c r="BI175" s="59">
        <f ca="1">AVERAGE(OFFSET($BH$3,0,0,'Données projet'!$E$11+1,1))-AVERAGE(OFFSET($H$3,0,0,'Données projet'!$E$11+1,1))</f>
        <v>288.80569134263209</v>
      </c>
      <c r="BJ175" s="59">
        <f t="shared" si="146"/>
        <v>283.48738729114024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10.551463812345224</v>
      </c>
      <c r="BQ175" s="21">
        <f>EXP(-LN(2)/25)*BQ174+(1-EXP(-LN(2)/25))/(LN(2)/25)*Calculateur!BL175*Calculateur!BN175*VLOOKUP('Données projet'!$B$11,Paramètres!$A$1:$I$89,3,0)*0.475*44/12</f>
        <v>3.9228485542171754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14.474312366562399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212.00000000000009</v>
      </c>
      <c r="BZ175" s="13">
        <f>BY175*VLOOKUP('Données projet'!$B$12,Paramètres!$A$1:$I$89,3,0)*VLOOKUP('Données projet'!$B$12,Paramètres!$A$1:$I$89,5,0)</f>
        <v>221.58240000000012</v>
      </c>
      <c r="CA175" s="13">
        <f t="shared" si="170"/>
        <v>54.458668952651578</v>
      </c>
      <c r="CB175" s="20">
        <f t="shared" si="171"/>
        <v>480.77152842586838</v>
      </c>
      <c r="CC175" s="59">
        <f t="shared" si="119"/>
        <v>774.10486175920164</v>
      </c>
      <c r="CD175" s="59">
        <f ca="1">AVERAGE(OFFSET($CC$3,0,0,'Données projet'!$E$12+1,1))-AVERAGE(OFFSET($H$3,0,0,'Données projet'!$E$12+1,1))</f>
        <v>352.22281362023102</v>
      </c>
      <c r="CE175" s="59">
        <f t="shared" si="148"/>
        <v>310.2353747925161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4.2935564196495406</v>
      </c>
      <c r="CL175" s="21">
        <f>EXP(-LN(2)/25)*CL174+(1-EXP(-LN(2)/25))/(LN(2)/25)*Calculateur!CG175*Calculateur!CI175*VLOOKUP('Données projet'!$B$12,Paramètres!$A$1:$I$89,3,0)*0.475*44/12</f>
        <v>2.2732584702510663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6.5668148899006074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-4.5474735088646412E-13</v>
      </c>
      <c r="CU175" s="17">
        <f>CT175*VLOOKUP('Données projet'!$B$13,Paramètres!$A$1:$I$89,3,0)*VLOOKUP('Données projet'!$B$13,Paramètres!$A$1:$I$89,5,0)</f>
        <v>-4.1145540308207271E-13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345.49688858037996</v>
      </c>
      <c r="CZ175" s="59">
        <f t="shared" si="150"/>
        <v>213.15872113755023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114.31584876543448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114.31584876543448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-4.5474735088646412E-13</v>
      </c>
      <c r="DP175" s="17">
        <f>DO175*VLOOKUP('Données projet'!$B$14,Paramètres!$A$1:$I$89,3,0)*VLOOKUP('Données projet'!$B$14,Paramètres!$A$1:$I$89,5,0)</f>
        <v>-4.6111381379887462E-13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382.26108489744581</v>
      </c>
      <c r="DU175" s="59">
        <f t="shared" si="152"/>
        <v>233.89423996158826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128.11258913367661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128.11258913367661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-2.4158453015843406E-13</v>
      </c>
      <c r="EK175" s="17">
        <f>EJ175*VLOOKUP('Données projet'!$B$15,Paramètres!$A$1:$I$89,3,0)*VLOOKUP('Données projet'!$B$15,Paramètres!$A$1:$I$89,5,0)</f>
        <v>-2.0351080820546486E-13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312.48716825299158</v>
      </c>
      <c r="EP175" s="59">
        <f t="shared" si="154"/>
        <v>258.68277822755357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43.62877672261753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43.62877672261753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-4.5474735088646412E-13</v>
      </c>
      <c r="FF175" s="17">
        <f>FE175*VLOOKUP('Données projet'!$B$16,Paramètres!$A$1:$I$89,3,0)*VLOOKUP('Données projet'!$B$16,Paramètres!$A$1:$I$89,5,0)</f>
        <v>-4.8949004849418999E-13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403.23110963096246</v>
      </c>
      <c r="FK175" s="59">
        <f t="shared" si="156"/>
        <v>245.72000393124898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135.996440772672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135.996440772672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-4.5474735088646412E-13</v>
      </c>
      <c r="GA175" s="17">
        <f>FZ175*VLOOKUP('Données projet'!$B$17,Paramètres!$A$1:$I$89,3,0)*VLOOKUP('Données projet'!$B$17,Paramètres!$A$1:$I$89,5,0)</f>
        <v>-4.3983163777738812E-13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336.2911850338175</v>
      </c>
      <c r="GF175" s="59">
        <f t="shared" si="158"/>
        <v>225.01415116995503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122.19970040442993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122.19970040442993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-4.5474735088646412E-13</v>
      </c>
      <c r="GV175" s="17">
        <f>GU175*VLOOKUP('Données projet'!$B$18,Paramètres!$A$1:$I$89,3,0)*VLOOKUP('Données projet'!$B$18,Paramètres!$A$1:$I$89,5,0)</f>
        <v>-3.0504452297464016E-13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266.37807768393191</v>
      </c>
      <c r="HA175" s="59">
        <f t="shared" si="160"/>
        <v>168.52019826233425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104.46103421669012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190"/>
        <v>104.46103421669012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266.99999999999983</v>
      </c>
      <c r="O176" s="13">
        <f>N176*VLOOKUP('Données projet'!$B$9,Paramètres!$A$1:$I$89,3,0)*VLOOKUP('Données projet'!$B$9,Paramètres!$A$1:$I$89,5,0)</f>
        <v>233.2511999999999</v>
      </c>
      <c r="P176" s="13">
        <f t="shared" si="141"/>
        <v>56.985091661350864</v>
      </c>
      <c r="Q176" s="20">
        <f t="shared" si="162"/>
        <v>505.49487464351915</v>
      </c>
      <c r="R176" s="59">
        <f t="shared" si="109"/>
        <v>798.82820797685247</v>
      </c>
      <c r="S176" s="59">
        <f ca="1">AVERAGE(OFFSET($R$3,0,0,'Données projet'!$E$9+1,1))-AVERAGE(OFFSET($H$3,0,0,'Données projet'!$E$9+1,1))</f>
        <v>324.86930206492627</v>
      </c>
      <c r="T176" s="59">
        <f t="shared" si="142"/>
        <v>317.03005098025352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5.0118695221799907</v>
      </c>
      <c r="AA176" s="21">
        <f>EXP(-LN(2)/25)*AA175+(1-EXP(-LN(2)/25))/(LN(2)/25)*Calculateur!V176*Calculateur!X176*VLOOKUP('Données projet'!$B$9,Paramètres!$A$1:$I$89,3,0)*0.475*44/12</f>
        <v>0.69402476688103298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5.7058942890610238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5.4092197387944907E-13</v>
      </c>
      <c r="AK176" s="13">
        <f t="shared" si="164"/>
        <v>6.6765148417791561E-12</v>
      </c>
      <c r="AL176" s="20">
        <f t="shared" si="165"/>
        <v>1.2570369120605403E-11</v>
      </c>
      <c r="AM176" s="59">
        <f t="shared" si="113"/>
        <v>293.33333333334588</v>
      </c>
      <c r="AN176" s="59">
        <f ca="1">AVERAGE(OFFSET($AM$3,0,0,'Données projet'!$E$10+1,1))-AVERAGE(OFFSET($H$3,0,0,'Données projet'!$E$10+1,1))</f>
        <v>401.81944956556271</v>
      </c>
      <c r="AO176" s="59">
        <f t="shared" si="144"/>
        <v>292.20785523952651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78.275516601778648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78.275516601778648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1.7053025658242404E-13</v>
      </c>
      <c r="BE176" s="13">
        <f>BD176*VLOOKUP('Données projet'!$B$11,Paramètres!$A$1:$I$89,3,0)*VLOOKUP('Données projet'!$B$11,Paramètres!$A$1:$I$89,5,0)</f>
        <v>1.3301360013429075E-13</v>
      </c>
      <c r="BF176" s="13">
        <f t="shared" si="167"/>
        <v>1.9329766731057041E-12</v>
      </c>
      <c r="BG176" s="20">
        <f t="shared" si="168"/>
        <v>3.5982663925596575E-12</v>
      </c>
      <c r="BH176" s="59">
        <f t="shared" si="116"/>
        <v>293.3333333333369</v>
      </c>
      <c r="BI176" s="59">
        <f ca="1">AVERAGE(OFFSET($BH$3,0,0,'Données projet'!$E$11+1,1))-AVERAGE(OFFSET($H$3,0,0,'Données projet'!$E$11+1,1))</f>
        <v>288.80569134263209</v>
      </c>
      <c r="BJ176" s="59">
        <f t="shared" si="146"/>
        <v>283.48738729114024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10.344556042742582</v>
      </c>
      <c r="BQ176" s="21">
        <f>EXP(-LN(2)/25)*BQ175+(1-EXP(-LN(2)/25))/(LN(2)/25)*Calculateur!BL176*Calculateur!BN176*VLOOKUP('Données projet'!$B$11,Paramètres!$A$1:$I$89,3,0)*0.475*44/12</f>
        <v>3.815578054208467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14.160134096951049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212.00000000000009</v>
      </c>
      <c r="BZ176" s="13">
        <f>BY176*VLOOKUP('Données projet'!$B$12,Paramètres!$A$1:$I$89,3,0)*VLOOKUP('Données projet'!$B$12,Paramètres!$A$1:$I$89,5,0)</f>
        <v>221.58240000000012</v>
      </c>
      <c r="CA176" s="13">
        <f t="shared" si="170"/>
        <v>54.458668952651578</v>
      </c>
      <c r="CB176" s="20">
        <f t="shared" si="171"/>
        <v>480.77152842586838</v>
      </c>
      <c r="CC176" s="59">
        <f t="shared" si="119"/>
        <v>774.10486175920164</v>
      </c>
      <c r="CD176" s="59">
        <f ca="1">AVERAGE(OFFSET($CC$3,0,0,'Données projet'!$E$12+1,1))-AVERAGE(OFFSET($H$3,0,0,'Données projet'!$E$12+1,1))</f>
        <v>352.22281362023102</v>
      </c>
      <c r="CE176" s="59">
        <f t="shared" si="148"/>
        <v>310.2353747925161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4.2093623970710432</v>
      </c>
      <c r="CL176" s="21">
        <f>EXP(-LN(2)/25)*CL175+(1-EXP(-LN(2)/25))/(LN(2)/25)*Calculateur!CG176*Calculateur!CI176*VLOOKUP('Données projet'!$B$12,Paramètres!$A$1:$I$89,3,0)*0.475*44/12</f>
        <v>2.2110960978365837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6.4204584949076269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-4.5474735088646412E-13</v>
      </c>
      <c r="CU176" s="17">
        <f>CT176*VLOOKUP('Données projet'!$B$13,Paramètres!$A$1:$I$89,3,0)*VLOOKUP('Données projet'!$B$13,Paramètres!$A$1:$I$89,5,0)</f>
        <v>-4.1145540308207271E-13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345.49688858037996</v>
      </c>
      <c r="CZ176" s="59">
        <f t="shared" si="150"/>
        <v>213.15872113755023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112.0741846969272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112.0741846969272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-4.5474735088646412E-13</v>
      </c>
      <c r="DP176" s="17">
        <f>DO176*VLOOKUP('Données projet'!$B$14,Paramètres!$A$1:$I$89,3,0)*VLOOKUP('Données projet'!$B$14,Paramètres!$A$1:$I$89,5,0)</f>
        <v>-4.6111381379887462E-13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382.26108489744581</v>
      </c>
      <c r="DU176" s="59">
        <f t="shared" si="152"/>
        <v>233.89423996158826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125.6003794017288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125.6003794017288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-2.4158453015843406E-13</v>
      </c>
      <c r="EK176" s="17">
        <f>EJ176*VLOOKUP('Données projet'!$B$15,Paramètres!$A$1:$I$89,3,0)*VLOOKUP('Données projet'!$B$15,Paramètres!$A$1:$I$89,5,0)</f>
        <v>-2.0351080820546486E-13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312.48716825299158</v>
      </c>
      <c r="EP176" s="59">
        <f t="shared" si="154"/>
        <v>258.68277822755357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42.77324302201319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42.77324302201319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-4.5474735088646412E-13</v>
      </c>
      <c r="FF176" s="17">
        <f>FE176*VLOOKUP('Données projet'!$B$16,Paramètres!$A$1:$I$89,3,0)*VLOOKUP('Données projet'!$B$16,Paramètres!$A$1:$I$89,5,0)</f>
        <v>-4.8949004849418999E-13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403.23110963096246</v>
      </c>
      <c r="FK176" s="59">
        <f t="shared" si="156"/>
        <v>245.72000393124898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133.32963351875819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133.32963351875819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-4.5474735088646412E-13</v>
      </c>
      <c r="GA176" s="17">
        <f>FZ176*VLOOKUP('Données projet'!$B$17,Paramètres!$A$1:$I$89,3,0)*VLOOKUP('Données projet'!$B$17,Paramètres!$A$1:$I$89,5,0)</f>
        <v>-4.3983163777738812E-13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336.2911850338175</v>
      </c>
      <c r="GF176" s="59">
        <f t="shared" si="158"/>
        <v>225.01415116995503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119.80343881395665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119.80343881395665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-4.5474735088646412E-13</v>
      </c>
      <c r="GV176" s="17">
        <f>GU176*VLOOKUP('Données projet'!$B$18,Paramètres!$A$1:$I$89,3,0)*VLOOKUP('Données projet'!$B$18,Paramètres!$A$1:$I$89,5,0)</f>
        <v>-3.0504452297464016E-13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266.37807768393191</v>
      </c>
      <c r="HA176" s="59">
        <f t="shared" si="160"/>
        <v>168.52019826233425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102.41261705064038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190"/>
        <v>102.41261705064038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266.99999999999983</v>
      </c>
      <c r="O177" s="13">
        <f>N177*VLOOKUP('Données projet'!$B$9,Paramètres!$A$1:$I$89,3,0)*VLOOKUP('Données projet'!$B$9,Paramètres!$A$1:$I$89,5,0)</f>
        <v>233.2511999999999</v>
      </c>
      <c r="P177" s="13">
        <f t="shared" si="141"/>
        <v>56.985091661350864</v>
      </c>
      <c r="Q177" s="20">
        <f t="shared" si="162"/>
        <v>505.49487464351915</v>
      </c>
      <c r="R177" s="59">
        <f t="shared" si="109"/>
        <v>798.82820797685247</v>
      </c>
      <c r="S177" s="59">
        <f ca="1">AVERAGE(OFFSET($R$3,0,0,'Données projet'!$E$9+1,1))-AVERAGE(OFFSET($H$3,0,0,'Données projet'!$E$9+1,1))</f>
        <v>324.86930206492627</v>
      </c>
      <c r="T177" s="59">
        <f t="shared" si="142"/>
        <v>317.03005098025352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4.9135898177886022</v>
      </c>
      <c r="AA177" s="21">
        <f>EXP(-LN(2)/25)*AA176+(1-EXP(-LN(2)/25))/(LN(2)/25)*Calculateur!V177*Calculateur!X177*VLOOKUP('Données projet'!$B$9,Paramètres!$A$1:$I$89,3,0)*0.475*44/12</f>
        <v>0.67504662313349484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5.5886364409220972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5.4092197387944907E-13</v>
      </c>
      <c r="AK177" s="13">
        <f t="shared" si="164"/>
        <v>6.6765148417791561E-12</v>
      </c>
      <c r="AL177" s="20">
        <f t="shared" si="165"/>
        <v>1.2570369120605403E-11</v>
      </c>
      <c r="AM177" s="59">
        <f t="shared" si="113"/>
        <v>293.33333333334588</v>
      </c>
      <c r="AN177" s="59">
        <f ca="1">AVERAGE(OFFSET($AM$3,0,0,'Données projet'!$E$10+1,1))-AVERAGE(OFFSET($H$3,0,0,'Données projet'!$E$10+1,1))</f>
        <v>401.81944956556271</v>
      </c>
      <c r="AO177" s="59">
        <f t="shared" si="144"/>
        <v>292.20785523952651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76.740581464568635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76.740581464568635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1.7053025658242404E-13</v>
      </c>
      <c r="BE177" s="13">
        <f>BD177*VLOOKUP('Données projet'!$B$11,Paramètres!$A$1:$I$89,3,0)*VLOOKUP('Données projet'!$B$11,Paramètres!$A$1:$I$89,5,0)</f>
        <v>1.3301360013429075E-13</v>
      </c>
      <c r="BF177" s="13">
        <f t="shared" si="167"/>
        <v>1.9329766731057041E-12</v>
      </c>
      <c r="BG177" s="20">
        <f t="shared" si="168"/>
        <v>3.5982663925596575E-12</v>
      </c>
      <c r="BH177" s="59">
        <f t="shared" si="116"/>
        <v>293.3333333333369</v>
      </c>
      <c r="BI177" s="59">
        <f ca="1">AVERAGE(OFFSET($BH$3,0,0,'Données projet'!$E$11+1,1))-AVERAGE(OFFSET($H$3,0,0,'Données projet'!$E$11+1,1))</f>
        <v>288.80569134263209</v>
      </c>
      <c r="BJ177" s="59">
        <f t="shared" si="146"/>
        <v>283.48738729114024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10.141705608300569</v>
      </c>
      <c r="BQ177" s="21">
        <f>EXP(-LN(2)/25)*BQ176+(1-EXP(-LN(2)/25))/(LN(2)/25)*Calculateur!BL177*Calculateur!BN177*VLOOKUP('Données projet'!$B$11,Paramètres!$A$1:$I$89,3,0)*0.475*44/12</f>
        <v>3.7112408716636072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13.852946479964176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212.00000000000009</v>
      </c>
      <c r="BZ177" s="13">
        <f>BY177*VLOOKUP('Données projet'!$B$12,Paramètres!$A$1:$I$89,3,0)*VLOOKUP('Données projet'!$B$12,Paramètres!$A$1:$I$89,5,0)</f>
        <v>221.58240000000012</v>
      </c>
      <c r="CA177" s="13">
        <f t="shared" si="170"/>
        <v>54.458668952651578</v>
      </c>
      <c r="CB177" s="20">
        <f t="shared" si="171"/>
        <v>480.77152842586838</v>
      </c>
      <c r="CC177" s="59">
        <f t="shared" si="119"/>
        <v>774.10486175920164</v>
      </c>
      <c r="CD177" s="59">
        <f ca="1">AVERAGE(OFFSET($CC$3,0,0,'Données projet'!$E$12+1,1))-AVERAGE(OFFSET($H$3,0,0,'Données projet'!$E$12+1,1))</f>
        <v>352.22281362023102</v>
      </c>
      <c r="CE177" s="59">
        <f t="shared" si="148"/>
        <v>310.2353747925161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4.1268193679220273</v>
      </c>
      <c r="CL177" s="21">
        <f>EXP(-LN(2)/25)*CL176+(1-EXP(-LN(2)/25))/(LN(2)/25)*Calculateur!CG177*Calculateur!CI177*VLOOKUP('Données projet'!$B$12,Paramètres!$A$1:$I$89,3,0)*0.475*44/12</f>
        <v>2.1506335587647518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6.2774529266867791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-4.5474735088646412E-13</v>
      </c>
      <c r="CU177" s="17">
        <f>CT177*VLOOKUP('Données projet'!$B$13,Paramètres!$A$1:$I$89,3,0)*VLOOKUP('Données projet'!$B$13,Paramètres!$A$1:$I$89,5,0)</f>
        <v>-4.1145540308207271E-13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345.49688858037996</v>
      </c>
      <c r="CZ177" s="59">
        <f t="shared" si="150"/>
        <v>213.15872113755023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109.87647829352329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109.87647829352329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-4.5474735088646412E-13</v>
      </c>
      <c r="DP177" s="17">
        <f>DO177*VLOOKUP('Données projet'!$B$14,Paramètres!$A$1:$I$89,3,0)*VLOOKUP('Données projet'!$B$14,Paramètres!$A$1:$I$89,5,0)</f>
        <v>-4.6111381379887462E-13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382.26108489744581</v>
      </c>
      <c r="DU177" s="59">
        <f t="shared" si="152"/>
        <v>233.89423996158826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123.13743257032786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123.13743257032786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-2.4158453015843406E-13</v>
      </c>
      <c r="EK177" s="17">
        <f>EJ177*VLOOKUP('Données projet'!$B$15,Paramètres!$A$1:$I$89,3,0)*VLOOKUP('Données projet'!$B$15,Paramètres!$A$1:$I$89,5,0)</f>
        <v>-2.0351080820546486E-13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312.48716825299158</v>
      </c>
      <c r="EP177" s="59">
        <f t="shared" si="154"/>
        <v>258.68277822755357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41.934485815453669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41.934485815453669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-4.5474735088646412E-13</v>
      </c>
      <c r="FF177" s="17">
        <f>FE177*VLOOKUP('Données projet'!$B$16,Paramètres!$A$1:$I$89,3,0)*VLOOKUP('Données projet'!$B$16,Paramètres!$A$1:$I$89,5,0)</f>
        <v>-4.8949004849418999E-13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403.23110963096246</v>
      </c>
      <c r="FK177" s="59">
        <f t="shared" si="156"/>
        <v>245.72000393124898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130.7151207285018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130.7151207285018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-4.5474735088646412E-13</v>
      </c>
      <c r="GA177" s="17">
        <f>FZ177*VLOOKUP('Données projet'!$B$17,Paramètres!$A$1:$I$89,3,0)*VLOOKUP('Données projet'!$B$17,Paramètres!$A$1:$I$89,5,0)</f>
        <v>-4.3983163777738812E-13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336.2911850338175</v>
      </c>
      <c r="GF177" s="59">
        <f t="shared" si="158"/>
        <v>225.01415116995503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117.45416645169729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117.45416645169729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-4.5474735088646412E-13</v>
      </c>
      <c r="GV177" s="17">
        <f>GU177*VLOOKUP('Données projet'!$B$18,Paramètres!$A$1:$I$89,3,0)*VLOOKUP('Données projet'!$B$18,Paramètres!$A$1:$I$89,5,0)</f>
        <v>-3.0504452297464016E-13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266.37807768393191</v>
      </c>
      <c r="HA177" s="59">
        <f t="shared" si="160"/>
        <v>168.52019826233425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100.40436809580576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190"/>
        <v>100.40436809580576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266.99999999999983</v>
      </c>
      <c r="O178" s="13">
        <f>N178*VLOOKUP('Données projet'!$B$9,Paramètres!$A$1:$I$89,3,0)*VLOOKUP('Données projet'!$B$9,Paramètres!$A$1:$I$89,5,0)</f>
        <v>233.2511999999999</v>
      </c>
      <c r="P178" s="13">
        <f t="shared" si="141"/>
        <v>56.985091661350864</v>
      </c>
      <c r="Q178" s="20">
        <f t="shared" si="162"/>
        <v>505.49487464351915</v>
      </c>
      <c r="R178" s="59">
        <f t="shared" si="109"/>
        <v>798.82820797685247</v>
      </c>
      <c r="S178" s="59">
        <f ca="1">AVERAGE(OFFSET($R$3,0,0,'Données projet'!$E$9+1,1))-AVERAGE(OFFSET($H$3,0,0,'Données projet'!$E$9+1,1))</f>
        <v>324.86930206492627</v>
      </c>
      <c r="T178" s="59">
        <f t="shared" si="142"/>
        <v>317.03005098025352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4.8172373184556276</v>
      </c>
      <c r="AA178" s="21">
        <f>EXP(-LN(2)/25)*AA177+(1-EXP(-LN(2)/25))/(LN(2)/25)*Calculateur!V178*Calculateur!X178*VLOOKUP('Données projet'!$B$9,Paramètres!$A$1:$I$89,3,0)*0.475*44/12</f>
        <v>0.65658743772475037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5.4738247561803783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5.4092197387944907E-13</v>
      </c>
      <c r="AK178" s="13">
        <f t="shared" si="164"/>
        <v>6.6765148417791561E-12</v>
      </c>
      <c r="AL178" s="20">
        <f t="shared" si="165"/>
        <v>1.2570369120605403E-11</v>
      </c>
      <c r="AM178" s="59">
        <f t="shared" si="113"/>
        <v>293.33333333334588</v>
      </c>
      <c r="AN178" s="59">
        <f ca="1">AVERAGE(OFFSET($AM$3,0,0,'Données projet'!$E$10+1,1))-AVERAGE(OFFSET($H$3,0,0,'Données projet'!$E$10+1,1))</f>
        <v>401.81944956556271</v>
      </c>
      <c r="AO178" s="59">
        <f t="shared" si="144"/>
        <v>292.20785523952651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75.23574546918131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75.23574546918131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1.7053025658242404E-13</v>
      </c>
      <c r="BE178" s="13">
        <f>BD178*VLOOKUP('Données projet'!$B$11,Paramètres!$A$1:$I$89,3,0)*VLOOKUP('Données projet'!$B$11,Paramètres!$A$1:$I$89,5,0)</f>
        <v>1.3301360013429075E-13</v>
      </c>
      <c r="BF178" s="13">
        <f t="shared" si="167"/>
        <v>1.9329766731057041E-12</v>
      </c>
      <c r="BG178" s="20">
        <f t="shared" si="168"/>
        <v>3.5982663925596575E-12</v>
      </c>
      <c r="BH178" s="59">
        <f t="shared" si="116"/>
        <v>293.3333333333369</v>
      </c>
      <c r="BI178" s="59">
        <f ca="1">AVERAGE(OFFSET($BH$3,0,0,'Données projet'!$E$11+1,1))-AVERAGE(OFFSET($H$3,0,0,'Données projet'!$E$11+1,1))</f>
        <v>288.80569134263209</v>
      </c>
      <c r="BJ178" s="59">
        <f t="shared" si="146"/>
        <v>283.48738729114024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9.9428329471514161</v>
      </c>
      <c r="BQ178" s="21">
        <f>EXP(-LN(2)/25)*BQ177+(1-EXP(-LN(2)/25))/(LN(2)/25)*Calculateur!BL178*Calculateur!BN178*VLOOKUP('Données projet'!$B$11,Paramètres!$A$1:$I$89,3,0)*0.475*44/12</f>
        <v>3.6097567948622906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13.552589742013707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212.00000000000009</v>
      </c>
      <c r="BZ178" s="13">
        <f>BY178*VLOOKUP('Données projet'!$B$12,Paramètres!$A$1:$I$89,3,0)*VLOOKUP('Données projet'!$B$12,Paramètres!$A$1:$I$89,5,0)</f>
        <v>221.58240000000012</v>
      </c>
      <c r="CA178" s="13">
        <f t="shared" si="170"/>
        <v>54.458668952651578</v>
      </c>
      <c r="CB178" s="20">
        <f t="shared" si="171"/>
        <v>480.77152842586838</v>
      </c>
      <c r="CC178" s="59">
        <f t="shared" si="119"/>
        <v>774.10486175920164</v>
      </c>
      <c r="CD178" s="59">
        <f ca="1">AVERAGE(OFFSET($CC$3,0,0,'Données projet'!$E$12+1,1))-AVERAGE(OFFSET($H$3,0,0,'Données projet'!$E$12+1,1))</f>
        <v>352.22281362023102</v>
      </c>
      <c r="CE178" s="59">
        <f t="shared" si="148"/>
        <v>310.2353747925161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4.0458949572283469</v>
      </c>
      <c r="CL178" s="21">
        <f>EXP(-LN(2)/25)*CL177+(1-EXP(-LN(2)/25))/(LN(2)/25)*Calculateur!CG178*Calculateur!CI178*VLOOKUP('Données projet'!$B$12,Paramètres!$A$1:$I$89,3,0)*0.475*44/12</f>
        <v>2.0918243710034261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6.137719328231773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-4.5474735088646412E-13</v>
      </c>
      <c r="CU178" s="17">
        <f>CT178*VLOOKUP('Données projet'!$B$13,Paramètres!$A$1:$I$89,3,0)*VLOOKUP('Données projet'!$B$13,Paramètres!$A$1:$I$89,5,0)</f>
        <v>-4.1145540308207271E-13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345.49688858037996</v>
      </c>
      <c r="CZ178" s="59">
        <f t="shared" si="150"/>
        <v>213.15872113755023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107.72186757222158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107.72186757222158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-4.5474735088646412E-13</v>
      </c>
      <c r="DP178" s="17">
        <f>DO178*VLOOKUP('Données projet'!$B$14,Paramètres!$A$1:$I$89,3,0)*VLOOKUP('Données projet'!$B$14,Paramètres!$A$1:$I$89,5,0)</f>
        <v>-4.6111381379887462E-13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382.26108489744581</v>
      </c>
      <c r="DU178" s="59">
        <f t="shared" si="152"/>
        <v>233.89423996158826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120.72278262404146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120.72278262404146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-2.4158453015843406E-13</v>
      </c>
      <c r="EK178" s="17">
        <f>EJ178*VLOOKUP('Données projet'!$B$15,Paramètres!$A$1:$I$89,3,0)*VLOOKUP('Données projet'!$B$15,Paramètres!$A$1:$I$89,5,0)</f>
        <v>-2.0351080820546486E-13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312.48716825299158</v>
      </c>
      <c r="EP178" s="59">
        <f t="shared" si="154"/>
        <v>258.68277822755357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41.112176126123401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41.112176126123401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-4.5474735088646412E-13</v>
      </c>
      <c r="FF178" s="17">
        <f>FE178*VLOOKUP('Données projet'!$B$16,Paramètres!$A$1:$I$89,3,0)*VLOOKUP('Données projet'!$B$16,Paramètres!$A$1:$I$89,5,0)</f>
        <v>-4.8949004849418999E-13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403.23110963096246</v>
      </c>
      <c r="FK178" s="59">
        <f t="shared" si="156"/>
        <v>245.72000393124898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128.15187693936701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128.15187693936701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-4.5474735088646412E-13</v>
      </c>
      <c r="GA178" s="17">
        <f>FZ178*VLOOKUP('Données projet'!$B$17,Paramètres!$A$1:$I$89,3,0)*VLOOKUP('Données projet'!$B$17,Paramètres!$A$1:$I$89,5,0)</f>
        <v>-4.3983163777738812E-13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336.2911850338175</v>
      </c>
      <c r="GF178" s="59">
        <f t="shared" si="158"/>
        <v>225.01415116995503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115.15096188754718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115.15096188754718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-4.5474735088646412E-13</v>
      </c>
      <c r="GV178" s="17">
        <f>GU178*VLOOKUP('Données projet'!$B$18,Paramètres!$A$1:$I$89,3,0)*VLOOKUP('Données projet'!$B$18,Paramètres!$A$1:$I$89,5,0)</f>
        <v>-3.0504452297464016E-13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266.37807768393191</v>
      </c>
      <c r="HA178" s="59">
        <f t="shared" si="160"/>
        <v>168.52019826233425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98.435499678064545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190"/>
        <v>98.435499678064545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266.99999999999983</v>
      </c>
      <c r="O179" s="13">
        <f>N179*VLOOKUP('Données projet'!$B$9,Paramètres!$A$1:$I$89,3,0)*VLOOKUP('Données projet'!$B$9,Paramètres!$A$1:$I$89,5,0)</f>
        <v>233.2511999999999</v>
      </c>
      <c r="P179" s="13">
        <f t="shared" si="141"/>
        <v>56.985091661350864</v>
      </c>
      <c r="Q179" s="20">
        <f t="shared" si="162"/>
        <v>505.49487464351915</v>
      </c>
      <c r="R179" s="59">
        <f t="shared" si="109"/>
        <v>798.82820797685247</v>
      </c>
      <c r="S179" s="59">
        <f ca="1">AVERAGE(OFFSET($R$3,0,0,'Données projet'!$E$9+1,1))-AVERAGE(OFFSET($H$3,0,0,'Données projet'!$E$9+1,1))</f>
        <v>324.86930206492627</v>
      </c>
      <c r="T179" s="59">
        <f t="shared" si="142"/>
        <v>317.03005098025352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4.7227742328653513</v>
      </c>
      <c r="AA179" s="21">
        <f>EXP(-LN(2)/25)*AA178+(1-EXP(-LN(2)/25))/(LN(2)/25)*Calculateur!V179*Calculateur!X179*VLOOKUP('Données projet'!$B$9,Paramètres!$A$1:$I$89,3,0)*0.475*44/12</f>
        <v>0.63863301971173436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5.3614072525770853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5.4092197387944907E-13</v>
      </c>
      <c r="AK179" s="13">
        <f t="shared" si="164"/>
        <v>6.6765148417791561E-12</v>
      </c>
      <c r="AL179" s="20">
        <f t="shared" si="165"/>
        <v>1.2570369120605403E-11</v>
      </c>
      <c r="AM179" s="59">
        <f t="shared" si="113"/>
        <v>293.33333333334588</v>
      </c>
      <c r="AN179" s="59">
        <f ca="1">AVERAGE(OFFSET($AM$3,0,0,'Données projet'!$E$10+1,1))-AVERAGE(OFFSET($H$3,0,0,'Données projet'!$E$10+1,1))</f>
        <v>401.81944956556271</v>
      </c>
      <c r="AO179" s="59">
        <f t="shared" si="144"/>
        <v>292.20785523952651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73.760418389804215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73.760418389804215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1.7053025658242404E-13</v>
      </c>
      <c r="BE179" s="13">
        <f>BD179*VLOOKUP('Données projet'!$B$11,Paramètres!$A$1:$I$89,3,0)*VLOOKUP('Données projet'!$B$11,Paramètres!$A$1:$I$89,5,0)</f>
        <v>1.3301360013429075E-13</v>
      </c>
      <c r="BF179" s="13">
        <f t="shared" si="167"/>
        <v>1.9329766731057041E-12</v>
      </c>
      <c r="BG179" s="20">
        <f t="shared" si="168"/>
        <v>3.5982663925596575E-12</v>
      </c>
      <c r="BH179" s="59">
        <f t="shared" si="116"/>
        <v>293.3333333333369</v>
      </c>
      <c r="BI179" s="59">
        <f ca="1">AVERAGE(OFFSET($BH$3,0,0,'Données projet'!$E$11+1,1))-AVERAGE(OFFSET($H$3,0,0,'Données projet'!$E$11+1,1))</f>
        <v>288.80569134263209</v>
      </c>
      <c r="BJ179" s="59">
        <f t="shared" si="146"/>
        <v>283.48738729114024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9.7478600575870527</v>
      </c>
      <c r="BQ179" s="21">
        <f>EXP(-LN(2)/25)*BQ178+(1-EXP(-LN(2)/25))/(LN(2)/25)*Calculateur!BL179*Calculateur!BN179*VLOOKUP('Données projet'!$B$11,Paramètres!$A$1:$I$89,3,0)*0.475*44/12</f>
        <v>3.5110478054779217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13.258907863064975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212.00000000000009</v>
      </c>
      <c r="BZ179" s="13">
        <f>BY179*VLOOKUP('Données projet'!$B$12,Paramètres!$A$1:$I$89,3,0)*VLOOKUP('Données projet'!$B$12,Paramètres!$A$1:$I$89,5,0)</f>
        <v>221.58240000000012</v>
      </c>
      <c r="CA179" s="13">
        <f t="shared" si="170"/>
        <v>54.458668952651578</v>
      </c>
      <c r="CB179" s="20">
        <f t="shared" si="171"/>
        <v>480.77152842586838</v>
      </c>
      <c r="CC179" s="59">
        <f t="shared" si="119"/>
        <v>774.10486175920164</v>
      </c>
      <c r="CD179" s="59">
        <f ca="1">AVERAGE(OFFSET($CC$3,0,0,'Données projet'!$E$12+1,1))-AVERAGE(OFFSET($H$3,0,0,'Données projet'!$E$12+1,1))</f>
        <v>352.22281362023102</v>
      </c>
      <c r="CE179" s="59">
        <f t="shared" si="148"/>
        <v>310.2353747925161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3.9665574248693525</v>
      </c>
      <c r="CL179" s="21">
        <f>EXP(-LN(2)/25)*CL178+(1-EXP(-LN(2)/25))/(LN(2)/25)*Calculateur!CG179*Calculateur!CI179*VLOOKUP('Données projet'!$B$12,Paramètres!$A$1:$I$89,3,0)*0.475*44/12</f>
        <v>2.0346233235740745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6.001180748443427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-4.5474735088646412E-13</v>
      </c>
      <c r="CU179" s="17">
        <f>CT179*VLOOKUP('Données projet'!$B$13,Paramètres!$A$1:$I$89,3,0)*VLOOKUP('Données projet'!$B$13,Paramètres!$A$1:$I$89,5,0)</f>
        <v>-4.1145540308207271E-13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345.49688858037996</v>
      </c>
      <c r="CZ179" s="59">
        <f t="shared" si="150"/>
        <v>213.15872113755023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105.60950745298182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105.60950745298182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-4.5474735088646412E-13</v>
      </c>
      <c r="DP179" s="17">
        <f>DO179*VLOOKUP('Données projet'!$B$14,Paramètres!$A$1:$I$89,3,0)*VLOOKUP('Données projet'!$B$14,Paramètres!$A$1:$I$89,5,0)</f>
        <v>-4.6111381379887462E-13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382.26108489744581</v>
      </c>
      <c r="DU179" s="59">
        <f t="shared" si="152"/>
        <v>233.89423996158826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118.35548249041069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118.35548249041069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-2.4158453015843406E-13</v>
      </c>
      <c r="EK179" s="17">
        <f>EJ179*VLOOKUP('Données projet'!$B$15,Paramètres!$A$1:$I$89,3,0)*VLOOKUP('Données projet'!$B$15,Paramètres!$A$1:$I$89,5,0)</f>
        <v>-2.0351080820546486E-13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312.48716825299158</v>
      </c>
      <c r="EP179" s="59">
        <f t="shared" si="154"/>
        <v>258.68277822755357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40.305991428241512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40.305991428241512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-4.5474735088646412E-13</v>
      </c>
      <c r="FF179" s="17">
        <f>FE179*VLOOKUP('Données projet'!$B$16,Paramètres!$A$1:$I$89,3,0)*VLOOKUP('Données projet'!$B$16,Paramètres!$A$1:$I$89,5,0)</f>
        <v>-4.8949004849418999E-13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403.23110963096246</v>
      </c>
      <c r="FK179" s="59">
        <f t="shared" si="156"/>
        <v>245.72000393124898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125.63889679751281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125.63889679751281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-4.5474735088646412E-13</v>
      </c>
      <c r="GA179" s="17">
        <f>FZ179*VLOOKUP('Données projet'!$B$17,Paramètres!$A$1:$I$89,3,0)*VLOOKUP('Données projet'!$B$17,Paramètres!$A$1:$I$89,5,0)</f>
        <v>-4.3983163777738812E-13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336.2911850338175</v>
      </c>
      <c r="GF179" s="59">
        <f t="shared" si="158"/>
        <v>225.01415116995503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112.89292176008399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112.89292176008399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-4.5474735088646412E-13</v>
      </c>
      <c r="GV179" s="17">
        <f>GU179*VLOOKUP('Données projet'!$B$18,Paramètres!$A$1:$I$89,3,0)*VLOOKUP('Données projet'!$B$18,Paramètres!$A$1:$I$89,5,0)</f>
        <v>-3.0504452297464016E-13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266.37807768393191</v>
      </c>
      <c r="HA179" s="59">
        <f t="shared" si="160"/>
        <v>168.52019826233425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96.505239569104077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190"/>
        <v>96.505239569104077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266.99999999999983</v>
      </c>
      <c r="O180" s="13">
        <f>N180*VLOOKUP('Données projet'!$B$9,Paramètres!$A$1:$I$89,3,0)*VLOOKUP('Données projet'!$B$9,Paramètres!$A$1:$I$89,5,0)</f>
        <v>233.2511999999999</v>
      </c>
      <c r="P180" s="13">
        <f t="shared" si="141"/>
        <v>56.985091661350864</v>
      </c>
      <c r="Q180" s="20">
        <f t="shared" si="162"/>
        <v>505.49487464351915</v>
      </c>
      <c r="R180" s="59">
        <f t="shared" si="109"/>
        <v>798.82820797685247</v>
      </c>
      <c r="S180" s="59">
        <f ca="1">AVERAGE(OFFSET($R$3,0,0,'Données projet'!$E$9+1,1))-AVERAGE(OFFSET($H$3,0,0,'Données projet'!$E$9+1,1))</f>
        <v>324.86930206492627</v>
      </c>
      <c r="T180" s="59">
        <f t="shared" si="142"/>
        <v>317.03005098025352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4.6301635107667076</v>
      </c>
      <c r="AA180" s="21">
        <f>EXP(-LN(2)/25)*AA179+(1-EXP(-LN(2)/25))/(LN(2)/25)*Calculateur!V180*Calculateur!X180*VLOOKUP('Données projet'!$B$9,Paramètres!$A$1:$I$89,3,0)*0.475*44/12</f>
        <v>0.62116956620346608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5.251333076970174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5.4092197387944907E-13</v>
      </c>
      <c r="AK180" s="13">
        <f t="shared" si="164"/>
        <v>6.6765148417791561E-12</v>
      </c>
      <c r="AL180" s="20">
        <f t="shared" si="165"/>
        <v>1.2570369120605403E-11</v>
      </c>
      <c r="AM180" s="59">
        <f t="shared" si="113"/>
        <v>293.33333333334588</v>
      </c>
      <c r="AN180" s="59">
        <f ca="1">AVERAGE(OFFSET($AM$3,0,0,'Données projet'!$E$10+1,1))-AVERAGE(OFFSET($H$3,0,0,'Données projet'!$E$10+1,1))</f>
        <v>401.81944956556271</v>
      </c>
      <c r="AO180" s="59">
        <f t="shared" si="144"/>
        <v>292.20785523952651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72.314021574593042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72.314021574593042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1.7053025658242404E-13</v>
      </c>
      <c r="BE180" s="13">
        <f>BD180*VLOOKUP('Données projet'!$B$11,Paramètres!$A$1:$I$89,3,0)*VLOOKUP('Données projet'!$B$11,Paramètres!$A$1:$I$89,5,0)</f>
        <v>1.3301360013429075E-13</v>
      </c>
      <c r="BF180" s="13">
        <f t="shared" si="167"/>
        <v>1.9329766731057041E-12</v>
      </c>
      <c r="BG180" s="20">
        <f t="shared" si="168"/>
        <v>3.5982663925596575E-12</v>
      </c>
      <c r="BH180" s="59">
        <f t="shared" si="116"/>
        <v>293.3333333333369</v>
      </c>
      <c r="BI180" s="59">
        <f ca="1">AVERAGE(OFFSET($BH$3,0,0,'Données projet'!$E$11+1,1))-AVERAGE(OFFSET($H$3,0,0,'Données projet'!$E$11+1,1))</f>
        <v>288.80569134263209</v>
      </c>
      <c r="BJ180" s="59">
        <f t="shared" si="146"/>
        <v>283.48738729114024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9.5567104674653258</v>
      </c>
      <c r="BQ180" s="21">
        <f>EXP(-LN(2)/25)*BQ179+(1-EXP(-LN(2)/25))/(LN(2)/25)*Calculateur!BL180*Calculateur!BN180*VLOOKUP('Données projet'!$B$11,Paramètres!$A$1:$I$89,3,0)*0.475*44/12</f>
        <v>3.4150380185991485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12.971748486064474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212.00000000000009</v>
      </c>
      <c r="BZ180" s="13">
        <f>BY180*VLOOKUP('Données projet'!$B$12,Paramètres!$A$1:$I$89,3,0)*VLOOKUP('Données projet'!$B$12,Paramètres!$A$1:$I$89,5,0)</f>
        <v>221.58240000000012</v>
      </c>
      <c r="CA180" s="13">
        <f t="shared" si="170"/>
        <v>54.458668952651578</v>
      </c>
      <c r="CB180" s="20">
        <f t="shared" si="171"/>
        <v>480.77152842586838</v>
      </c>
      <c r="CC180" s="59">
        <f t="shared" si="119"/>
        <v>774.10486175920164</v>
      </c>
      <c r="CD180" s="59">
        <f ca="1">AVERAGE(OFFSET($CC$3,0,0,'Données projet'!$E$12+1,1))-AVERAGE(OFFSET($H$3,0,0,'Données projet'!$E$12+1,1))</f>
        <v>352.22281362023102</v>
      </c>
      <c r="CE180" s="59">
        <f t="shared" si="148"/>
        <v>310.2353747925161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3.8887756531288016</v>
      </c>
      <c r="CL180" s="21">
        <f>EXP(-LN(2)/25)*CL179+(1-EXP(-LN(2)/25))/(LN(2)/25)*Calculateur!CG180*Calculateur!CI180*VLOOKUP('Données projet'!$B$12,Paramètres!$A$1:$I$89,3,0)*0.475*44/12</f>
        <v>1.9789864417947511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5.8677620949235525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-4.5474735088646412E-13</v>
      </c>
      <c r="CU180" s="17">
        <f>CT180*VLOOKUP('Données projet'!$B$13,Paramètres!$A$1:$I$89,3,0)*VLOOKUP('Données projet'!$B$13,Paramètres!$A$1:$I$89,5,0)</f>
        <v>-4.1145540308207271E-13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345.49688858037996</v>
      </c>
      <c r="CZ180" s="59">
        <f t="shared" si="150"/>
        <v>213.15872113755023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103.53856942726789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103.53856942726789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-4.5474735088646412E-13</v>
      </c>
      <c r="DP180" s="17">
        <f>DO180*VLOOKUP('Données projet'!$B$14,Paramètres!$A$1:$I$89,3,0)*VLOOKUP('Données projet'!$B$14,Paramètres!$A$1:$I$89,5,0)</f>
        <v>-4.6111381379887462E-13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382.26108489744581</v>
      </c>
      <c r="DU180" s="59">
        <f t="shared" si="152"/>
        <v>233.89423996158826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116.03460366848992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116.03460366848992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-2.4158453015843406E-13</v>
      </c>
      <c r="EK180" s="17">
        <f>EJ180*VLOOKUP('Données projet'!$B$15,Paramètres!$A$1:$I$89,3,0)*VLOOKUP('Données projet'!$B$15,Paramètres!$A$1:$I$89,5,0)</f>
        <v>-2.0351080820546486E-13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312.48716825299158</v>
      </c>
      <c r="EP180" s="59">
        <f t="shared" si="154"/>
        <v>258.68277822755357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39.515615520560978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39.515615520560978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-4.5474735088646412E-13</v>
      </c>
      <c r="FF180" s="17">
        <f>FE180*VLOOKUP('Données projet'!$B$16,Paramètres!$A$1:$I$89,3,0)*VLOOKUP('Données projet'!$B$16,Paramètres!$A$1:$I$89,5,0)</f>
        <v>-4.8949004849418999E-13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403.23110963096246</v>
      </c>
      <c r="FK180" s="59">
        <f t="shared" si="156"/>
        <v>245.72000393124898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123.17519466347383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123.17519466347383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-4.5474735088646412E-13</v>
      </c>
      <c r="GA180" s="17">
        <f>FZ180*VLOOKUP('Données projet'!$B$17,Paramètres!$A$1:$I$89,3,0)*VLOOKUP('Données projet'!$B$17,Paramètres!$A$1:$I$89,5,0)</f>
        <v>-4.3983163777738812E-13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336.2911850338175</v>
      </c>
      <c r="GF180" s="59">
        <f t="shared" si="158"/>
        <v>225.01415116995503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110.67916042225187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110.67916042225187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-4.5474735088646412E-13</v>
      </c>
      <c r="GV180" s="17">
        <f>GU180*VLOOKUP('Données projet'!$B$18,Paramètres!$A$1:$I$89,3,0)*VLOOKUP('Données projet'!$B$18,Paramètres!$A$1:$I$89,5,0)</f>
        <v>-3.0504452297464016E-13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266.37807768393191</v>
      </c>
      <c r="HA180" s="59">
        <f t="shared" si="160"/>
        <v>168.52019826233425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94.612830683537908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190"/>
        <v>94.612830683537908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266.99999999999983</v>
      </c>
      <c r="O181" s="13">
        <f>N181*VLOOKUP('Données projet'!$B$9,Paramètres!$A$1:$I$89,3,0)*VLOOKUP('Données projet'!$B$9,Paramètres!$A$1:$I$89,5,0)</f>
        <v>233.2511999999999</v>
      </c>
      <c r="P181" s="13">
        <f t="shared" si="141"/>
        <v>56.985091661350864</v>
      </c>
      <c r="Q181" s="20">
        <f t="shared" si="162"/>
        <v>505.49487464351915</v>
      </c>
      <c r="R181" s="59">
        <f t="shared" si="109"/>
        <v>798.82820797685247</v>
      </c>
      <c r="S181" s="59">
        <f ca="1">AVERAGE(OFFSET($R$3,0,0,'Données projet'!$E$9+1,1))-AVERAGE(OFFSET($H$3,0,0,'Données projet'!$E$9+1,1))</f>
        <v>324.86930206492627</v>
      </c>
      <c r="T181" s="59">
        <f t="shared" si="142"/>
        <v>317.03005098025352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4.5393688284414555</v>
      </c>
      <c r="AA181" s="21">
        <f>EXP(-LN(2)/25)*AA180+(1-EXP(-LN(2)/25))/(LN(2)/25)*Calculateur!V181*Calculateur!X181*VLOOKUP('Données projet'!$B$9,Paramètres!$A$1:$I$89,3,0)*0.475*44/12</f>
        <v>0.60418365174974453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5.1435524801912003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5.4092197387944907E-13</v>
      </c>
      <c r="AK181" s="13">
        <f t="shared" si="164"/>
        <v>6.6765148417791561E-12</v>
      </c>
      <c r="AL181" s="20">
        <f t="shared" si="165"/>
        <v>1.2570369120605403E-11</v>
      </c>
      <c r="AM181" s="59">
        <f t="shared" si="113"/>
        <v>293.33333333334588</v>
      </c>
      <c r="AN181" s="59">
        <f ca="1">AVERAGE(OFFSET($AM$3,0,0,'Données projet'!$E$10+1,1))-AVERAGE(OFFSET($H$3,0,0,'Données projet'!$E$10+1,1))</f>
        <v>401.81944956556271</v>
      </c>
      <c r="AO181" s="59">
        <f t="shared" si="144"/>
        <v>292.20785523952651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70.895987718713215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70.895987718713215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1.7053025658242404E-13</v>
      </c>
      <c r="BE181" s="13">
        <f>BD181*VLOOKUP('Données projet'!$B$11,Paramètres!$A$1:$I$89,3,0)*VLOOKUP('Données projet'!$B$11,Paramètres!$A$1:$I$89,5,0)</f>
        <v>1.3301360013429075E-13</v>
      </c>
      <c r="BF181" s="13">
        <f t="shared" si="167"/>
        <v>1.9329766731057041E-12</v>
      </c>
      <c r="BG181" s="20">
        <f t="shared" si="168"/>
        <v>3.5982663925596575E-12</v>
      </c>
      <c r="BH181" s="59">
        <f t="shared" si="116"/>
        <v>293.3333333333369</v>
      </c>
      <c r="BI181" s="59">
        <f ca="1">AVERAGE(OFFSET($BH$3,0,0,'Données projet'!$E$11+1,1))-AVERAGE(OFFSET($H$3,0,0,'Données projet'!$E$11+1,1))</f>
        <v>288.80569134263209</v>
      </c>
      <c r="BJ181" s="59">
        <f t="shared" si="146"/>
        <v>283.48738729114024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9.3693092042161474</v>
      </c>
      <c r="BQ181" s="21">
        <f>EXP(-LN(2)/25)*BQ180+(1-EXP(-LN(2)/25))/(LN(2)/25)*Calculateur!BL181*Calculateur!BN181*VLOOKUP('Données projet'!$B$11,Paramètres!$A$1:$I$89,3,0)*0.475*44/12</f>
        <v>3.3216536243915105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12.690962828607658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212.00000000000009</v>
      </c>
      <c r="BZ181" s="13">
        <f>BY181*VLOOKUP('Données projet'!$B$12,Paramètres!$A$1:$I$89,3,0)*VLOOKUP('Données projet'!$B$12,Paramètres!$A$1:$I$89,5,0)</f>
        <v>221.58240000000012</v>
      </c>
      <c r="CA181" s="13">
        <f t="shared" si="170"/>
        <v>54.458668952651578</v>
      </c>
      <c r="CB181" s="20">
        <f t="shared" si="171"/>
        <v>480.77152842586838</v>
      </c>
      <c r="CC181" s="59">
        <f t="shared" si="119"/>
        <v>774.10486175920164</v>
      </c>
      <c r="CD181" s="59">
        <f ca="1">AVERAGE(OFFSET($CC$3,0,0,'Données projet'!$E$12+1,1))-AVERAGE(OFFSET($H$3,0,0,'Données projet'!$E$12+1,1))</f>
        <v>352.22281362023102</v>
      </c>
      <c r="CE181" s="59">
        <f t="shared" si="148"/>
        <v>310.2353747925161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3.8125191344898868</v>
      </c>
      <c r="CL181" s="21">
        <f>EXP(-LN(2)/25)*CL180+(1-EXP(-LN(2)/25))/(LN(2)/25)*Calculateur!CG181*Calculateur!CI181*VLOOKUP('Données projet'!$B$12,Paramètres!$A$1:$I$89,3,0)*0.475*44/12</f>
        <v>1.9248709534734998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5.7373900879633863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-4.5474735088646412E-13</v>
      </c>
      <c r="CU181" s="17">
        <f>CT181*VLOOKUP('Données projet'!$B$13,Paramètres!$A$1:$I$89,3,0)*VLOOKUP('Données projet'!$B$13,Paramètres!$A$1:$I$89,5,0)</f>
        <v>-4.1145540308207271E-13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345.49688858037996</v>
      </c>
      <c r="CZ181" s="59">
        <f t="shared" si="150"/>
        <v>213.15872113755023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101.50824123309074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101.50824123309074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-4.5474735088646412E-13</v>
      </c>
      <c r="DP181" s="17">
        <f>DO181*VLOOKUP('Données projet'!$B$14,Paramètres!$A$1:$I$89,3,0)*VLOOKUP('Données projet'!$B$14,Paramètres!$A$1:$I$89,5,0)</f>
        <v>-4.6111381379887462E-13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382.26108489744581</v>
      </c>
      <c r="DU181" s="59">
        <f t="shared" si="152"/>
        <v>233.89423996158826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113.75923586467071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113.75923586467071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-2.4158453015843406E-13</v>
      </c>
      <c r="EK181" s="17">
        <f>EJ181*VLOOKUP('Données projet'!$B$15,Paramètres!$A$1:$I$89,3,0)*VLOOKUP('Données projet'!$B$15,Paramètres!$A$1:$I$89,5,0)</f>
        <v>-2.0351080820546486E-13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312.48716825299158</v>
      </c>
      <c r="EP181" s="59">
        <f t="shared" si="154"/>
        <v>258.68277822755357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38.740738402348356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38.740738402348356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-4.5474735088646412E-13</v>
      </c>
      <c r="FF181" s="17">
        <f>FE181*VLOOKUP('Données projet'!$B$16,Paramètres!$A$1:$I$89,3,0)*VLOOKUP('Données projet'!$B$16,Paramètres!$A$1:$I$89,5,0)</f>
        <v>-4.8949004849418999E-13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403.23110963096246</v>
      </c>
      <c r="FK181" s="59">
        <f t="shared" si="156"/>
        <v>245.72000393124898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120.75980422557343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120.75980422557343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-4.5474735088646412E-13</v>
      </c>
      <c r="GA181" s="17">
        <f>FZ181*VLOOKUP('Données projet'!$B$17,Paramètres!$A$1:$I$89,3,0)*VLOOKUP('Données projet'!$B$17,Paramètres!$A$1:$I$89,5,0)</f>
        <v>-4.3983163777738812E-13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336.2911850338175</v>
      </c>
      <c r="GF181" s="59">
        <f t="shared" si="158"/>
        <v>225.01415116995503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108.50880959399355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108.50880959399355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-4.5474735088646412E-13</v>
      </c>
      <c r="GV181" s="17">
        <f>GU181*VLOOKUP('Données projet'!$B$18,Paramètres!$A$1:$I$89,3,0)*VLOOKUP('Données projet'!$B$18,Paramètres!$A$1:$I$89,5,0)</f>
        <v>-3.0504452297464016E-13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266.37807768393191</v>
      </c>
      <c r="HA181" s="59">
        <f t="shared" si="160"/>
        <v>168.52019826233425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92.757530781962245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190"/>
        <v>92.757530781962245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266.99999999999983</v>
      </c>
      <c r="O182" s="13">
        <f>N182*VLOOKUP('Données projet'!$B$9,Paramètres!$A$1:$I$89,3,0)*VLOOKUP('Données projet'!$B$9,Paramètres!$A$1:$I$89,5,0)</f>
        <v>233.2511999999999</v>
      </c>
      <c r="P182" s="13">
        <f t="shared" si="141"/>
        <v>56.985091661350864</v>
      </c>
      <c r="Q182" s="20">
        <f t="shared" si="162"/>
        <v>505.49487464351915</v>
      </c>
      <c r="R182" s="59">
        <f t="shared" si="109"/>
        <v>798.82820797685247</v>
      </c>
      <c r="S182" s="59">
        <f ca="1">AVERAGE(OFFSET($R$3,0,0,'Données projet'!$E$9+1,1))-AVERAGE(OFFSET($H$3,0,0,'Données projet'!$E$9+1,1))</f>
        <v>324.86930206492627</v>
      </c>
      <c r="T182" s="59">
        <f t="shared" si="142"/>
        <v>317.03005098025352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4.4503545744573136</v>
      </c>
      <c r="AA182" s="21">
        <f>EXP(-LN(2)/25)*AA181+(1-EXP(-LN(2)/25))/(LN(2)/25)*Calculateur!V182*Calculateur!X182*VLOOKUP('Données projet'!$B$9,Paramètres!$A$1:$I$89,3,0)*0.475*44/12</f>
        <v>0.5876622180200104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5.0380167924773236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5.4092197387944907E-13</v>
      </c>
      <c r="AK182" s="13">
        <f t="shared" si="164"/>
        <v>6.6765148417791561E-12</v>
      </c>
      <c r="AL182" s="20">
        <f t="shared" si="165"/>
        <v>1.2570369120605403E-11</v>
      </c>
      <c r="AM182" s="59">
        <f t="shared" si="113"/>
        <v>293.33333333334588</v>
      </c>
      <c r="AN182" s="59">
        <f ca="1">AVERAGE(OFFSET($AM$3,0,0,'Données projet'!$E$10+1,1))-AVERAGE(OFFSET($H$3,0,0,'Données projet'!$E$10+1,1))</f>
        <v>401.81944956556271</v>
      </c>
      <c r="AO182" s="59">
        <f t="shared" si="144"/>
        <v>292.20785523952651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69.505760641831941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69.505760641831941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1.7053025658242404E-13</v>
      </c>
      <c r="BE182" s="13">
        <f>BD182*VLOOKUP('Données projet'!$B$11,Paramètres!$A$1:$I$89,3,0)*VLOOKUP('Données projet'!$B$11,Paramètres!$A$1:$I$89,5,0)</f>
        <v>1.3301360013429075E-13</v>
      </c>
      <c r="BF182" s="13">
        <f t="shared" si="167"/>
        <v>1.9329766731057041E-12</v>
      </c>
      <c r="BG182" s="20">
        <f t="shared" si="168"/>
        <v>3.5982663925596575E-12</v>
      </c>
      <c r="BH182" s="59">
        <f t="shared" si="116"/>
        <v>293.3333333333369</v>
      </c>
      <c r="BI182" s="59">
        <f ca="1">AVERAGE(OFFSET($BH$3,0,0,'Données projet'!$E$11+1,1))-AVERAGE(OFFSET($H$3,0,0,'Données projet'!$E$11+1,1))</f>
        <v>288.80569134263209</v>
      </c>
      <c r="BJ182" s="59">
        <f t="shared" si="146"/>
        <v>283.48738729114024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9.185582765435802</v>
      </c>
      <c r="BQ182" s="21">
        <f>EXP(-LN(2)/25)*BQ181+(1-EXP(-LN(2)/25))/(LN(2)/25)*Calculateur!BL182*Calculateur!BN182*VLOOKUP('Données projet'!$B$11,Paramètres!$A$1:$I$89,3,0)*0.475*44/12</f>
        <v>3.2308228313543523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12.416405596790154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212.00000000000009</v>
      </c>
      <c r="BZ182" s="13">
        <f>BY182*VLOOKUP('Données projet'!$B$12,Paramètres!$A$1:$I$89,3,0)*VLOOKUP('Données projet'!$B$12,Paramètres!$A$1:$I$89,5,0)</f>
        <v>221.58240000000012</v>
      </c>
      <c r="CA182" s="13">
        <f t="shared" si="170"/>
        <v>54.458668952651578</v>
      </c>
      <c r="CB182" s="20">
        <f t="shared" si="171"/>
        <v>480.77152842586838</v>
      </c>
      <c r="CC182" s="59">
        <f t="shared" si="119"/>
        <v>774.10486175920164</v>
      </c>
      <c r="CD182" s="59">
        <f ca="1">AVERAGE(OFFSET($CC$3,0,0,'Données projet'!$E$12+1,1))-AVERAGE(OFFSET($H$3,0,0,'Données projet'!$E$12+1,1))</f>
        <v>352.22281362023102</v>
      </c>
      <c r="CE182" s="59">
        <f t="shared" si="148"/>
        <v>310.2353747925161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3.7377579596695973</v>
      </c>
      <c r="CL182" s="21">
        <f>EXP(-LN(2)/25)*CL181+(1-EXP(-LN(2)/25))/(LN(2)/25)*Calculateur!CG182*Calculateur!CI182*VLOOKUP('Données projet'!$B$12,Paramètres!$A$1:$I$89,3,0)*0.475*44/12</f>
        <v>1.8722352560262028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5.6099932156958001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-4.5474735088646412E-13</v>
      </c>
      <c r="CU182" s="17">
        <f>CT182*VLOOKUP('Données projet'!$B$13,Paramètres!$A$1:$I$89,3,0)*VLOOKUP('Données projet'!$B$13,Paramètres!$A$1:$I$89,5,0)</f>
        <v>-4.1145540308207271E-13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345.49688858037996</v>
      </c>
      <c r="CZ182" s="59">
        <f t="shared" si="150"/>
        <v>213.15872113755023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99.517726536423496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99.517726536423496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-4.5474735088646412E-13</v>
      </c>
      <c r="DP182" s="17">
        <f>DO182*VLOOKUP('Données projet'!$B$14,Paramètres!$A$1:$I$89,3,0)*VLOOKUP('Données projet'!$B$14,Paramètres!$A$1:$I$89,5,0)</f>
        <v>-4.6111381379887462E-13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382.26108489744581</v>
      </c>
      <c r="DU182" s="59">
        <f t="shared" si="152"/>
        <v>233.89423996158826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111.52848663564707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111.52848663564707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-2.4158453015843406E-13</v>
      </c>
      <c r="EK182" s="17">
        <f>EJ182*VLOOKUP('Données projet'!$B$15,Paramètres!$A$1:$I$89,3,0)*VLOOKUP('Données projet'!$B$15,Paramètres!$A$1:$I$89,5,0)</f>
        <v>-2.0351080820546486E-13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312.48716825299158</v>
      </c>
      <c r="EP182" s="59">
        <f t="shared" si="154"/>
        <v>258.68277822755357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37.981056151795507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37.981056151795507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-4.5474735088646412E-13</v>
      </c>
      <c r="FF182" s="17">
        <f>FE182*VLOOKUP('Données projet'!$B$16,Paramètres!$A$1:$I$89,3,0)*VLOOKUP('Données projet'!$B$16,Paramètres!$A$1:$I$89,5,0)</f>
        <v>-4.8949004849418999E-13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403.23110963096246</v>
      </c>
      <c r="FK182" s="59">
        <f t="shared" si="156"/>
        <v>245.72000393124898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118.39177812091756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118.39177812091756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-4.5474735088646412E-13</v>
      </c>
      <c r="GA182" s="17">
        <f>FZ182*VLOOKUP('Données projet'!$B$17,Paramètres!$A$1:$I$89,3,0)*VLOOKUP('Données projet'!$B$17,Paramètres!$A$1:$I$89,5,0)</f>
        <v>-4.3983163777738812E-13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336.2911850338175</v>
      </c>
      <c r="GF182" s="59">
        <f t="shared" si="158"/>
        <v>225.01415116995503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106.38101802169408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106.38101802169408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-4.5474735088646412E-13</v>
      </c>
      <c r="GV182" s="17">
        <f>GU182*VLOOKUP('Données projet'!$B$18,Paramètres!$A$1:$I$89,3,0)*VLOOKUP('Données projet'!$B$18,Paramètres!$A$1:$I$89,5,0)</f>
        <v>-3.0504452297464016E-13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266.37807768393191</v>
      </c>
      <c r="HA182" s="59">
        <f t="shared" si="160"/>
        <v>168.52019826233425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90.938612179835275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190"/>
        <v>90.938612179835275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266.99999999999983</v>
      </c>
      <c r="O183" s="13">
        <f>N183*VLOOKUP('Données projet'!$B$9,Paramètres!$A$1:$I$89,3,0)*VLOOKUP('Données projet'!$B$9,Paramètres!$A$1:$I$89,5,0)</f>
        <v>233.2511999999999</v>
      </c>
      <c r="P183" s="13">
        <f t="shared" si="141"/>
        <v>56.985091661350864</v>
      </c>
      <c r="Q183" s="20">
        <f t="shared" si="162"/>
        <v>505.49487464351915</v>
      </c>
      <c r="R183" s="59">
        <f t="shared" si="109"/>
        <v>798.82820797685247</v>
      </c>
      <c r="S183" s="59">
        <f ca="1">AVERAGE(OFFSET($R$3,0,0,'Données projet'!$E$9+1,1))-AVERAGE(OFFSET($H$3,0,0,'Données projet'!$E$9+1,1))</f>
        <v>324.86930206492627</v>
      </c>
      <c r="T183" s="59">
        <f t="shared" si="142"/>
        <v>317.03005098025352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4.3630858357004669</v>
      </c>
      <c r="AA183" s="21">
        <f>EXP(-LN(2)/25)*AA182+(1-EXP(-LN(2)/25))/(LN(2)/25)*Calculateur!V183*Calculateur!X183*VLOOKUP('Données projet'!$B$9,Paramètres!$A$1:$I$89,3,0)*0.475*44/12</f>
        <v>0.57159256376444023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4.9346783994649073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5.4092197387944907E-13</v>
      </c>
      <c r="AK183" s="13">
        <f t="shared" si="164"/>
        <v>6.6765148417791561E-12</v>
      </c>
      <c r="AL183" s="20">
        <f t="shared" si="165"/>
        <v>1.2570369120605403E-11</v>
      </c>
      <c r="AM183" s="59">
        <f t="shared" si="113"/>
        <v>293.33333333334588</v>
      </c>
      <c r="AN183" s="59">
        <f ca="1">AVERAGE(OFFSET($AM$3,0,0,'Données projet'!$E$10+1,1))-AVERAGE(OFFSET($H$3,0,0,'Données projet'!$E$10+1,1))</f>
        <v>401.81944956556271</v>
      </c>
      <c r="AO183" s="59">
        <f t="shared" si="144"/>
        <v>292.20785523952651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68.142795069973516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68.142795069973516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1.7053025658242404E-13</v>
      </c>
      <c r="BE183" s="13">
        <f>BD183*VLOOKUP('Données projet'!$B$11,Paramètres!$A$1:$I$89,3,0)*VLOOKUP('Données projet'!$B$11,Paramètres!$A$1:$I$89,5,0)</f>
        <v>1.3301360013429075E-13</v>
      </c>
      <c r="BF183" s="13">
        <f t="shared" si="167"/>
        <v>1.9329766731057041E-12</v>
      </c>
      <c r="BG183" s="20">
        <f t="shared" si="168"/>
        <v>3.5982663925596575E-12</v>
      </c>
      <c r="BH183" s="59">
        <f t="shared" si="116"/>
        <v>293.3333333333369</v>
      </c>
      <c r="BI183" s="59">
        <f ca="1">AVERAGE(OFFSET($BH$3,0,0,'Données projet'!$E$11+1,1))-AVERAGE(OFFSET($H$3,0,0,'Données projet'!$E$11+1,1))</f>
        <v>288.80569134263209</v>
      </c>
      <c r="BJ183" s="59">
        <f t="shared" si="146"/>
        <v>283.48738729114024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9.0054590900578777</v>
      </c>
      <c r="BQ183" s="21">
        <f>EXP(-LN(2)/25)*BQ182+(1-EXP(-LN(2)/25))/(LN(2)/25)*Calculateur!BL183*Calculateur!BN183*VLOOKUP('Données projet'!$B$11,Paramètres!$A$1:$I$89,3,0)*0.475*44/12</f>
        <v>3.1424758111293789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12.147934901187256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212.00000000000009</v>
      </c>
      <c r="BZ183" s="13">
        <f>BY183*VLOOKUP('Données projet'!$B$12,Paramètres!$A$1:$I$89,3,0)*VLOOKUP('Données projet'!$B$12,Paramètres!$A$1:$I$89,5,0)</f>
        <v>221.58240000000012</v>
      </c>
      <c r="CA183" s="13">
        <f t="shared" si="170"/>
        <v>54.458668952651578</v>
      </c>
      <c r="CB183" s="20">
        <f t="shared" si="171"/>
        <v>480.77152842586838</v>
      </c>
      <c r="CC183" s="59">
        <f t="shared" si="119"/>
        <v>774.10486175920164</v>
      </c>
      <c r="CD183" s="59">
        <f ca="1">AVERAGE(OFFSET($CC$3,0,0,'Données projet'!$E$12+1,1))-AVERAGE(OFFSET($H$3,0,0,'Données projet'!$E$12+1,1))</f>
        <v>352.22281362023102</v>
      </c>
      <c r="CE183" s="59">
        <f t="shared" si="148"/>
        <v>310.2353747925161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3.6644628058877196</v>
      </c>
      <c r="CL183" s="21">
        <f>EXP(-LN(2)/25)*CL182+(1-EXP(-LN(2)/25))/(LN(2)/25)*Calculateur!CG183*Calculateur!CI183*VLOOKUP('Données projet'!$B$12,Paramètres!$A$1:$I$89,3,0)*0.475*44/12</f>
        <v>1.8210388844935932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5.4855016903813123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-4.5474735088646412E-13</v>
      </c>
      <c r="CU183" s="17">
        <f>CT183*VLOOKUP('Données projet'!$B$13,Paramètres!$A$1:$I$89,3,0)*VLOOKUP('Données projet'!$B$13,Paramètres!$A$1:$I$89,5,0)</f>
        <v>-4.1145540308207271E-13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345.49688858037996</v>
      </c>
      <c r="CZ183" s="59">
        <f t="shared" si="150"/>
        <v>213.15872113755023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97.566244618863806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97.566244618863806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-4.5474735088646412E-13</v>
      </c>
      <c r="DP183" s="17">
        <f>DO183*VLOOKUP('Données projet'!$B$14,Paramètres!$A$1:$I$89,3,0)*VLOOKUP('Données projet'!$B$14,Paramètres!$A$1:$I$89,5,0)</f>
        <v>-4.6111381379887462E-13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382.26108489744581</v>
      </c>
      <c r="DU183" s="59">
        <f t="shared" si="152"/>
        <v>233.89423996158826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109.3414810383819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109.3414810383819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-2.4158453015843406E-13</v>
      </c>
      <c r="EK183" s="17">
        <f>EJ183*VLOOKUP('Données projet'!$B$15,Paramètres!$A$1:$I$89,3,0)*VLOOKUP('Données projet'!$B$15,Paramètres!$A$1:$I$89,5,0)</f>
        <v>-2.0351080820546486E-13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312.48716825299158</v>
      </c>
      <c r="EP183" s="59">
        <f t="shared" si="154"/>
        <v>258.68277822755357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37.236270806815583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37.236270806815583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-4.5474735088646412E-13</v>
      </c>
      <c r="FF183" s="17">
        <f>FE183*VLOOKUP('Données projet'!$B$16,Paramètres!$A$1:$I$89,3,0)*VLOOKUP('Données projet'!$B$16,Paramètres!$A$1:$I$89,5,0)</f>
        <v>-4.8949004849418999E-13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403.23110963096246</v>
      </c>
      <c r="FK183" s="59">
        <f t="shared" si="156"/>
        <v>245.72000393124898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116.0701875638207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116.0701875638207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-4.5474735088646412E-13</v>
      </c>
      <c r="GA183" s="17">
        <f>FZ183*VLOOKUP('Données projet'!$B$17,Paramètres!$A$1:$I$89,3,0)*VLOOKUP('Données projet'!$B$17,Paramètres!$A$1:$I$89,5,0)</f>
        <v>-4.3983163777738812E-13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336.2911850338175</v>
      </c>
      <c r="GF183" s="59">
        <f t="shared" si="158"/>
        <v>225.01415116995503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104.29495114430269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104.29495114430269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-4.5474735088646412E-13</v>
      </c>
      <c r="GV183" s="17">
        <f>GU183*VLOOKUP('Données projet'!$B$18,Paramètres!$A$1:$I$89,3,0)*VLOOKUP('Données projet'!$B$18,Paramètres!$A$1:$I$89,5,0)</f>
        <v>-3.0504452297464016E-13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266.37807768393191</v>
      </c>
      <c r="HA183" s="59">
        <f t="shared" si="160"/>
        <v>168.52019826233425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89.155361462065216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190"/>
        <v>89.155361462065216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266.99999999999983</v>
      </c>
      <c r="O184" s="13">
        <f>N184*VLOOKUP('Données projet'!$B$9,Paramètres!$A$1:$I$89,3,0)*VLOOKUP('Données projet'!$B$9,Paramètres!$A$1:$I$89,5,0)</f>
        <v>233.2511999999999</v>
      </c>
      <c r="P184" s="13">
        <f t="shared" si="141"/>
        <v>56.985091661350864</v>
      </c>
      <c r="Q184" s="20">
        <f t="shared" si="162"/>
        <v>505.49487464351915</v>
      </c>
      <c r="R184" s="59">
        <f t="shared" si="109"/>
        <v>798.82820797685247</v>
      </c>
      <c r="S184" s="59">
        <f ca="1">AVERAGE(OFFSET($R$3,0,0,'Données projet'!$E$9+1,1))-AVERAGE(OFFSET($H$3,0,0,'Données projet'!$E$9+1,1))</f>
        <v>324.86930206492627</v>
      </c>
      <c r="T184" s="59">
        <f t="shared" si="142"/>
        <v>317.03005098025352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4.2775283836819673</v>
      </c>
      <c r="AA184" s="21">
        <f>EXP(-LN(2)/25)*AA183+(1-EXP(-LN(2)/25))/(LN(2)/25)*Calculateur!V184*Calculateur!X184*VLOOKUP('Données projet'!$B$9,Paramètres!$A$1:$I$89,3,0)*0.475*44/12</f>
        <v>0.55596233504955506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4.8334907187315226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5.4092197387944907E-13</v>
      </c>
      <c r="AK184" s="13">
        <f t="shared" si="164"/>
        <v>6.6765148417791561E-12</v>
      </c>
      <c r="AL184" s="20">
        <f t="shared" si="165"/>
        <v>1.2570369120605403E-11</v>
      </c>
      <c r="AM184" s="59">
        <f t="shared" si="113"/>
        <v>293.33333333334588</v>
      </c>
      <c r="AN184" s="59">
        <f ca="1">AVERAGE(OFFSET($AM$3,0,0,'Données projet'!$E$10+1,1))-AVERAGE(OFFSET($H$3,0,0,'Données projet'!$E$10+1,1))</f>
        <v>401.81944956556271</v>
      </c>
      <c r="AO184" s="59">
        <f t="shared" si="144"/>
        <v>292.20785523952651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66.806556421652317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66.806556421652317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1.7053025658242404E-13</v>
      </c>
      <c r="BE184" s="13">
        <f>BD184*VLOOKUP('Données projet'!$B$11,Paramètres!$A$1:$I$89,3,0)*VLOOKUP('Données projet'!$B$11,Paramètres!$A$1:$I$89,5,0)</f>
        <v>1.3301360013429075E-13</v>
      </c>
      <c r="BF184" s="13">
        <f t="shared" si="167"/>
        <v>1.9329766731057041E-12</v>
      </c>
      <c r="BG184" s="20">
        <f t="shared" si="168"/>
        <v>3.5982663925596575E-12</v>
      </c>
      <c r="BH184" s="59">
        <f t="shared" si="116"/>
        <v>293.3333333333369</v>
      </c>
      <c r="BI184" s="59">
        <f ca="1">AVERAGE(OFFSET($BH$3,0,0,'Données projet'!$E$11+1,1))-AVERAGE(OFFSET($H$3,0,0,'Données projet'!$E$11+1,1))</f>
        <v>288.80569134263209</v>
      </c>
      <c r="BJ184" s="59">
        <f t="shared" si="146"/>
        <v>283.48738729114024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8.8288675300895196</v>
      </c>
      <c r="BQ184" s="21">
        <f>EXP(-LN(2)/25)*BQ183+(1-EXP(-LN(2)/25))/(LN(2)/25)*Calculateur!BL184*Calculateur!BN184*VLOOKUP('Données projet'!$B$11,Paramètres!$A$1:$I$89,3,0)*0.475*44/12</f>
        <v>3.0565446448184255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11.885412174907945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212.00000000000009</v>
      </c>
      <c r="BZ184" s="13">
        <f>BY184*VLOOKUP('Données projet'!$B$12,Paramètres!$A$1:$I$89,3,0)*VLOOKUP('Données projet'!$B$12,Paramètres!$A$1:$I$89,5,0)</f>
        <v>221.58240000000012</v>
      </c>
      <c r="CA184" s="13">
        <f t="shared" si="170"/>
        <v>54.458668952651578</v>
      </c>
      <c r="CB184" s="20">
        <f t="shared" si="171"/>
        <v>480.77152842586838</v>
      </c>
      <c r="CC184" s="59">
        <f t="shared" si="119"/>
        <v>774.10486175920164</v>
      </c>
      <c r="CD184" s="59">
        <f ca="1">AVERAGE(OFFSET($CC$3,0,0,'Données projet'!$E$12+1,1))-AVERAGE(OFFSET($H$3,0,0,'Données projet'!$E$12+1,1))</f>
        <v>352.22281362023102</v>
      </c>
      <c r="CE184" s="59">
        <f t="shared" si="148"/>
        <v>310.2353747925161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3.5926049253658752</v>
      </c>
      <c r="CL184" s="21">
        <f>EXP(-LN(2)/25)*CL183+(1-EXP(-LN(2)/25))/(LN(2)/25)*Calculateur!CG184*Calculateur!CI184*VLOOKUP('Données projet'!$B$12,Paramètres!$A$1:$I$89,3,0)*0.475*44/12</f>
        <v>1.771242480432843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5.363847405798718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-4.5474735088646412E-13</v>
      </c>
      <c r="CU184" s="17">
        <f>CT184*VLOOKUP('Données projet'!$B$13,Paramètres!$A$1:$I$89,3,0)*VLOOKUP('Données projet'!$B$13,Paramètres!$A$1:$I$89,5,0)</f>
        <v>-4.1145540308207271E-13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345.49688858037996</v>
      </c>
      <c r="CZ184" s="59">
        <f t="shared" si="150"/>
        <v>213.15872113755023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95.653030071421028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95.653030071421028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-4.5474735088646412E-13</v>
      </c>
      <c r="DP184" s="17">
        <f>DO184*VLOOKUP('Données projet'!$B$14,Paramètres!$A$1:$I$89,3,0)*VLOOKUP('Données projet'!$B$14,Paramètres!$A$1:$I$89,5,0)</f>
        <v>-4.6111381379887462E-13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382.26108489744581</v>
      </c>
      <c r="DU184" s="59">
        <f t="shared" si="152"/>
        <v>233.89423996158826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107.19736128693741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107.19736128693741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-2.4158453015843406E-13</v>
      </c>
      <c r="EK184" s="17">
        <f>EJ184*VLOOKUP('Données projet'!$B$15,Paramètres!$A$1:$I$89,3,0)*VLOOKUP('Données projet'!$B$15,Paramètres!$A$1:$I$89,5,0)</f>
        <v>-2.0351080820546486E-13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312.48716825299158</v>
      </c>
      <c r="EP184" s="59">
        <f t="shared" si="154"/>
        <v>258.68277822755357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36.506090248176505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36.506090248176505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-4.5474735088646412E-13</v>
      </c>
      <c r="FF184" s="17">
        <f>FE184*VLOOKUP('Données projet'!$B$16,Paramètres!$A$1:$I$89,3,0)*VLOOKUP('Données projet'!$B$16,Paramètres!$A$1:$I$89,5,0)</f>
        <v>-4.8949004849418999E-13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403.23110963096246</v>
      </c>
      <c r="FK184" s="59">
        <f t="shared" si="156"/>
        <v>245.72000393124898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113.79412198151807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113.79412198151807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-4.5474735088646412E-13</v>
      </c>
      <c r="GA184" s="17">
        <f>FZ184*VLOOKUP('Données projet'!$B$17,Paramètres!$A$1:$I$89,3,0)*VLOOKUP('Données projet'!$B$17,Paramètres!$A$1:$I$89,5,0)</f>
        <v>-4.3983163777738812E-13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336.2911850338175</v>
      </c>
      <c r="GF184" s="59">
        <f t="shared" si="158"/>
        <v>225.01415116995503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102.24979076600178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102.24979076600178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-4.5474735088646412E-13</v>
      </c>
      <c r="GV184" s="17">
        <f>GU184*VLOOKUP('Données projet'!$B$18,Paramètres!$A$1:$I$89,3,0)*VLOOKUP('Données projet'!$B$18,Paramètres!$A$1:$I$89,5,0)</f>
        <v>-3.0504452297464016E-13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266.37807768393191</v>
      </c>
      <c r="HA184" s="59">
        <f t="shared" si="160"/>
        <v>168.52019826233425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87.407079203195082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190"/>
        <v>87.407079203195082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266.99999999999983</v>
      </c>
      <c r="O185" s="13">
        <f>N185*VLOOKUP('Données projet'!$B$9,Paramètres!$A$1:$I$89,3,0)*VLOOKUP('Données projet'!$B$9,Paramètres!$A$1:$I$89,5,0)</f>
        <v>233.2511999999999</v>
      </c>
      <c r="P185" s="13">
        <f t="shared" si="141"/>
        <v>56.985091661350864</v>
      </c>
      <c r="Q185" s="20">
        <f t="shared" si="162"/>
        <v>505.49487464351915</v>
      </c>
      <c r="R185" s="59">
        <f t="shared" si="109"/>
        <v>798.82820797685247</v>
      </c>
      <c r="S185" s="59">
        <f ca="1">AVERAGE(OFFSET($R$3,0,0,'Données projet'!$E$9+1,1))-AVERAGE(OFFSET($H$3,0,0,'Données projet'!$E$9+1,1))</f>
        <v>324.86930206492627</v>
      </c>
      <c r="T185" s="59">
        <f t="shared" si="142"/>
        <v>317.03005098025352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4.1936486611126575</v>
      </c>
      <c r="AA185" s="21">
        <f>EXP(-LN(2)/25)*AA184+(1-EXP(-LN(2)/25))/(LN(2)/25)*Calculateur!V185*Calculateur!X185*VLOOKUP('Données projet'!$B$9,Paramètres!$A$1:$I$89,3,0)*0.475*44/12</f>
        <v>0.54075951576083647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4.7344081768734938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5.4092197387944907E-13</v>
      </c>
      <c r="AK185" s="13">
        <f t="shared" si="164"/>
        <v>6.6765148417791561E-12</v>
      </c>
      <c r="AL185" s="20">
        <f t="shared" si="165"/>
        <v>1.2570369120605403E-11</v>
      </c>
      <c r="AM185" s="59">
        <f t="shared" si="113"/>
        <v>293.33333333334588</v>
      </c>
      <c r="AN185" s="59">
        <f ca="1">AVERAGE(OFFSET($AM$3,0,0,'Données projet'!$E$10+1,1))-AVERAGE(OFFSET($H$3,0,0,'Données projet'!$E$10+1,1))</f>
        <v>401.81944956556271</v>
      </c>
      <c r="AO185" s="59">
        <f t="shared" si="144"/>
        <v>292.20785523952651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65.496520598199609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65.496520598199609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1.7053025658242404E-13</v>
      </c>
      <c r="BE185" s="13">
        <f>BD185*VLOOKUP('Données projet'!$B$11,Paramètres!$A$1:$I$89,3,0)*VLOOKUP('Données projet'!$B$11,Paramètres!$A$1:$I$89,5,0)</f>
        <v>1.3301360013429075E-13</v>
      </c>
      <c r="BF185" s="13">
        <f t="shared" si="167"/>
        <v>1.9329766731057041E-12</v>
      </c>
      <c r="BG185" s="20">
        <f t="shared" si="168"/>
        <v>3.5982663925596575E-12</v>
      </c>
      <c r="BH185" s="59">
        <f t="shared" si="116"/>
        <v>293.3333333333369</v>
      </c>
      <c r="BI185" s="59">
        <f ca="1">AVERAGE(OFFSET($BH$3,0,0,'Données projet'!$E$11+1,1))-AVERAGE(OFFSET($H$3,0,0,'Données projet'!$E$11+1,1))</f>
        <v>288.80569134263209</v>
      </c>
      <c r="BJ185" s="59">
        <f t="shared" si="146"/>
        <v>283.48738729114024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8.6557388229019256</v>
      </c>
      <c r="BQ185" s="21">
        <f>EXP(-LN(2)/25)*BQ184+(1-EXP(-LN(2)/25))/(LN(2)/25)*Calculateur!BL185*Calculateur!BN185*VLOOKUP('Données projet'!$B$11,Paramètres!$A$1:$I$89,3,0)*0.475*44/12</f>
        <v>2.9729632707691684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11.628702093671095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212.00000000000009</v>
      </c>
      <c r="BZ185" s="13">
        <f>BY185*VLOOKUP('Données projet'!$B$12,Paramètres!$A$1:$I$89,3,0)*VLOOKUP('Données projet'!$B$12,Paramètres!$A$1:$I$89,5,0)</f>
        <v>221.58240000000012</v>
      </c>
      <c r="CA185" s="13">
        <f t="shared" si="170"/>
        <v>54.458668952651578</v>
      </c>
      <c r="CB185" s="20">
        <f t="shared" si="171"/>
        <v>480.77152842586838</v>
      </c>
      <c r="CC185" s="59">
        <f t="shared" si="119"/>
        <v>774.10486175920164</v>
      </c>
      <c r="CD185" s="59">
        <f ca="1">AVERAGE(OFFSET($CC$3,0,0,'Données projet'!$E$12+1,1))-AVERAGE(OFFSET($H$3,0,0,'Données projet'!$E$12+1,1))</f>
        <v>352.22281362023102</v>
      </c>
      <c r="CE185" s="59">
        <f t="shared" si="148"/>
        <v>310.2353747925161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3.5221561340520848</v>
      </c>
      <c r="CL185" s="21">
        <f>EXP(-LN(2)/25)*CL184+(1-EXP(-LN(2)/25))/(LN(2)/25)*Calculateur!CG185*Calculateur!CI185*VLOOKUP('Données projet'!$B$12,Paramètres!$A$1:$I$89,3,0)*0.475*44/12</f>
        <v>1.7228077616598132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5.2449638957118978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-4.5474735088646412E-13</v>
      </c>
      <c r="CU185" s="17">
        <f>CT185*VLOOKUP('Données projet'!$B$13,Paramètres!$A$1:$I$89,3,0)*VLOOKUP('Données projet'!$B$13,Paramètres!$A$1:$I$89,5,0)</f>
        <v>-4.1145540308207271E-13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345.49688858037996</v>
      </c>
      <c r="CZ185" s="59">
        <f t="shared" si="150"/>
        <v>213.15872113755023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93.777332494307956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93.777332494307956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-4.5474735088646412E-13</v>
      </c>
      <c r="DP185" s="17">
        <f>DO185*VLOOKUP('Données projet'!$B$14,Paramètres!$A$1:$I$89,3,0)*VLOOKUP('Données projet'!$B$14,Paramètres!$A$1:$I$89,5,0)</f>
        <v>-4.6111381379887462E-13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382.26108489744581</v>
      </c>
      <c r="DU185" s="59">
        <f t="shared" si="152"/>
        <v>233.89423996158826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105.09528641603482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105.09528641603482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-2.4158453015843406E-13</v>
      </c>
      <c r="EK185" s="17">
        <f>EJ185*VLOOKUP('Données projet'!$B$15,Paramètres!$A$1:$I$89,3,0)*VLOOKUP('Données projet'!$B$15,Paramètres!$A$1:$I$89,5,0)</f>
        <v>-2.0351080820546486E-13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312.48716825299158</v>
      </c>
      <c r="EP185" s="59">
        <f t="shared" si="154"/>
        <v>258.68277822755357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35.790228084926177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35.790228084926177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-4.5474735088646412E-13</v>
      </c>
      <c r="FF185" s="17">
        <f>FE185*VLOOKUP('Données projet'!$B$16,Paramètres!$A$1:$I$89,3,0)*VLOOKUP('Données projet'!$B$16,Paramètres!$A$1:$I$89,5,0)</f>
        <v>-4.8949004849418999E-13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403.23110963096246</v>
      </c>
      <c r="FK185" s="59">
        <f t="shared" si="156"/>
        <v>245.72000393124898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111.56268865702148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111.56268865702148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-4.5474735088646412E-13</v>
      </c>
      <c r="GA185" s="17">
        <f>FZ185*VLOOKUP('Données projet'!$B$17,Paramètres!$A$1:$I$89,3,0)*VLOOKUP('Données projet'!$B$17,Paramètres!$A$1:$I$89,5,0)</f>
        <v>-4.3983163777738812E-13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336.2911850338175</v>
      </c>
      <c r="GF185" s="59">
        <f t="shared" si="158"/>
        <v>225.01415116995503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100.2447347352947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100.2447347352947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-4.5474735088646412E-13</v>
      </c>
      <c r="GV185" s="17">
        <f>GU185*VLOOKUP('Données projet'!$B$18,Paramètres!$A$1:$I$89,3,0)*VLOOKUP('Données projet'!$B$18,Paramètres!$A$1:$I$89,5,0)</f>
        <v>-3.0504452297464016E-13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266.37807768393191</v>
      </c>
      <c r="HA185" s="59">
        <f t="shared" si="160"/>
        <v>168.52019826233425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85.693079693074509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190"/>
        <v>85.693079693074509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266.99999999999983</v>
      </c>
      <c r="O186" s="13">
        <f>N186*VLOOKUP('Données projet'!$B$9,Paramètres!$A$1:$I$89,3,0)*VLOOKUP('Données projet'!$B$9,Paramètres!$A$1:$I$89,5,0)</f>
        <v>233.2511999999999</v>
      </c>
      <c r="P186" s="13">
        <f t="shared" si="141"/>
        <v>56.985091661350864</v>
      </c>
      <c r="Q186" s="20">
        <f t="shared" si="162"/>
        <v>505.49487464351915</v>
      </c>
      <c r="R186" s="59">
        <f t="shared" si="109"/>
        <v>798.82820797685247</v>
      </c>
      <c r="S186" s="59">
        <f ca="1">AVERAGE(OFFSET($R$3,0,0,'Données projet'!$E$9+1,1))-AVERAGE(OFFSET($H$3,0,0,'Données projet'!$E$9+1,1))</f>
        <v>324.86930206492627</v>
      </c>
      <c r="T186" s="59">
        <f t="shared" si="142"/>
        <v>317.03005098025352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4.111413768741353</v>
      </c>
      <c r="AA186" s="21">
        <f>EXP(-LN(2)/25)*AA185+(1-EXP(-LN(2)/25))/(LN(2)/25)*Calculateur!V186*Calculateur!X186*VLOOKUP('Données projet'!$B$9,Paramètres!$A$1:$I$89,3,0)*0.475*44/12</f>
        <v>0.52597241836504938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4.6373861871064026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5.4092197387944907E-13</v>
      </c>
      <c r="AK186" s="13">
        <f t="shared" si="164"/>
        <v>6.6765148417791561E-12</v>
      </c>
      <c r="AL186" s="20">
        <f t="shared" si="165"/>
        <v>1.2570369120605403E-11</v>
      </c>
      <c r="AM186" s="59">
        <f t="shared" si="113"/>
        <v>293.33333333334588</v>
      </c>
      <c r="AN186" s="59">
        <f ca="1">AVERAGE(OFFSET($AM$3,0,0,'Données projet'!$E$10+1,1))-AVERAGE(OFFSET($H$3,0,0,'Données projet'!$E$10+1,1))</f>
        <v>401.81944956556271</v>
      </c>
      <c r="AO186" s="59">
        <f t="shared" si="144"/>
        <v>292.20785523952651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64.212173778201844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64.212173778201844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1.7053025658242404E-13</v>
      </c>
      <c r="BE186" s="13">
        <f>BD186*VLOOKUP('Données projet'!$B$11,Paramètres!$A$1:$I$89,3,0)*VLOOKUP('Données projet'!$B$11,Paramètres!$A$1:$I$89,5,0)</f>
        <v>1.3301360013429075E-13</v>
      </c>
      <c r="BF186" s="13">
        <f t="shared" si="167"/>
        <v>1.9329766731057041E-12</v>
      </c>
      <c r="BG186" s="20">
        <f t="shared" si="168"/>
        <v>3.5982663925596575E-12</v>
      </c>
      <c r="BH186" s="59">
        <f t="shared" si="116"/>
        <v>293.3333333333369</v>
      </c>
      <c r="BI186" s="59">
        <f ca="1">AVERAGE(OFFSET($BH$3,0,0,'Données projet'!$E$11+1,1))-AVERAGE(OFFSET($H$3,0,0,'Données projet'!$E$11+1,1))</f>
        <v>288.80569134263209</v>
      </c>
      <c r="BJ186" s="59">
        <f t="shared" si="146"/>
        <v>283.48738729114024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8.4860050640641962</v>
      </c>
      <c r="BQ186" s="21">
        <f>EXP(-LN(2)/25)*BQ185+(1-EXP(-LN(2)/25))/(LN(2)/25)*Calculateur!BL186*Calculateur!BN186*VLOOKUP('Données projet'!$B$11,Paramètres!$A$1:$I$89,3,0)*0.475*44/12</f>
        <v>2.8916674337886419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11.377672497852839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212.00000000000009</v>
      </c>
      <c r="BZ186" s="13">
        <f>BY186*VLOOKUP('Données projet'!$B$12,Paramètres!$A$1:$I$89,3,0)*VLOOKUP('Données projet'!$B$12,Paramètres!$A$1:$I$89,5,0)</f>
        <v>221.58240000000012</v>
      </c>
      <c r="CA186" s="13">
        <f t="shared" si="170"/>
        <v>54.458668952651578</v>
      </c>
      <c r="CB186" s="20">
        <f t="shared" si="171"/>
        <v>480.77152842586838</v>
      </c>
      <c r="CC186" s="59">
        <f t="shared" si="119"/>
        <v>774.10486175920164</v>
      </c>
      <c r="CD186" s="59">
        <f ca="1">AVERAGE(OFFSET($CC$3,0,0,'Données projet'!$E$12+1,1))-AVERAGE(OFFSET($H$3,0,0,'Données projet'!$E$12+1,1))</f>
        <v>352.22281362023102</v>
      </c>
      <c r="CE186" s="59">
        <f t="shared" si="148"/>
        <v>310.2353747925161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3.4530888005664377</v>
      </c>
      <c r="CL186" s="21">
        <f>EXP(-LN(2)/25)*CL185+(1-EXP(-LN(2)/25))/(LN(2)/25)*Calculateur!CG186*Calculateur!CI186*VLOOKUP('Données projet'!$B$12,Paramètres!$A$1:$I$89,3,0)*0.475*44/12</f>
        <v>1.6756974928187029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5.1287862933851409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-4.5474735088646412E-13</v>
      </c>
      <c r="CU186" s="17">
        <f>CT186*VLOOKUP('Données projet'!$B$13,Paramètres!$A$1:$I$89,3,0)*VLOOKUP('Données projet'!$B$13,Paramètres!$A$1:$I$89,5,0)</f>
        <v>-4.1145540308207271E-13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345.49688858037996</v>
      </c>
      <c r="CZ186" s="59">
        <f t="shared" si="150"/>
        <v>213.15872113755023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91.938416202619507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91.938416202619507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-4.5474735088646412E-13</v>
      </c>
      <c r="DP186" s="17">
        <f>DO186*VLOOKUP('Données projet'!$B$14,Paramètres!$A$1:$I$89,3,0)*VLOOKUP('Données projet'!$B$14,Paramètres!$A$1:$I$89,5,0)</f>
        <v>-4.6111381379887462E-13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382.26108489744581</v>
      </c>
      <c r="DU186" s="59">
        <f t="shared" si="152"/>
        <v>233.89423996158826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103.03443195121157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103.03443195121157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-2.4158453015843406E-13</v>
      </c>
      <c r="EK186" s="17">
        <f>EJ186*VLOOKUP('Données projet'!$B$15,Paramètres!$A$1:$I$89,3,0)*VLOOKUP('Données projet'!$B$15,Paramètres!$A$1:$I$89,5,0)</f>
        <v>-2.0351080820546486E-13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312.48716825299158</v>
      </c>
      <c r="EP186" s="59">
        <f t="shared" si="154"/>
        <v>258.68277822755357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35.088403542064384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35.088403542064384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-4.5474735088646412E-13</v>
      </c>
      <c r="FF186" s="17">
        <f>FE186*VLOOKUP('Données projet'!$B$16,Paramètres!$A$1:$I$89,3,0)*VLOOKUP('Données projet'!$B$16,Paramètres!$A$1:$I$89,5,0)</f>
        <v>-4.8949004849418999E-13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403.23110963096246</v>
      </c>
      <c r="FK186" s="59">
        <f t="shared" si="156"/>
        <v>245.72000393124898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109.37501237897834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109.37501237897834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-4.5474735088646412E-13</v>
      </c>
      <c r="GA186" s="17">
        <f>FZ186*VLOOKUP('Données projet'!$B$17,Paramètres!$A$1:$I$89,3,0)*VLOOKUP('Données projet'!$B$17,Paramètres!$A$1:$I$89,5,0)</f>
        <v>-4.3983163777738812E-13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336.2911850338175</v>
      </c>
      <c r="GF186" s="59">
        <f t="shared" si="158"/>
        <v>225.01415116995503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98.278996630386359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98.278996630386359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-4.5474735088646412E-13</v>
      </c>
      <c r="GV186" s="17">
        <f>GU186*VLOOKUP('Données projet'!$B$18,Paramètres!$A$1:$I$89,3,0)*VLOOKUP('Données projet'!$B$18,Paramètres!$A$1:$I$89,5,0)</f>
        <v>-3.0504452297464016E-13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266.37807768393191</v>
      </c>
      <c r="HA186" s="59">
        <f t="shared" si="160"/>
        <v>168.52019826233425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84.012690667910931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190"/>
        <v>84.012690667910931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266.99999999999983</v>
      </c>
      <c r="O187" s="13">
        <f>N187*VLOOKUP('Données projet'!$B$9,Paramètres!$A$1:$I$89,3,0)*VLOOKUP('Données projet'!$B$9,Paramètres!$A$1:$I$89,5,0)</f>
        <v>233.2511999999999</v>
      </c>
      <c r="P187" s="13">
        <f t="shared" si="141"/>
        <v>56.985091661350864</v>
      </c>
      <c r="Q187" s="20">
        <f t="shared" si="162"/>
        <v>505.49487464351915</v>
      </c>
      <c r="R187" s="59">
        <f t="shared" si="109"/>
        <v>798.82820797685247</v>
      </c>
      <c r="S187" s="59">
        <f ca="1">AVERAGE(OFFSET($R$3,0,0,'Données projet'!$E$9+1,1))-AVERAGE(OFFSET($H$3,0,0,'Données projet'!$E$9+1,1))</f>
        <v>324.86930206492627</v>
      </c>
      <c r="T187" s="59">
        <f t="shared" si="142"/>
        <v>317.03005098025352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4.0307914524511181</v>
      </c>
      <c r="AA187" s="21">
        <f>EXP(-LN(2)/25)*AA186+(1-EXP(-LN(2)/25))/(LN(2)/25)*Calculateur!V187*Calculateur!X187*VLOOKUP('Données projet'!$B$9,Paramètres!$A$1:$I$89,3,0)*0.475*44/12</f>
        <v>0.51158967492516971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4.542381127376288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5.4092197387944907E-13</v>
      </c>
      <c r="AK187" s="13">
        <f t="shared" si="164"/>
        <v>6.6765148417791561E-12</v>
      </c>
      <c r="AL187" s="20">
        <f t="shared" si="165"/>
        <v>1.2570369120605403E-11</v>
      </c>
      <c r="AM187" s="59">
        <f t="shared" si="113"/>
        <v>293.33333333334588</v>
      </c>
      <c r="AN187" s="59">
        <f ca="1">AVERAGE(OFFSET($AM$3,0,0,'Données projet'!$E$10+1,1))-AVERAGE(OFFSET($H$3,0,0,'Données projet'!$E$10+1,1))</f>
        <v>401.81944956556271</v>
      </c>
      <c r="AO187" s="59">
        <f t="shared" si="144"/>
        <v>292.20785523952651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62.953012215970034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62.953012215970034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1.7053025658242404E-13</v>
      </c>
      <c r="BE187" s="13">
        <f>BD187*VLOOKUP('Données projet'!$B$11,Paramètres!$A$1:$I$89,3,0)*VLOOKUP('Données projet'!$B$11,Paramètres!$A$1:$I$89,5,0)</f>
        <v>1.3301360013429075E-13</v>
      </c>
      <c r="BF187" s="13">
        <f t="shared" si="167"/>
        <v>1.9329766731057041E-12</v>
      </c>
      <c r="BG187" s="20">
        <f t="shared" si="168"/>
        <v>3.5982663925596575E-12</v>
      </c>
      <c r="BH187" s="59">
        <f t="shared" si="116"/>
        <v>293.3333333333369</v>
      </c>
      <c r="BI187" s="59">
        <f ca="1">AVERAGE(OFFSET($BH$3,0,0,'Données projet'!$E$11+1,1))-AVERAGE(OFFSET($H$3,0,0,'Données projet'!$E$11+1,1))</f>
        <v>288.80569134263209</v>
      </c>
      <c r="BJ187" s="59">
        <f t="shared" si="146"/>
        <v>283.48738729114024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8.3195996807099029</v>
      </c>
      <c r="BQ187" s="21">
        <f>EXP(-LN(2)/25)*BQ186+(1-EXP(-LN(2)/25))/(LN(2)/25)*Calculateur!BL187*Calculateur!BN187*VLOOKUP('Données projet'!$B$11,Paramètres!$A$1:$I$89,3,0)*0.475*44/12</f>
        <v>2.8125946357455103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11.132194316455413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212.00000000000009</v>
      </c>
      <c r="BZ187" s="13">
        <f>BY187*VLOOKUP('Données projet'!$B$12,Paramètres!$A$1:$I$89,3,0)*VLOOKUP('Données projet'!$B$12,Paramètres!$A$1:$I$89,5,0)</f>
        <v>221.58240000000012</v>
      </c>
      <c r="CA187" s="13">
        <f t="shared" si="170"/>
        <v>54.458668952651578</v>
      </c>
      <c r="CB187" s="20">
        <f t="shared" si="171"/>
        <v>480.77152842586838</v>
      </c>
      <c r="CC187" s="59">
        <f t="shared" si="119"/>
        <v>774.10486175920164</v>
      </c>
      <c r="CD187" s="59">
        <f ca="1">AVERAGE(OFFSET($CC$3,0,0,'Données projet'!$E$12+1,1))-AVERAGE(OFFSET($H$3,0,0,'Données projet'!$E$12+1,1))</f>
        <v>352.22281362023102</v>
      </c>
      <c r="CE187" s="59">
        <f t="shared" si="148"/>
        <v>310.2353747925161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3.3853758353635306</v>
      </c>
      <c r="CL187" s="21">
        <f>EXP(-LN(2)/25)*CL186+(1-EXP(-LN(2)/25))/(LN(2)/25)*Calculateur!CG187*Calculateur!CI187*VLOOKUP('Données projet'!$B$12,Paramètres!$A$1:$I$89,3,0)*0.475*44/12</f>
        <v>1.6298754567564742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5.0152512921200048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-4.5474735088646412E-13</v>
      </c>
      <c r="CU187" s="17">
        <f>CT187*VLOOKUP('Données projet'!$B$13,Paramètres!$A$1:$I$89,3,0)*VLOOKUP('Données projet'!$B$13,Paramètres!$A$1:$I$89,5,0)</f>
        <v>-4.1145540308207271E-13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345.49688858037996</v>
      </c>
      <c r="CZ187" s="59">
        <f t="shared" si="150"/>
        <v>213.15872113755023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90.135559937782887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90.135559937782887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-4.5474735088646412E-13</v>
      </c>
      <c r="DP187" s="17">
        <f>DO187*VLOOKUP('Données projet'!$B$14,Paramètres!$A$1:$I$89,3,0)*VLOOKUP('Données projet'!$B$14,Paramètres!$A$1:$I$89,5,0)</f>
        <v>-4.6111381379887462E-13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382.26108489744581</v>
      </c>
      <c r="DU187" s="59">
        <f t="shared" si="152"/>
        <v>233.89423996158826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101.0139895854464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101.0139895854464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-2.4158453015843406E-13</v>
      </c>
      <c r="EK187" s="17">
        <f>EJ187*VLOOKUP('Données projet'!$B$15,Paramètres!$A$1:$I$89,3,0)*VLOOKUP('Données projet'!$B$15,Paramètres!$A$1:$I$89,5,0)</f>
        <v>-2.0351080820546486E-13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312.48716825299158</v>
      </c>
      <c r="EP187" s="59">
        <f t="shared" si="154"/>
        <v>258.68277822755357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34.400341350417406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34.400341350417406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-4.5474735088646412E-13</v>
      </c>
      <c r="FF187" s="17">
        <f>FE187*VLOOKUP('Données projet'!$B$16,Paramètres!$A$1:$I$89,3,0)*VLOOKUP('Données projet'!$B$16,Paramètres!$A$1:$I$89,5,0)</f>
        <v>-4.8949004849418999E-13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403.23110963096246</v>
      </c>
      <c r="FK187" s="59">
        <f t="shared" si="156"/>
        <v>245.72000393124898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107.23023509839685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107.23023509839685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-4.5474735088646412E-13</v>
      </c>
      <c r="GA187" s="17">
        <f>FZ187*VLOOKUP('Données projet'!$B$17,Paramètres!$A$1:$I$89,3,0)*VLOOKUP('Données projet'!$B$17,Paramètres!$A$1:$I$89,5,0)</f>
        <v>-4.3983163777738812E-13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336.2911850338175</v>
      </c>
      <c r="GF187" s="59">
        <f t="shared" si="158"/>
        <v>225.01415116995503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96.351805450733423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96.351805450733423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-4.5474735088646412E-13</v>
      </c>
      <c r="GV187" s="17">
        <f>GU187*VLOOKUP('Données projet'!$B$18,Paramètres!$A$1:$I$89,3,0)*VLOOKUP('Données projet'!$B$18,Paramètres!$A$1:$I$89,5,0)</f>
        <v>-3.0504452297464016E-13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266.37807768393191</v>
      </c>
      <c r="HA187" s="59">
        <f t="shared" si="160"/>
        <v>168.52019826233425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82.365253046594717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190"/>
        <v>82.365253046594717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266.99999999999983</v>
      </c>
      <c r="O188" s="13">
        <f>N188*VLOOKUP('Données projet'!$B$9,Paramètres!$A$1:$I$89,3,0)*VLOOKUP('Données projet'!$B$9,Paramètres!$A$1:$I$89,5,0)</f>
        <v>233.2511999999999</v>
      </c>
      <c r="P188" s="13">
        <f t="shared" si="141"/>
        <v>56.985091661350864</v>
      </c>
      <c r="Q188" s="20">
        <f t="shared" si="162"/>
        <v>505.49487464351915</v>
      </c>
      <c r="R188" s="59">
        <f t="shared" si="109"/>
        <v>798.82820797685247</v>
      </c>
      <c r="S188" s="59">
        <f ca="1">AVERAGE(OFFSET($R$3,0,0,'Données projet'!$E$9+1,1))-AVERAGE(OFFSET($H$3,0,0,'Données projet'!$E$9+1,1))</f>
        <v>324.86930206492627</v>
      </c>
      <c r="T188" s="59">
        <f t="shared" si="142"/>
        <v>317.03005098025352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3.9517500906085772</v>
      </c>
      <c r="AA188" s="21">
        <f>EXP(-LN(2)/25)*AA187+(1-EXP(-LN(2)/25))/(LN(2)/25)*Calculateur!V188*Calculateur!X188*VLOOKUP('Données projet'!$B$9,Paramètres!$A$1:$I$89,3,0)*0.475*44/12</f>
        <v>0.4976002283610092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4.4493503189695867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5.4092197387944907E-13</v>
      </c>
      <c r="AK188" s="13">
        <f t="shared" si="164"/>
        <v>6.6765148417791561E-12</v>
      </c>
      <c r="AL188" s="20">
        <f t="shared" si="165"/>
        <v>1.2570369120605403E-11</v>
      </c>
      <c r="AM188" s="59">
        <f t="shared" si="113"/>
        <v>293.33333333334588</v>
      </c>
      <c r="AN188" s="59">
        <f ca="1">AVERAGE(OFFSET($AM$3,0,0,'Données projet'!$E$10+1,1))-AVERAGE(OFFSET($H$3,0,0,'Données projet'!$E$10+1,1))</f>
        <v>401.81944956556271</v>
      </c>
      <c r="AO188" s="59">
        <f t="shared" si="144"/>
        <v>292.20785523952651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61.718542043960873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61.718542043960873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1.7053025658242404E-13</v>
      </c>
      <c r="BE188" s="13">
        <f>BD188*VLOOKUP('Données projet'!$B$11,Paramètres!$A$1:$I$89,3,0)*VLOOKUP('Données projet'!$B$11,Paramètres!$A$1:$I$89,5,0)</f>
        <v>1.3301360013429075E-13</v>
      </c>
      <c r="BF188" s="13">
        <f t="shared" si="167"/>
        <v>1.9329766731057041E-12</v>
      </c>
      <c r="BG188" s="20">
        <f t="shared" si="168"/>
        <v>3.5982663925596575E-12</v>
      </c>
      <c r="BH188" s="59">
        <f t="shared" si="116"/>
        <v>293.3333333333369</v>
      </c>
      <c r="BI188" s="59">
        <f ca="1">AVERAGE(OFFSET($BH$3,0,0,'Données projet'!$E$11+1,1))-AVERAGE(OFFSET($H$3,0,0,'Données projet'!$E$11+1,1))</f>
        <v>288.80569134263209</v>
      </c>
      <c r="BJ188" s="59">
        <f t="shared" si="146"/>
        <v>283.48738729114024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8.1564574054259253</v>
      </c>
      <c r="BQ188" s="21">
        <f>EXP(-LN(2)/25)*BQ187+(1-EXP(-LN(2)/25))/(LN(2)/25)*Calculateur!BL188*Calculateur!BN188*VLOOKUP('Données projet'!$B$11,Paramètres!$A$1:$I$89,3,0)*0.475*44/12</f>
        <v>2.7356840875231256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10.892141492949051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212.00000000000009</v>
      </c>
      <c r="BZ188" s="13">
        <f>BY188*VLOOKUP('Données projet'!$B$12,Paramètres!$A$1:$I$89,3,0)*VLOOKUP('Données projet'!$B$12,Paramètres!$A$1:$I$89,5,0)</f>
        <v>221.58240000000012</v>
      </c>
      <c r="CA188" s="13">
        <f t="shared" si="170"/>
        <v>54.458668952651578</v>
      </c>
      <c r="CB188" s="20">
        <f t="shared" si="171"/>
        <v>480.77152842586838</v>
      </c>
      <c r="CC188" s="59">
        <f t="shared" si="119"/>
        <v>774.10486175920164</v>
      </c>
      <c r="CD188" s="59">
        <f ca="1">AVERAGE(OFFSET($CC$3,0,0,'Données projet'!$E$12+1,1))-AVERAGE(OFFSET($H$3,0,0,'Données projet'!$E$12+1,1))</f>
        <v>352.22281362023102</v>
      </c>
      <c r="CE188" s="59">
        <f t="shared" si="148"/>
        <v>310.2353747925161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3.3189906801074218</v>
      </c>
      <c r="CL188" s="21">
        <f>EXP(-LN(2)/25)*CL187+(1-EXP(-LN(2)/25))/(LN(2)/25)*Calculateur!CG188*Calculateur!CI188*VLOOKUP('Données projet'!$B$12,Paramètres!$A$1:$I$89,3,0)*0.475*44/12</f>
        <v>1.5853064266800432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4.9042971067874648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-4.5474735088646412E-13</v>
      </c>
      <c r="CU188" s="17">
        <f>CT188*VLOOKUP('Données projet'!$B$13,Paramètres!$A$1:$I$89,3,0)*VLOOKUP('Données projet'!$B$13,Paramètres!$A$1:$I$89,5,0)</f>
        <v>-4.1145540308207271E-13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345.49688858037996</v>
      </c>
      <c r="CZ188" s="59">
        <f t="shared" si="150"/>
        <v>213.15872113755023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88.368056584665979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88.368056584665979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-4.5474735088646412E-13</v>
      </c>
      <c r="DP188" s="17">
        <f>DO188*VLOOKUP('Données projet'!$B$14,Paramètres!$A$1:$I$89,3,0)*VLOOKUP('Données projet'!$B$14,Paramètres!$A$1:$I$89,5,0)</f>
        <v>-4.6111381379887462E-13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382.26108489744581</v>
      </c>
      <c r="DU188" s="59">
        <f t="shared" si="152"/>
        <v>233.89423996158826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99.033166862125711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99.033166862125711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-2.4158453015843406E-13</v>
      </c>
      <c r="EK188" s="17">
        <f>EJ188*VLOOKUP('Données projet'!$B$15,Paramètres!$A$1:$I$89,3,0)*VLOOKUP('Données projet'!$B$15,Paramètres!$A$1:$I$89,5,0)</f>
        <v>-2.0351080820546486E-13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312.48716825299158</v>
      </c>
      <c r="EP188" s="59">
        <f t="shared" si="154"/>
        <v>258.68277822755357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33.725771638672128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33.725771638672128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-4.5474735088646412E-13</v>
      </c>
      <c r="FF188" s="17">
        <f>FE188*VLOOKUP('Données projet'!$B$16,Paramètres!$A$1:$I$89,3,0)*VLOOKUP('Données projet'!$B$16,Paramètres!$A$1:$I$89,5,0)</f>
        <v>-4.8949004849418999E-13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403.23110963096246</v>
      </c>
      <c r="FK188" s="59">
        <f t="shared" si="156"/>
        <v>245.72000393124898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105.12751559210258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105.12751559210258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-4.5474735088646412E-13</v>
      </c>
      <c r="GA188" s="17">
        <f>FZ188*VLOOKUP('Données projet'!$B$17,Paramètres!$A$1:$I$89,3,0)*VLOOKUP('Données projet'!$B$17,Paramètres!$A$1:$I$89,5,0)</f>
        <v>-4.3983163777738812E-13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336.2911850338175</v>
      </c>
      <c r="GF188" s="59">
        <f t="shared" si="158"/>
        <v>225.01415116995503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94.462405314642922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94.462405314642922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-4.5474735088646412E-13</v>
      </c>
      <c r="GV188" s="17">
        <f>GU188*VLOOKUP('Données projet'!$B$18,Paramètres!$A$1:$I$89,3,0)*VLOOKUP('Données projet'!$B$18,Paramètres!$A$1:$I$89,5,0)</f>
        <v>-3.0504452297464016E-13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266.37807768393191</v>
      </c>
      <c r="HA188" s="59">
        <f t="shared" si="160"/>
        <v>168.52019826233425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80.750120672194782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190"/>
        <v>80.750120672194782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266.99999999999983</v>
      </c>
      <c r="O189" s="13">
        <f>N189*VLOOKUP('Données projet'!$B$9,Paramètres!$A$1:$I$89,3,0)*VLOOKUP('Données projet'!$B$9,Paramètres!$A$1:$I$89,5,0)</f>
        <v>233.2511999999999</v>
      </c>
      <c r="P189" s="13">
        <f t="shared" si="141"/>
        <v>56.985091661350864</v>
      </c>
      <c r="Q189" s="20">
        <f t="shared" si="162"/>
        <v>505.49487464351915</v>
      </c>
      <c r="R189" s="59">
        <f t="shared" si="109"/>
        <v>798.82820797685247</v>
      </c>
      <c r="S189" s="59">
        <f ca="1">AVERAGE(OFFSET($R$3,0,0,'Données projet'!$E$9+1,1))-AVERAGE(OFFSET($H$3,0,0,'Données projet'!$E$9+1,1))</f>
        <v>324.86930206492627</v>
      </c>
      <c r="T189" s="59">
        <f t="shared" si="142"/>
        <v>317.03005098025352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3.8742586816612978</v>
      </c>
      <c r="AA189" s="21">
        <f>EXP(-LN(2)/25)*AA188+(1-EXP(-LN(2)/25))/(LN(2)/25)*Calculateur!V189*Calculateur!X189*VLOOKUP('Données projet'!$B$9,Paramètres!$A$1:$I$89,3,0)*0.475*44/12</f>
        <v>0.48399332394881867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4.3582520056101162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5.4092197387944907E-13</v>
      </c>
      <c r="AK189" s="13">
        <f t="shared" si="164"/>
        <v>6.6765148417791561E-12</v>
      </c>
      <c r="AL189" s="20">
        <f t="shared" si="165"/>
        <v>1.2570369120605403E-11</v>
      </c>
      <c r="AM189" s="59">
        <f t="shared" si="113"/>
        <v>293.33333333334588</v>
      </c>
      <c r="AN189" s="59">
        <f ca="1">AVERAGE(OFFSET($AM$3,0,0,'Données projet'!$E$10+1,1))-AVERAGE(OFFSET($H$3,0,0,'Données projet'!$E$10+1,1))</f>
        <v>401.81944956556271</v>
      </c>
      <c r="AO189" s="59">
        <f t="shared" si="144"/>
        <v>292.20785523952651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60.508279079072352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60.508279079072352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1.7053025658242404E-13</v>
      </c>
      <c r="BE189" s="13">
        <f>BD189*VLOOKUP('Données projet'!$B$11,Paramètres!$A$1:$I$89,3,0)*VLOOKUP('Données projet'!$B$11,Paramètres!$A$1:$I$89,5,0)</f>
        <v>1.3301360013429075E-13</v>
      </c>
      <c r="BF189" s="13">
        <f t="shared" si="167"/>
        <v>1.9329766731057041E-12</v>
      </c>
      <c r="BG189" s="20">
        <f t="shared" si="168"/>
        <v>3.5982663925596575E-12</v>
      </c>
      <c r="BH189" s="59">
        <f t="shared" si="116"/>
        <v>293.3333333333369</v>
      </c>
      <c r="BI189" s="59">
        <f ca="1">AVERAGE(OFFSET($BH$3,0,0,'Données projet'!$E$11+1,1))-AVERAGE(OFFSET($H$3,0,0,'Données projet'!$E$11+1,1))</f>
        <v>288.80569134263209</v>
      </c>
      <c r="BJ189" s="59">
        <f t="shared" si="146"/>
        <v>283.48738729114024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7.9965142506533047</v>
      </c>
      <c r="BQ189" s="21">
        <f>EXP(-LN(2)/25)*BQ188+(1-EXP(-LN(2)/25))/(LN(2)/25)*Calculateur!BL189*Calculateur!BN189*VLOOKUP('Données projet'!$B$11,Paramètres!$A$1:$I$89,3,0)*0.475*44/12</f>
        <v>2.6608766622864319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10.657390912939736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212.00000000000009</v>
      </c>
      <c r="BZ189" s="13">
        <f>BY189*VLOOKUP('Données projet'!$B$12,Paramètres!$A$1:$I$89,3,0)*VLOOKUP('Données projet'!$B$12,Paramètres!$A$1:$I$89,5,0)</f>
        <v>221.58240000000012</v>
      </c>
      <c r="CA189" s="13">
        <f t="shared" si="170"/>
        <v>54.458668952651578</v>
      </c>
      <c r="CB189" s="20">
        <f t="shared" si="171"/>
        <v>480.77152842586838</v>
      </c>
      <c r="CC189" s="59">
        <f t="shared" si="119"/>
        <v>774.10486175920164</v>
      </c>
      <c r="CD189" s="59">
        <f ca="1">AVERAGE(OFFSET($CC$3,0,0,'Données projet'!$E$12+1,1))-AVERAGE(OFFSET($H$3,0,0,'Données projet'!$E$12+1,1))</f>
        <v>352.22281362023102</v>
      </c>
      <c r="CE189" s="59">
        <f t="shared" si="148"/>
        <v>310.2353747925161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3.2539072972549388</v>
      </c>
      <c r="CL189" s="21">
        <f>EXP(-LN(2)/25)*CL188+(1-EXP(-LN(2)/25))/(LN(2)/25)*Calculateur!CG189*Calculateur!CI189*VLOOKUP('Données projet'!$B$12,Paramètres!$A$1:$I$89,3,0)*0.475*44/12</f>
        <v>1.5419561390748358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4.7958634363297747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-4.5474735088646412E-13</v>
      </c>
      <c r="CU189" s="17">
        <f>CT189*VLOOKUP('Données projet'!$B$13,Paramètres!$A$1:$I$89,3,0)*VLOOKUP('Données projet'!$B$13,Paramètres!$A$1:$I$89,5,0)</f>
        <v>-4.1145540308207271E-13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345.49688858037996</v>
      </c>
      <c r="CZ189" s="59">
        <f t="shared" si="150"/>
        <v>213.15872113755023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86.635212894233092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86.635212894233092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-4.5474735088646412E-13</v>
      </c>
      <c r="DP189" s="17">
        <f>DO189*VLOOKUP('Données projet'!$B$14,Paramètres!$A$1:$I$89,3,0)*VLOOKUP('Données projet'!$B$14,Paramètres!$A$1:$I$89,5,0)</f>
        <v>-4.6111381379887462E-13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382.26108489744581</v>
      </c>
      <c r="DU189" s="59">
        <f t="shared" si="152"/>
        <v>233.89423996158826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97.091186864226785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97.091186864226785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-2.4158453015843406E-13</v>
      </c>
      <c r="EK189" s="17">
        <f>EJ189*VLOOKUP('Données projet'!$B$15,Paramètres!$A$1:$I$89,3,0)*VLOOKUP('Données projet'!$B$15,Paramètres!$A$1:$I$89,5,0)</f>
        <v>-2.0351080820546486E-13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312.48716825299158</v>
      </c>
      <c r="EP189" s="59">
        <f t="shared" si="154"/>
        <v>258.68277822755357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33.064429827527277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33.064429827527277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-4.5474735088646412E-13</v>
      </c>
      <c r="FF189" s="17">
        <f>FE189*VLOOKUP('Données projet'!$B$16,Paramètres!$A$1:$I$89,3,0)*VLOOKUP('Données projet'!$B$16,Paramètres!$A$1:$I$89,5,0)</f>
        <v>-4.8949004849418999E-13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403.23110963096246</v>
      </c>
      <c r="FK189" s="59">
        <f t="shared" si="156"/>
        <v>245.72000393124898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103.0660291327945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103.0660291327945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-4.5474735088646412E-13</v>
      </c>
      <c r="GA189" s="17">
        <f>FZ189*VLOOKUP('Données projet'!$B$17,Paramètres!$A$1:$I$89,3,0)*VLOOKUP('Données projet'!$B$17,Paramètres!$A$1:$I$89,5,0)</f>
        <v>-4.3983163777738812E-13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336.2911850338175</v>
      </c>
      <c r="GF189" s="59">
        <f t="shared" si="158"/>
        <v>225.01415116995503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92.610055162800876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92.610055162800876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-4.5474735088646412E-13</v>
      </c>
      <c r="GV189" s="17">
        <f>GU189*VLOOKUP('Données projet'!$B$18,Paramètres!$A$1:$I$89,3,0)*VLOOKUP('Données projet'!$B$18,Paramètres!$A$1:$I$89,5,0)</f>
        <v>-3.0504452297464016E-13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266.37807768393191</v>
      </c>
      <c r="HA189" s="59">
        <f t="shared" si="160"/>
        <v>168.52019826233425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79.166660058523348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190"/>
        <v>79.166660058523348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266.99999999999983</v>
      </c>
      <c r="O190" s="13">
        <f>N190*VLOOKUP('Données projet'!$B$9,Paramètres!$A$1:$I$89,3,0)*VLOOKUP('Données projet'!$B$9,Paramètres!$A$1:$I$89,5,0)</f>
        <v>233.2511999999999</v>
      </c>
      <c r="P190" s="13">
        <f t="shared" si="141"/>
        <v>56.985091661350864</v>
      </c>
      <c r="Q190" s="20">
        <f t="shared" si="162"/>
        <v>505.49487464351915</v>
      </c>
      <c r="R190" s="59">
        <f t="shared" si="109"/>
        <v>798.82820797685247</v>
      </c>
      <c r="S190" s="59">
        <f ca="1">AVERAGE(OFFSET($R$3,0,0,'Données projet'!$E$9+1,1))-AVERAGE(OFFSET($H$3,0,0,'Données projet'!$E$9+1,1))</f>
        <v>324.86930206492627</v>
      </c>
      <c r="T190" s="59">
        <f t="shared" si="142"/>
        <v>317.03005098025352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3.7982868319783822</v>
      </c>
      <c r="AA190" s="21">
        <f>EXP(-LN(2)/25)*AA189+(1-EXP(-LN(2)/25))/(LN(2)/25)*Calculateur!V190*Calculateur!X190*VLOOKUP('Données projet'!$B$9,Paramètres!$A$1:$I$89,3,0)*0.475*44/12</f>
        <v>0.4707585010533355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4.269045333031718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5.4092197387944907E-13</v>
      </c>
      <c r="AK190" s="13">
        <f t="shared" si="164"/>
        <v>6.6765148417791561E-12</v>
      </c>
      <c r="AL190" s="20">
        <f t="shared" si="165"/>
        <v>1.2570369120605403E-11</v>
      </c>
      <c r="AM190" s="59">
        <f t="shared" si="113"/>
        <v>293.33333333334588</v>
      </c>
      <c r="AN190" s="59">
        <f ca="1">AVERAGE(OFFSET($AM$3,0,0,'Données projet'!$E$10+1,1))-AVERAGE(OFFSET($H$3,0,0,'Données projet'!$E$10+1,1))</f>
        <v>401.81944956556271</v>
      </c>
      <c r="AO190" s="59">
        <f t="shared" si="144"/>
        <v>292.20785523952651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59.32174863273778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59.32174863273778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1.7053025658242404E-13</v>
      </c>
      <c r="BE190" s="13">
        <f>BD190*VLOOKUP('Données projet'!$B$11,Paramètres!$A$1:$I$89,3,0)*VLOOKUP('Données projet'!$B$11,Paramètres!$A$1:$I$89,5,0)</f>
        <v>1.3301360013429075E-13</v>
      </c>
      <c r="BF190" s="13">
        <f t="shared" si="167"/>
        <v>1.9329766731057041E-12</v>
      </c>
      <c r="BG190" s="20">
        <f t="shared" si="168"/>
        <v>3.5982663925596575E-12</v>
      </c>
      <c r="BH190" s="59">
        <f t="shared" si="116"/>
        <v>293.3333333333369</v>
      </c>
      <c r="BI190" s="59">
        <f ca="1">AVERAGE(OFFSET($BH$3,0,0,'Données projet'!$E$11+1,1))-AVERAGE(OFFSET($H$3,0,0,'Données projet'!$E$11+1,1))</f>
        <v>288.80569134263209</v>
      </c>
      <c r="BJ190" s="59">
        <f t="shared" si="146"/>
        <v>283.48738729114024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7.8397074835900842</v>
      </c>
      <c r="BQ190" s="21">
        <f>EXP(-LN(2)/25)*BQ189+(1-EXP(-LN(2)/25))/(LN(2)/25)*Calculateur!BL190*Calculateur!BN190*VLOOKUP('Données projet'!$B$11,Paramètres!$A$1:$I$89,3,0)*0.475*44/12</f>
        <v>2.5881148500267872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10.427822333616872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212.00000000000009</v>
      </c>
      <c r="BZ190" s="13">
        <f>BY190*VLOOKUP('Données projet'!$B$12,Paramètres!$A$1:$I$89,3,0)*VLOOKUP('Données projet'!$B$12,Paramètres!$A$1:$I$89,5,0)</f>
        <v>221.58240000000012</v>
      </c>
      <c r="CA190" s="13">
        <f t="shared" si="170"/>
        <v>54.458668952651578</v>
      </c>
      <c r="CB190" s="20">
        <f t="shared" si="171"/>
        <v>480.77152842586838</v>
      </c>
      <c r="CC190" s="59">
        <f t="shared" si="119"/>
        <v>774.10486175920164</v>
      </c>
      <c r="CD190" s="59">
        <f ca="1">AVERAGE(OFFSET($CC$3,0,0,'Données projet'!$E$12+1,1))-AVERAGE(OFFSET($H$3,0,0,'Données projet'!$E$12+1,1))</f>
        <v>352.22281362023102</v>
      </c>
      <c r="CE190" s="59">
        <f t="shared" si="148"/>
        <v>310.2353747925161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3.190100159843249</v>
      </c>
      <c r="CL190" s="21">
        <f>EXP(-LN(2)/25)*CL189+(1-EXP(-LN(2)/25))/(LN(2)/25)*Calculateur!CG190*Calculateur!CI190*VLOOKUP('Données projet'!$B$12,Paramètres!$A$1:$I$89,3,0)*0.475*44/12</f>
        <v>1.4997912673638851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4.6898914272071339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-4.5474735088646412E-13</v>
      </c>
      <c r="CU190" s="17">
        <f>CT190*VLOOKUP('Données projet'!$B$13,Paramètres!$A$1:$I$89,3,0)*VLOOKUP('Données projet'!$B$13,Paramètres!$A$1:$I$89,5,0)</f>
        <v>-4.1145540308207271E-13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345.49688858037996</v>
      </c>
      <c r="CZ190" s="59">
        <f t="shared" si="150"/>
        <v>213.15872113755023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84.93634921163931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84.93634921163931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-4.5474735088646412E-13</v>
      </c>
      <c r="DP190" s="17">
        <f>DO190*VLOOKUP('Données projet'!$B$14,Paramètres!$A$1:$I$89,3,0)*VLOOKUP('Données projet'!$B$14,Paramètres!$A$1:$I$89,5,0)</f>
        <v>-4.6111381379887462E-13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382.26108489744581</v>
      </c>
      <c r="DU190" s="59">
        <f t="shared" si="152"/>
        <v>233.89423996158826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95.187287909595824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95.187287909595824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-2.4158453015843406E-13</v>
      </c>
      <c r="EK190" s="17">
        <f>EJ190*VLOOKUP('Données projet'!$B$15,Paramètres!$A$1:$I$89,3,0)*VLOOKUP('Données projet'!$B$15,Paramètres!$A$1:$I$89,5,0)</f>
        <v>-2.0351080820546486E-13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312.48716825299158</v>
      </c>
      <c r="EP190" s="59">
        <f t="shared" si="154"/>
        <v>258.68277822755357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32.416056525920304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32.416056525920304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-4.5474735088646412E-13</v>
      </c>
      <c r="FF190" s="17">
        <f>FE190*VLOOKUP('Données projet'!$B$16,Paramètres!$A$1:$I$89,3,0)*VLOOKUP('Données projet'!$B$16,Paramètres!$A$1:$I$89,5,0)</f>
        <v>-4.8949004849418999E-13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403.23110963096246</v>
      </c>
      <c r="FK190" s="59">
        <f t="shared" si="156"/>
        <v>245.72000393124898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101.04496716557085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101.04496716557085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-4.5474735088646412E-13</v>
      </c>
      <c r="GA190" s="17">
        <f>FZ190*VLOOKUP('Données projet'!$B$17,Paramètres!$A$1:$I$89,3,0)*VLOOKUP('Données projet'!$B$17,Paramètres!$A$1:$I$89,5,0)</f>
        <v>-4.3983163777738812E-13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336.2911850338175</v>
      </c>
      <c r="GF190" s="59">
        <f t="shared" si="158"/>
        <v>225.01415116995503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90.79402846761441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90.79402846761441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-4.5474735088646412E-13</v>
      </c>
      <c r="GV190" s="17">
        <f>GU190*VLOOKUP('Données projet'!$B$18,Paramètres!$A$1:$I$89,3,0)*VLOOKUP('Données projet'!$B$18,Paramètres!$A$1:$I$89,5,0)</f>
        <v>-3.0504452297464016E-13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266.37807768393191</v>
      </c>
      <c r="HA190" s="59">
        <f t="shared" si="160"/>
        <v>168.52019826233425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77.614250141670411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190"/>
        <v>77.614250141670411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266.99999999999983</v>
      </c>
      <c r="O191" s="13">
        <f>N191*VLOOKUP('Données projet'!$B$9,Paramètres!$A$1:$I$89,3,0)*VLOOKUP('Données projet'!$B$9,Paramètres!$A$1:$I$89,5,0)</f>
        <v>233.2511999999999</v>
      </c>
      <c r="P191" s="13">
        <f t="shared" si="141"/>
        <v>56.985091661350864</v>
      </c>
      <c r="Q191" s="20">
        <f t="shared" si="162"/>
        <v>505.49487464351915</v>
      </c>
      <c r="R191" s="59">
        <f t="shared" si="109"/>
        <v>798.82820797685247</v>
      </c>
      <c r="S191" s="59">
        <f ca="1">AVERAGE(OFFSET($R$3,0,0,'Données projet'!$E$9+1,1))-AVERAGE(OFFSET($H$3,0,0,'Données projet'!$E$9+1,1))</f>
        <v>324.86930206492627</v>
      </c>
      <c r="T191" s="59">
        <f t="shared" si="142"/>
        <v>317.03005098025352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3.7238047439294961</v>
      </c>
      <c r="AA191" s="21">
        <f>EXP(-LN(2)/25)*AA190+(1-EXP(-LN(2)/25))/(LN(2)/25)*Calculateur!V191*Calculateur!X191*VLOOKUP('Données projet'!$B$9,Paramètres!$A$1:$I$89,3,0)*0.475*44/12</f>
        <v>0.45788558508591842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4.1816903290154146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5.4092197387944907E-13</v>
      </c>
      <c r="AK191" s="13">
        <f t="shared" si="164"/>
        <v>6.6765148417791561E-12</v>
      </c>
      <c r="AL191" s="20">
        <f t="shared" si="165"/>
        <v>1.2570369120605403E-11</v>
      </c>
      <c r="AM191" s="59">
        <f t="shared" si="113"/>
        <v>293.33333333334588</v>
      </c>
      <c r="AN191" s="59">
        <f ca="1">AVERAGE(OFFSET($AM$3,0,0,'Données projet'!$E$10+1,1))-AVERAGE(OFFSET($H$3,0,0,'Données projet'!$E$10+1,1))</f>
        <v>401.81944956556271</v>
      </c>
      <c r="AO191" s="59">
        <f t="shared" si="144"/>
        <v>292.20785523952651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58.158485324743715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58.158485324743715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1.7053025658242404E-13</v>
      </c>
      <c r="BE191" s="13">
        <f>BD191*VLOOKUP('Données projet'!$B$11,Paramètres!$A$1:$I$89,3,0)*VLOOKUP('Données projet'!$B$11,Paramètres!$A$1:$I$89,5,0)</f>
        <v>1.3301360013429075E-13</v>
      </c>
      <c r="BF191" s="13">
        <f t="shared" si="167"/>
        <v>1.9329766731057041E-12</v>
      </c>
      <c r="BG191" s="20">
        <f t="shared" si="168"/>
        <v>3.5982663925596575E-12</v>
      </c>
      <c r="BH191" s="59">
        <f t="shared" si="116"/>
        <v>293.3333333333369</v>
      </c>
      <c r="BI191" s="59">
        <f ca="1">AVERAGE(OFFSET($BH$3,0,0,'Données projet'!$E$11+1,1))-AVERAGE(OFFSET($H$3,0,0,'Données projet'!$E$11+1,1))</f>
        <v>288.80569134263209</v>
      </c>
      <c r="BJ191" s="59">
        <f t="shared" si="146"/>
        <v>283.48738729114024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7.6859756015862892</v>
      </c>
      <c r="BQ191" s="21">
        <f>EXP(-LN(2)/25)*BQ190+(1-EXP(-LN(2)/25))/(LN(2)/25)*Calculateur!BL191*Calculateur!BN191*VLOOKUP('Données projet'!$B$11,Paramètres!$A$1:$I$89,3,0)*0.475*44/12</f>
        <v>2.5173427133497599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10.203318314936048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212.00000000000009</v>
      </c>
      <c r="BZ191" s="13">
        <f>BY191*VLOOKUP('Données projet'!$B$12,Paramètres!$A$1:$I$89,3,0)*VLOOKUP('Données projet'!$B$12,Paramètres!$A$1:$I$89,5,0)</f>
        <v>221.58240000000012</v>
      </c>
      <c r="CA191" s="13">
        <f t="shared" si="170"/>
        <v>54.458668952651578</v>
      </c>
      <c r="CB191" s="20">
        <f t="shared" si="171"/>
        <v>480.77152842586838</v>
      </c>
      <c r="CC191" s="59">
        <f t="shared" si="119"/>
        <v>774.10486175920164</v>
      </c>
      <c r="CD191" s="59">
        <f ca="1">AVERAGE(OFFSET($CC$3,0,0,'Données projet'!$E$12+1,1))-AVERAGE(OFFSET($H$3,0,0,'Données projet'!$E$12+1,1))</f>
        <v>352.22281362023102</v>
      </c>
      <c r="CE191" s="59">
        <f t="shared" si="148"/>
        <v>310.2353747925161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3.1275442414776915</v>
      </c>
      <c r="CL191" s="21">
        <f>EXP(-LN(2)/25)*CL190+(1-EXP(-LN(2)/25))/(LN(2)/25)*Calculateur!CG191*Calculateur!CI191*VLOOKUP('Données projet'!$B$12,Paramètres!$A$1:$I$89,3,0)*0.475*44/12</f>
        <v>1.4587793962872249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4.5863236377649166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-4.5474735088646412E-13</v>
      </c>
      <c r="CU191" s="17">
        <f>CT191*VLOOKUP('Données projet'!$B$13,Paramètres!$A$1:$I$89,3,0)*VLOOKUP('Données projet'!$B$13,Paramètres!$A$1:$I$89,5,0)</f>
        <v>-4.1145540308207271E-13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345.49688858037996</v>
      </c>
      <c r="CZ191" s="59">
        <f t="shared" si="150"/>
        <v>213.15872113755023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83.270799209656658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83.270799209656658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-4.5474735088646412E-13</v>
      </c>
      <c r="DP191" s="17">
        <f>DO191*VLOOKUP('Données projet'!$B$14,Paramètres!$A$1:$I$89,3,0)*VLOOKUP('Données projet'!$B$14,Paramètres!$A$1:$I$89,5,0)</f>
        <v>-4.6111381379887462E-13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382.26108489744581</v>
      </c>
      <c r="DU191" s="59">
        <f t="shared" si="152"/>
        <v>233.89423996158826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93.320723252201475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93.320723252201475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-2.4158453015843406E-13</v>
      </c>
      <c r="EK191" s="17">
        <f>EJ191*VLOOKUP('Données projet'!$B$15,Paramètres!$A$1:$I$89,3,0)*VLOOKUP('Données projet'!$B$15,Paramètres!$A$1:$I$89,5,0)</f>
        <v>-2.0351080820546486E-13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312.48716825299158</v>
      </c>
      <c r="EP191" s="59">
        <f t="shared" si="154"/>
        <v>258.68277822755357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31.780397429289181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31.780397429289181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-4.5474735088646412E-13</v>
      </c>
      <c r="FF191" s="17">
        <f>FE191*VLOOKUP('Données projet'!$B$16,Paramètres!$A$1:$I$89,3,0)*VLOOKUP('Données projet'!$B$16,Paramètres!$A$1:$I$89,5,0)</f>
        <v>-4.8949004849418999E-13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403.23110963096246</v>
      </c>
      <c r="FK191" s="59">
        <f t="shared" si="156"/>
        <v>245.72000393124898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99.063536990798383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99.063536990798383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-4.5474735088646412E-13</v>
      </c>
      <c r="GA191" s="17">
        <f>FZ191*VLOOKUP('Données projet'!$B$17,Paramètres!$A$1:$I$89,3,0)*VLOOKUP('Données projet'!$B$17,Paramètres!$A$1:$I$89,5,0)</f>
        <v>-4.3983163777738812E-13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336.2911850338175</v>
      </c>
      <c r="GF191" s="59">
        <f t="shared" si="158"/>
        <v>225.01415116995503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89.013612948253652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89.013612948253652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-4.5474735088646412E-13</v>
      </c>
      <c r="GV191" s="17">
        <f>GU191*VLOOKUP('Données projet'!$B$18,Paramètres!$A$1:$I$89,3,0)*VLOOKUP('Données projet'!$B$18,Paramètres!$A$1:$I$89,5,0)</f>
        <v>-3.0504452297464016E-13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266.37807768393191</v>
      </c>
      <c r="HA191" s="59">
        <f t="shared" si="160"/>
        <v>168.52019826233425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76.092282036410396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190"/>
        <v>76.092282036410396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266.99999999999983</v>
      </c>
      <c r="O192" s="13">
        <f>N192*VLOOKUP('Données projet'!$B$9,Paramètres!$A$1:$I$89,3,0)*VLOOKUP('Données projet'!$B$9,Paramètres!$A$1:$I$89,5,0)</f>
        <v>233.2511999999999</v>
      </c>
      <c r="P192" s="13">
        <f t="shared" si="141"/>
        <v>56.985091661350864</v>
      </c>
      <c r="Q192" s="20">
        <f t="shared" si="162"/>
        <v>505.49487464351915</v>
      </c>
      <c r="R192" s="59">
        <f t="shared" si="109"/>
        <v>798.82820797685247</v>
      </c>
      <c r="S192" s="59">
        <f ca="1">AVERAGE(OFFSET($R$3,0,0,'Données projet'!$E$9+1,1))-AVERAGE(OFFSET($H$3,0,0,'Données projet'!$E$9+1,1))</f>
        <v>324.86930206492627</v>
      </c>
      <c r="T192" s="59">
        <f t="shared" si="142"/>
        <v>317.03005098025352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3.6507832041976607</v>
      </c>
      <c r="AA192" s="21">
        <f>EXP(-LN(2)/25)*AA191+(1-EXP(-LN(2)/25))/(LN(2)/25)*Calculateur!V192*Calculateur!X192*VLOOKUP('Données projet'!$B$9,Paramètres!$A$1:$I$89,3,0)*0.475*44/12</f>
        <v>0.44536467968258758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4.0961478838802483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5.4092197387944907E-13</v>
      </c>
      <c r="AK192" s="13">
        <f t="shared" si="164"/>
        <v>6.6765148417791561E-12</v>
      </c>
      <c r="AL192" s="20">
        <f t="shared" si="165"/>
        <v>1.2570369120605403E-11</v>
      </c>
      <c r="AM192" s="59">
        <f t="shared" si="113"/>
        <v>293.33333333334588</v>
      </c>
      <c r="AN192" s="59">
        <f ca="1">AVERAGE(OFFSET($AM$3,0,0,'Données projet'!$E$10+1,1))-AVERAGE(OFFSET($H$3,0,0,'Données projet'!$E$10+1,1))</f>
        <v>401.81944956556271</v>
      </c>
      <c r="AO192" s="59">
        <f t="shared" si="144"/>
        <v>292.20785523952651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57.018032900698856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57.018032900698856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1.7053025658242404E-13</v>
      </c>
      <c r="BE192" s="13">
        <f>BD192*VLOOKUP('Données projet'!$B$11,Paramètres!$A$1:$I$89,3,0)*VLOOKUP('Données projet'!$B$11,Paramètres!$A$1:$I$89,5,0)</f>
        <v>1.3301360013429075E-13</v>
      </c>
      <c r="BF192" s="13">
        <f t="shared" si="167"/>
        <v>1.9329766731057041E-12</v>
      </c>
      <c r="BG192" s="20">
        <f t="shared" si="168"/>
        <v>3.5982663925596575E-12</v>
      </c>
      <c r="BH192" s="59">
        <f t="shared" si="116"/>
        <v>293.3333333333369</v>
      </c>
      <c r="BI192" s="59">
        <f ca="1">AVERAGE(OFFSET($BH$3,0,0,'Données projet'!$E$11+1,1))-AVERAGE(OFFSET($H$3,0,0,'Données projet'!$E$11+1,1))</f>
        <v>288.80569134263209</v>
      </c>
      <c r="BJ192" s="59">
        <f t="shared" si="146"/>
        <v>283.48738729114024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7.5352583080213993</v>
      </c>
      <c r="BQ192" s="21">
        <f>EXP(-LN(2)/25)*BQ191+(1-EXP(-LN(2)/25))/(LN(2)/25)*Calculateur!BL192*Calculateur!BN192*VLOOKUP('Données projet'!$B$11,Paramètres!$A$1:$I$89,3,0)*0.475*44/12</f>
        <v>2.448505844471911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9.9837641524933112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212.00000000000009</v>
      </c>
      <c r="BZ192" s="13">
        <f>BY192*VLOOKUP('Données projet'!$B$12,Paramètres!$A$1:$I$89,3,0)*VLOOKUP('Données projet'!$B$12,Paramètres!$A$1:$I$89,5,0)</f>
        <v>221.58240000000012</v>
      </c>
      <c r="CA192" s="13">
        <f t="shared" si="170"/>
        <v>54.458668952651578</v>
      </c>
      <c r="CB192" s="20">
        <f t="shared" si="171"/>
        <v>480.77152842586838</v>
      </c>
      <c r="CC192" s="59">
        <f t="shared" si="119"/>
        <v>774.10486175920164</v>
      </c>
      <c r="CD192" s="59">
        <f ca="1">AVERAGE(OFFSET($CC$3,0,0,'Données projet'!$E$12+1,1))-AVERAGE(OFFSET($H$3,0,0,'Données projet'!$E$12+1,1))</f>
        <v>352.22281362023102</v>
      </c>
      <c r="CE192" s="59">
        <f t="shared" si="148"/>
        <v>310.2353747925161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3.0662150065159399</v>
      </c>
      <c r="CL192" s="21">
        <f>EXP(-LN(2)/25)*CL191+(1-EXP(-LN(2)/25))/(LN(2)/25)*Calculateur!CG192*Calculateur!CI192*VLOOKUP('Données projet'!$B$12,Paramètres!$A$1:$I$89,3,0)*0.475*44/12</f>
        <v>1.4188889969818763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4.485104003497816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-4.5474735088646412E-13</v>
      </c>
      <c r="CU192" s="17">
        <f>CT192*VLOOKUP('Données projet'!$B$13,Paramètres!$A$1:$I$89,3,0)*VLOOKUP('Données projet'!$B$13,Paramètres!$A$1:$I$89,5,0)</f>
        <v>-4.1145540308207271E-13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345.49688858037996</v>
      </c>
      <c r="CZ192" s="59">
        <f t="shared" si="150"/>
        <v>213.15872113755023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81.637909627327701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81.637909627327701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-4.5474735088646412E-13</v>
      </c>
      <c r="DP192" s="17">
        <f>DO192*VLOOKUP('Données projet'!$B$14,Paramètres!$A$1:$I$89,3,0)*VLOOKUP('Données projet'!$B$14,Paramètres!$A$1:$I$89,5,0)</f>
        <v>-4.6111381379887462E-13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382.26108489744581</v>
      </c>
      <c r="DU192" s="59">
        <f t="shared" si="152"/>
        <v>233.89423996158826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91.490760789246607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91.490760789246607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-2.4158453015843406E-13</v>
      </c>
      <c r="EK192" s="17">
        <f>EJ192*VLOOKUP('Données projet'!$B$15,Paramètres!$A$1:$I$89,3,0)*VLOOKUP('Données projet'!$B$15,Paramètres!$A$1:$I$89,5,0)</f>
        <v>-2.0351080820546486E-13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312.48716825299158</v>
      </c>
      <c r="EP192" s="59">
        <f t="shared" si="154"/>
        <v>258.68277822755357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31.157203219829228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31.157203219829228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-4.5474735088646412E-13</v>
      </c>
      <c r="FF192" s="17">
        <f>FE192*VLOOKUP('Données projet'!$B$16,Paramètres!$A$1:$I$89,3,0)*VLOOKUP('Données projet'!$B$16,Paramètres!$A$1:$I$89,5,0)</f>
        <v>-4.8949004849418999E-13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403.23110963096246</v>
      </c>
      <c r="FK192" s="59">
        <f t="shared" si="156"/>
        <v>245.72000393124898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97.120961453200138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97.120961453200138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-4.5474735088646412E-13</v>
      </c>
      <c r="GA192" s="17">
        <f>FZ192*VLOOKUP('Données projet'!$B$17,Paramètres!$A$1:$I$89,3,0)*VLOOKUP('Données projet'!$B$17,Paramètres!$A$1:$I$89,5,0)</f>
        <v>-4.3983163777738812E-13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336.2911850338175</v>
      </c>
      <c r="GF192" s="59">
        <f t="shared" si="158"/>
        <v>225.01415116995503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87.268110291281317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87.268110291281317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-4.5474735088646412E-13</v>
      </c>
      <c r="GV192" s="17">
        <f>GU192*VLOOKUP('Données projet'!$B$18,Paramètres!$A$1:$I$89,3,0)*VLOOKUP('Données projet'!$B$18,Paramètres!$A$1:$I$89,5,0)</f>
        <v>-3.0504452297464016E-13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266.37807768393191</v>
      </c>
      <c r="HA192" s="59">
        <f t="shared" si="160"/>
        <v>168.52019826233425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74.60015879738566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190"/>
        <v>74.60015879738566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266.99999999999983</v>
      </c>
      <c r="O193" s="13">
        <f>N193*VLOOKUP('Données projet'!$B$9,Paramètres!$A$1:$I$89,3,0)*VLOOKUP('Données projet'!$B$9,Paramètres!$A$1:$I$89,5,0)</f>
        <v>233.2511999999999</v>
      </c>
      <c r="P193" s="13">
        <f t="shared" si="141"/>
        <v>56.985091661350864</v>
      </c>
      <c r="Q193" s="20">
        <f t="shared" si="162"/>
        <v>505.49487464351915</v>
      </c>
      <c r="R193" s="59">
        <f t="shared" si="109"/>
        <v>798.82820797685247</v>
      </c>
      <c r="S193" s="59">
        <f ca="1">AVERAGE(OFFSET($R$3,0,0,'Données projet'!$E$9+1,1))-AVERAGE(OFFSET($H$3,0,0,'Données projet'!$E$9+1,1))</f>
        <v>324.86930206492627</v>
      </c>
      <c r="T193" s="59">
        <f t="shared" si="142"/>
        <v>317.03005098025352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3.5791935723212251</v>
      </c>
      <c r="AA193" s="21">
        <f>EXP(-LN(2)/25)*AA192+(1-EXP(-LN(2)/25))/(LN(2)/25)*Calculateur!V193*Calculateur!X193*VLOOKUP('Données projet'!$B$9,Paramètres!$A$1:$I$89,3,0)*0.475*44/12</f>
        <v>0.43318615909595659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4.0123797314171821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5.4092197387944907E-13</v>
      </c>
      <c r="AK193" s="13">
        <f t="shared" si="164"/>
        <v>6.6765148417791561E-12</v>
      </c>
      <c r="AL193" s="20">
        <f t="shared" si="165"/>
        <v>1.2570369120605403E-11</v>
      </c>
      <c r="AM193" s="59">
        <f t="shared" si="113"/>
        <v>293.33333333334588</v>
      </c>
      <c r="AN193" s="59">
        <f ca="1">AVERAGE(OFFSET($AM$3,0,0,'Données projet'!$E$10+1,1))-AVERAGE(OFFSET($H$3,0,0,'Données projet'!$E$10+1,1))</f>
        <v>401.81944956556271</v>
      </c>
      <c r="AO193" s="59">
        <f t="shared" si="144"/>
        <v>292.20785523952651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55.899944053082223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55.899944053082223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1.7053025658242404E-13</v>
      </c>
      <c r="BE193" s="13">
        <f>BD193*VLOOKUP('Données projet'!$B$11,Paramètres!$A$1:$I$89,3,0)*VLOOKUP('Données projet'!$B$11,Paramètres!$A$1:$I$89,5,0)</f>
        <v>1.3301360013429075E-13</v>
      </c>
      <c r="BF193" s="13">
        <f t="shared" si="167"/>
        <v>1.9329766731057041E-12</v>
      </c>
      <c r="BG193" s="20">
        <f t="shared" si="168"/>
        <v>3.5982663925596575E-12</v>
      </c>
      <c r="BH193" s="59">
        <f t="shared" si="116"/>
        <v>293.3333333333369</v>
      </c>
      <c r="BI193" s="59">
        <f ca="1">AVERAGE(OFFSET($BH$3,0,0,'Données projet'!$E$11+1,1))-AVERAGE(OFFSET($H$3,0,0,'Données projet'!$E$11+1,1))</f>
        <v>288.80569134263209</v>
      </c>
      <c r="BJ193" s="59">
        <f t="shared" si="146"/>
        <v>283.48738729114024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7.3874964886548451</v>
      </c>
      <c r="BQ193" s="21">
        <f>EXP(-LN(2)/25)*BQ192+(1-EXP(-LN(2)/25))/(LN(2)/25)*Calculateur!BL193*Calculateur!BN193*VLOOKUP('Données projet'!$B$11,Paramètres!$A$1:$I$89,3,0)*0.475*44/12</f>
        <v>2.3815513233935004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9.7690478120483455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212.00000000000009</v>
      </c>
      <c r="BZ193" s="13">
        <f>BY193*VLOOKUP('Données projet'!$B$12,Paramètres!$A$1:$I$89,3,0)*VLOOKUP('Données projet'!$B$12,Paramètres!$A$1:$I$89,5,0)</f>
        <v>221.58240000000012</v>
      </c>
      <c r="CA193" s="13">
        <f t="shared" si="170"/>
        <v>54.458668952651578</v>
      </c>
      <c r="CB193" s="20">
        <f t="shared" si="171"/>
        <v>480.77152842586838</v>
      </c>
      <c r="CC193" s="59">
        <f t="shared" si="119"/>
        <v>774.10486175920164</v>
      </c>
      <c r="CD193" s="59">
        <f ca="1">AVERAGE(OFFSET($CC$3,0,0,'Données projet'!$E$12+1,1))-AVERAGE(OFFSET($H$3,0,0,'Données projet'!$E$12+1,1))</f>
        <v>352.22281362023102</v>
      </c>
      <c r="CE193" s="59">
        <f t="shared" si="148"/>
        <v>310.2353747925161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3.0060884004446486</v>
      </c>
      <c r="CL193" s="21">
        <f>EXP(-LN(2)/25)*CL192+(1-EXP(-LN(2)/25))/(LN(2)/25)*Calculateur!CG193*Calculateur!CI193*VLOOKUP('Données projet'!$B$12,Paramètres!$A$1:$I$89,3,0)*0.475*44/12</f>
        <v>1.3800894027432775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4.3861778031879259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-4.5474735088646412E-13</v>
      </c>
      <c r="CU193" s="17">
        <f>CT193*VLOOKUP('Données projet'!$B$13,Paramètres!$A$1:$I$89,3,0)*VLOOKUP('Données projet'!$B$13,Paramètres!$A$1:$I$89,5,0)</f>
        <v>-4.1145540308207271E-13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345.49688858037996</v>
      </c>
      <c r="CZ193" s="59">
        <f t="shared" si="150"/>
        <v>213.15872113755023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80.037040013743905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80.037040013743905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-4.5474735088646412E-13</v>
      </c>
      <c r="DP193" s="17">
        <f>DO193*VLOOKUP('Données projet'!$B$14,Paramètres!$A$1:$I$89,3,0)*VLOOKUP('Données projet'!$B$14,Paramètres!$A$1:$I$89,5,0)</f>
        <v>-4.6111381379887462E-13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382.26108489744581</v>
      </c>
      <c r="DU193" s="59">
        <f t="shared" si="152"/>
        <v>233.89423996158826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89.696682774023387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89.696682774023387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-2.4158453015843406E-13</v>
      </c>
      <c r="EK193" s="17">
        <f>EJ193*VLOOKUP('Données projet'!$B$15,Paramètres!$A$1:$I$89,3,0)*VLOOKUP('Données projet'!$B$15,Paramètres!$A$1:$I$89,5,0)</f>
        <v>-2.0351080820546486E-13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312.48716825299158</v>
      </c>
      <c r="EP193" s="59">
        <f t="shared" si="154"/>
        <v>258.68277822755357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30.54622946870585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30.54622946870585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-4.5474735088646412E-13</v>
      </c>
      <c r="FF193" s="17">
        <f>FE193*VLOOKUP('Données projet'!$B$16,Paramètres!$A$1:$I$89,3,0)*VLOOKUP('Données projet'!$B$16,Paramètres!$A$1:$I$89,5,0)</f>
        <v>-4.8949004849418999E-13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403.23110963096246</v>
      </c>
      <c r="FK193" s="59">
        <f t="shared" si="156"/>
        <v>245.72000393124898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95.216478637040112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95.216478637040112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-4.5474735088646412E-13</v>
      </c>
      <c r="GA193" s="17">
        <f>FZ193*VLOOKUP('Données projet'!$B$17,Paramètres!$A$1:$I$89,3,0)*VLOOKUP('Données projet'!$B$17,Paramètres!$A$1:$I$89,5,0)</f>
        <v>-4.3983163777738812E-13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336.2911850338175</v>
      </c>
      <c r="GF193" s="59">
        <f t="shared" si="158"/>
        <v>225.01415116995503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85.556835876760715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85.556835876760715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-4.5474735088646412E-13</v>
      </c>
      <c r="GV193" s="17">
        <f>GU193*VLOOKUP('Données projet'!$B$18,Paramètres!$A$1:$I$89,3,0)*VLOOKUP('Données projet'!$B$18,Paramètres!$A$1:$I$89,5,0)</f>
        <v>-3.0504452297464016E-13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266.37807768393191</v>
      </c>
      <c r="HA193" s="59">
        <f t="shared" si="160"/>
        <v>168.52019826233425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73.137295184972885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190"/>
        <v>73.137295184972885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266.99999999999983</v>
      </c>
      <c r="O194" s="13">
        <f>N194*VLOOKUP('Données projet'!$B$9,Paramètres!$A$1:$I$89,3,0)*VLOOKUP('Données projet'!$B$9,Paramètres!$A$1:$I$89,5,0)</f>
        <v>233.2511999999999</v>
      </c>
      <c r="P194" s="13">
        <f t="shared" si="141"/>
        <v>56.985091661350864</v>
      </c>
      <c r="Q194" s="20">
        <f t="shared" si="162"/>
        <v>505.49487464351915</v>
      </c>
      <c r="R194" s="59">
        <f t="shared" si="109"/>
        <v>798.82820797685247</v>
      </c>
      <c r="S194" s="59">
        <f ca="1">AVERAGE(OFFSET($R$3,0,0,'Données projet'!$E$9+1,1))-AVERAGE(OFFSET($H$3,0,0,'Données projet'!$E$9+1,1))</f>
        <v>324.86930206492627</v>
      </c>
      <c r="T194" s="59">
        <f t="shared" si="142"/>
        <v>317.03005098025352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3.5090077694605224</v>
      </c>
      <c r="AA194" s="21">
        <f>EXP(-LN(2)/25)*AA193+(1-EXP(-LN(2)/25))/(LN(2)/25)*Calculateur!V194*Calculateur!X194*VLOOKUP('Données projet'!$B$9,Paramètres!$A$1:$I$89,3,0)*0.475*44/12</f>
        <v>0.4213406607952076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3.9303484302557301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5.4092197387944907E-13</v>
      </c>
      <c r="AK194" s="13">
        <f t="shared" si="164"/>
        <v>6.6765148417791561E-12</v>
      </c>
      <c r="AL194" s="20">
        <f t="shared" si="165"/>
        <v>1.2570369120605403E-11</v>
      </c>
      <c r="AM194" s="59">
        <f t="shared" si="113"/>
        <v>293.33333333334588</v>
      </c>
      <c r="AN194" s="59">
        <f ca="1">AVERAGE(OFFSET($AM$3,0,0,'Données projet'!$E$10+1,1))-AVERAGE(OFFSET($H$3,0,0,'Données projet'!$E$10+1,1))</f>
        <v>401.81944956556271</v>
      </c>
      <c r="AO194" s="59">
        <f t="shared" si="144"/>
        <v>292.20785523952651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54.803780245800489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54.803780245800489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1.7053025658242404E-13</v>
      </c>
      <c r="BE194" s="13">
        <f>BD194*VLOOKUP('Données projet'!$B$11,Paramètres!$A$1:$I$89,3,0)*VLOOKUP('Données projet'!$B$11,Paramètres!$A$1:$I$89,5,0)</f>
        <v>1.3301360013429075E-13</v>
      </c>
      <c r="BF194" s="13">
        <f t="shared" si="167"/>
        <v>1.9329766731057041E-12</v>
      </c>
      <c r="BG194" s="20">
        <f t="shared" si="168"/>
        <v>3.5982663925596575E-12</v>
      </c>
      <c r="BH194" s="59">
        <f t="shared" si="116"/>
        <v>293.3333333333369</v>
      </c>
      <c r="BI194" s="59">
        <f ca="1">AVERAGE(OFFSET($BH$3,0,0,'Données projet'!$E$11+1,1))-AVERAGE(OFFSET($H$3,0,0,'Données projet'!$E$11+1,1))</f>
        <v>288.80569134263209</v>
      </c>
      <c r="BJ194" s="59">
        <f t="shared" si="146"/>
        <v>283.48738729114024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7.2426321884402585</v>
      </c>
      <c r="BQ194" s="21">
        <f>EXP(-LN(2)/25)*BQ193+(1-EXP(-LN(2)/25))/(LN(2)/25)*Calculateur!BL194*Calculateur!BN194*VLOOKUP('Données projet'!$B$11,Paramètres!$A$1:$I$89,3,0)*0.475*44/12</f>
        <v>2.3164276772149641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9.5590598656552217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212.00000000000009</v>
      </c>
      <c r="BZ194" s="13">
        <f>BY194*VLOOKUP('Données projet'!$B$12,Paramètres!$A$1:$I$89,3,0)*VLOOKUP('Données projet'!$B$12,Paramètres!$A$1:$I$89,5,0)</f>
        <v>221.58240000000012</v>
      </c>
      <c r="CA194" s="13">
        <f t="shared" si="170"/>
        <v>54.458668952651578</v>
      </c>
      <c r="CB194" s="20">
        <f t="shared" si="171"/>
        <v>480.77152842586838</v>
      </c>
      <c r="CC194" s="59">
        <f t="shared" si="119"/>
        <v>774.10486175920164</v>
      </c>
      <c r="CD194" s="59">
        <f ca="1">AVERAGE(OFFSET($CC$3,0,0,'Données projet'!$E$12+1,1))-AVERAGE(OFFSET($H$3,0,0,'Données projet'!$E$12+1,1))</f>
        <v>352.22281362023102</v>
      </c>
      <c r="CE194" s="59">
        <f t="shared" si="148"/>
        <v>310.2353747925161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2.9471408404448072</v>
      </c>
      <c r="CL194" s="21">
        <f>EXP(-LN(2)/25)*CL193+(1-EXP(-LN(2)/25))/(LN(2)/25)*Calculateur!CG194*Calculateur!CI194*VLOOKUP('Données projet'!$B$12,Paramètres!$A$1:$I$89,3,0)*0.475*44/12</f>
        <v>1.3423507854495151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4.2894916258943221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-4.5474735088646412E-13</v>
      </c>
      <c r="CU194" s="17">
        <f>CT194*VLOOKUP('Données projet'!$B$13,Paramètres!$A$1:$I$89,3,0)*VLOOKUP('Données projet'!$B$13,Paramètres!$A$1:$I$89,5,0)</f>
        <v>-4.1145540308207271E-13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345.49688858037996</v>
      </c>
      <c r="CZ194" s="59">
        <f t="shared" si="150"/>
        <v>213.15872113755023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78.467562476848443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78.467562476848443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-4.5474735088646412E-13</v>
      </c>
      <c r="DP194" s="17">
        <f>DO194*VLOOKUP('Données projet'!$B$14,Paramètres!$A$1:$I$89,3,0)*VLOOKUP('Données projet'!$B$14,Paramètres!$A$1:$I$89,5,0)</f>
        <v>-4.6111381379887462E-13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382.26108489744581</v>
      </c>
      <c r="DU194" s="59">
        <f t="shared" si="152"/>
        <v>233.89423996158826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87.937785534399154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87.937785534399154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-2.4158453015843406E-13</v>
      </c>
      <c r="EK194" s="17">
        <f>EJ194*VLOOKUP('Données projet'!$B$15,Paramètres!$A$1:$I$89,3,0)*VLOOKUP('Données projet'!$B$15,Paramètres!$A$1:$I$89,5,0)</f>
        <v>-2.0351080820546486E-13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312.48716825299158</v>
      </c>
      <c r="EP194" s="59">
        <f t="shared" si="154"/>
        <v>258.68277822755357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29.947236540184811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29.947236540184811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-4.5474735088646412E-13</v>
      </c>
      <c r="FF194" s="17">
        <f>FE194*VLOOKUP('Données projet'!$B$16,Paramètres!$A$1:$I$89,3,0)*VLOOKUP('Données projet'!$B$16,Paramètres!$A$1:$I$89,5,0)</f>
        <v>-4.8949004849418999E-13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403.23110963096246</v>
      </c>
      <c r="FK194" s="59">
        <f t="shared" si="156"/>
        <v>245.72000393124898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93.349341567285165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93.349341567285165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-4.5474735088646412E-13</v>
      </c>
      <c r="GA194" s="17">
        <f>FZ194*VLOOKUP('Données projet'!$B$17,Paramètres!$A$1:$I$89,3,0)*VLOOKUP('Données projet'!$B$17,Paramètres!$A$1:$I$89,5,0)</f>
        <v>-4.3983163777738812E-13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336.2911850338175</v>
      </c>
      <c r="GF194" s="59">
        <f t="shared" si="158"/>
        <v>225.01415116995503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83.879118509734525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83.879118509734525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-4.5474735088646412E-13</v>
      </c>
      <c r="GV194" s="17">
        <f>GU194*VLOOKUP('Données projet'!$B$18,Paramètres!$A$1:$I$89,3,0)*VLOOKUP('Données projet'!$B$18,Paramètres!$A$1:$I$89,5,0)</f>
        <v>-3.0504452297464016E-13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266.37807768393191</v>
      </c>
      <c r="HA194" s="59">
        <f t="shared" si="160"/>
        <v>168.52019826233425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71.703117435740822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190"/>
        <v>71.703117435740822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266.99999999999983</v>
      </c>
      <c r="O195" s="13">
        <f>N195*VLOOKUP('Données projet'!$B$9,Paramètres!$A$1:$I$89,3,0)*VLOOKUP('Données projet'!$B$9,Paramètres!$A$1:$I$89,5,0)</f>
        <v>233.2511999999999</v>
      </c>
      <c r="P195" s="13">
        <f t="shared" si="141"/>
        <v>56.985091661350864</v>
      </c>
      <c r="Q195" s="20">
        <f t="shared" si="162"/>
        <v>505.49487464351915</v>
      </c>
      <c r="R195" s="59">
        <f t="shared" ref="R195:R203" si="191">Q195+(I195+J195)*44/12</f>
        <v>798.82820797685247</v>
      </c>
      <c r="S195" s="59">
        <f ca="1">AVERAGE(OFFSET($R$3,0,0,'Données projet'!$E$9+1,1))-AVERAGE(OFFSET($H$3,0,0,'Données projet'!$E$9+1,1))</f>
        <v>324.86930206492627</v>
      </c>
      <c r="T195" s="59">
        <f t="shared" si="142"/>
        <v>317.03005098025352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3.4401982673848055</v>
      </c>
      <c r="AA195" s="21">
        <f>EXP(-LN(2)/25)*AA194+(1-EXP(-LN(2)/25))/(LN(2)/25)*Calculateur!V195*Calculateur!X195*VLOOKUP('Données projet'!$B$9,Paramètres!$A$1:$I$89,3,0)*0.475*44/12</f>
        <v>0.40981907826842029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3.8500173456532258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5.4092197387944907E-13</v>
      </c>
      <c r="AK195" s="13">
        <f t="shared" si="164"/>
        <v>6.6765148417791561E-12</v>
      </c>
      <c r="AL195" s="20">
        <f t="shared" si="165"/>
        <v>1.2570369120605403E-11</v>
      </c>
      <c r="AM195" s="59">
        <f t="shared" si="113"/>
        <v>293.33333333334588</v>
      </c>
      <c r="AN195" s="59">
        <f ca="1">AVERAGE(OFFSET($AM$3,0,0,'Données projet'!$E$10+1,1))-AVERAGE(OFFSET($H$3,0,0,'Données projet'!$E$10+1,1))</f>
        <v>401.81944956556271</v>
      </c>
      <c r="AO195" s="59">
        <f t="shared" si="144"/>
        <v>292.20785523952651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53.729111542185649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53.729111542185649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1.7053025658242404E-13</v>
      </c>
      <c r="BE195" s="13">
        <f>BD195*VLOOKUP('Données projet'!$B$11,Paramètres!$A$1:$I$89,3,0)*VLOOKUP('Données projet'!$B$11,Paramètres!$A$1:$I$89,5,0)</f>
        <v>1.3301360013429075E-13</v>
      </c>
      <c r="BF195" s="13">
        <f t="shared" si="167"/>
        <v>1.9329766731057041E-12</v>
      </c>
      <c r="BG195" s="20">
        <f t="shared" si="168"/>
        <v>3.5982663925596575E-12</v>
      </c>
      <c r="BH195" s="59">
        <f t="shared" si="116"/>
        <v>293.3333333333369</v>
      </c>
      <c r="BI195" s="59">
        <f ca="1">AVERAGE(OFFSET($BH$3,0,0,'Données projet'!$E$11+1,1))-AVERAGE(OFFSET($H$3,0,0,'Données projet'!$E$11+1,1))</f>
        <v>288.80569134263209</v>
      </c>
      <c r="BJ195" s="59">
        <f t="shared" si="146"/>
        <v>283.48738729114024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7.1006085887943815</v>
      </c>
      <c r="BQ195" s="21">
        <f>EXP(-LN(2)/25)*BQ194+(1-EXP(-LN(2)/25))/(LN(2)/25)*Calculateur!BL195*Calculateur!BN195*VLOOKUP('Données projet'!$B$11,Paramètres!$A$1:$I$89,3,0)*0.475*44/12</f>
        <v>2.2530848405658834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9.3536934293602645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212.00000000000009</v>
      </c>
      <c r="BZ195" s="13">
        <f>BY195*VLOOKUP('Données projet'!$B$12,Paramètres!$A$1:$I$89,3,0)*VLOOKUP('Données projet'!$B$12,Paramètres!$A$1:$I$89,5,0)</f>
        <v>221.58240000000012</v>
      </c>
      <c r="CA195" s="13">
        <f t="shared" si="170"/>
        <v>54.458668952651578</v>
      </c>
      <c r="CB195" s="20">
        <f t="shared" si="171"/>
        <v>480.77152842586838</v>
      </c>
      <c r="CC195" s="59">
        <f t="shared" si="119"/>
        <v>774.10486175920164</v>
      </c>
      <c r="CD195" s="59">
        <f ca="1">AVERAGE(OFFSET($CC$3,0,0,'Données projet'!$E$12+1,1))-AVERAGE(OFFSET($H$3,0,0,'Données projet'!$E$12+1,1))</f>
        <v>352.22281362023102</v>
      </c>
      <c r="CE195" s="59">
        <f t="shared" si="148"/>
        <v>310.2353747925161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2.8893492061421009</v>
      </c>
      <c r="CL195" s="21">
        <f>EXP(-LN(2)/25)*CL194+(1-EXP(-LN(2)/25))/(LN(2)/25)*Calculateur!CG195*Calculateur!CI195*VLOOKUP('Données projet'!$B$12,Paramètres!$A$1:$I$89,3,0)*0.475*44/12</f>
        <v>1.3056441326302384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4.1949933387723393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-4.5474735088646412E-13</v>
      </c>
      <c r="CU195" s="17">
        <f>CT195*VLOOKUP('Données projet'!$B$13,Paramètres!$A$1:$I$89,3,0)*VLOOKUP('Données projet'!$B$13,Paramètres!$A$1:$I$89,5,0)</f>
        <v>-4.1145540308207271E-13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345.49688858037996</v>
      </c>
      <c r="CZ195" s="59">
        <f t="shared" si="150"/>
        <v>213.15872113755023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76.928861437164727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76.928861437164727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-4.5474735088646412E-13</v>
      </c>
      <c r="DP195" s="17">
        <f>DO195*VLOOKUP('Données projet'!$B$14,Paramètres!$A$1:$I$89,3,0)*VLOOKUP('Données projet'!$B$14,Paramètres!$A$1:$I$89,5,0)</f>
        <v>-4.6111381379887462E-13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382.26108489744581</v>
      </c>
      <c r="DU195" s="59">
        <f t="shared" si="152"/>
        <v>233.89423996158826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86.213379196822572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86.213379196822572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-2.4158453015843406E-13</v>
      </c>
      <c r="EK195" s="17">
        <f>EJ195*VLOOKUP('Données projet'!$B$15,Paramètres!$A$1:$I$89,3,0)*VLOOKUP('Données projet'!$B$15,Paramètres!$A$1:$I$89,5,0)</f>
        <v>-2.0351080820546486E-13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312.48716825299158</v>
      </c>
      <c r="EP195" s="59">
        <f t="shared" si="154"/>
        <v>258.68277822755357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29.359989497642456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29.359989497642456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-4.5474735088646412E-13</v>
      </c>
      <c r="FF195" s="17">
        <f>FE195*VLOOKUP('Données projet'!$B$16,Paramètres!$A$1:$I$89,3,0)*VLOOKUP('Données projet'!$B$16,Paramètres!$A$1:$I$89,5,0)</f>
        <v>-4.8949004849418999E-13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403.23110963096246</v>
      </c>
      <c r="FK195" s="59">
        <f t="shared" si="156"/>
        <v>245.72000393124898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91.518817916626944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91.518817916626944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-4.5474735088646412E-13</v>
      </c>
      <c r="GA195" s="17">
        <f>FZ195*VLOOKUP('Données projet'!$B$17,Paramètres!$A$1:$I$89,3,0)*VLOOKUP('Données projet'!$B$17,Paramètres!$A$1:$I$89,5,0)</f>
        <v>-4.3983163777738812E-13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336.2911850338175</v>
      </c>
      <c r="GF195" s="59">
        <f t="shared" si="158"/>
        <v>225.01415116995503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82.234300156969169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82.234300156969169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-4.5474735088646412E-13</v>
      </c>
      <c r="GV195" s="17">
        <f>GU195*VLOOKUP('Données projet'!$B$18,Paramètres!$A$1:$I$89,3,0)*VLOOKUP('Données projet'!$B$18,Paramètres!$A$1:$I$89,5,0)</f>
        <v>-3.0504452297464016E-13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266.37807768393191</v>
      </c>
      <c r="HA195" s="59">
        <f t="shared" si="160"/>
        <v>168.52019826233425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70.297063037409146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190"/>
        <v>70.297063037409146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266.99999999999983</v>
      </c>
      <c r="O196" s="13">
        <f>N196*VLOOKUP('Données projet'!$B$9,Paramètres!$A$1:$I$89,3,0)*VLOOKUP('Données projet'!$B$9,Paramètres!$A$1:$I$89,5,0)</f>
        <v>233.2511999999999</v>
      </c>
      <c r="P196" s="13">
        <f t="shared" si="141"/>
        <v>56.985091661350864</v>
      </c>
      <c r="Q196" s="20">
        <f t="shared" si="162"/>
        <v>505.49487464351915</v>
      </c>
      <c r="R196" s="59">
        <f t="shared" si="191"/>
        <v>798.82820797685247</v>
      </c>
      <c r="S196" s="59">
        <f ca="1">AVERAGE(OFFSET($R$3,0,0,'Données projet'!$E$9+1,1))-AVERAGE(OFFSET($H$3,0,0,'Données projet'!$E$9+1,1))</f>
        <v>324.86930206492627</v>
      </c>
      <c r="T196" s="59">
        <f t="shared" si="142"/>
        <v>317.03005098025352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3.3727380776751414</v>
      </c>
      <c r="AA196" s="21">
        <f>EXP(-LN(2)/25)*AA195+(1-EXP(-LN(2)/25))/(LN(2)/25)*Calculateur!V196*Calculateur!X196*VLOOKUP('Données projet'!$B$9,Paramètres!$A$1:$I$89,3,0)*0.475*44/12</f>
        <v>0.39861255402172169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3.7713506316968632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5.4092197387944907E-13</v>
      </c>
      <c r="AK196" s="13">
        <f t="shared" si="164"/>
        <v>6.6765148417791561E-12</v>
      </c>
      <c r="AL196" s="20">
        <f t="shared" si="165"/>
        <v>1.2570369120605403E-11</v>
      </c>
      <c r="AM196" s="59">
        <f t="shared" ref="AM196:AM203" si="193">AL196+(AD196+AE196)*44/12</f>
        <v>293.33333333334588</v>
      </c>
      <c r="AN196" s="59">
        <f ca="1">AVERAGE(OFFSET($AM$3,0,0,'Données projet'!$E$10+1,1))-AVERAGE(OFFSET($H$3,0,0,'Données projet'!$E$10+1,1))</f>
        <v>401.81944956556271</v>
      </c>
      <c r="AO196" s="59">
        <f t="shared" si="144"/>
        <v>292.20785523952651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52.675516436365513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52.675516436365513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1.7053025658242404E-13</v>
      </c>
      <c r="BE196" s="13">
        <f>BD196*VLOOKUP('Données projet'!$B$11,Paramètres!$A$1:$I$89,3,0)*VLOOKUP('Données projet'!$B$11,Paramètres!$A$1:$I$89,5,0)</f>
        <v>1.3301360013429075E-13</v>
      </c>
      <c r="BF196" s="13">
        <f t="shared" si="167"/>
        <v>1.9329766731057041E-12</v>
      </c>
      <c r="BG196" s="20">
        <f t="shared" si="168"/>
        <v>3.5982663925596575E-12</v>
      </c>
      <c r="BH196" s="59">
        <f t="shared" ref="BH196:BH203" si="194">BG196+(AY196+AZ196)*44/12</f>
        <v>293.3333333333369</v>
      </c>
      <c r="BI196" s="59">
        <f ca="1">AVERAGE(OFFSET($BH$3,0,0,'Données projet'!$E$11+1,1))-AVERAGE(OFFSET($H$3,0,0,'Données projet'!$E$11+1,1))</f>
        <v>288.80569134263209</v>
      </c>
      <c r="BJ196" s="59">
        <f t="shared" si="146"/>
        <v>283.48738729114024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6.9613699853117179</v>
      </c>
      <c r="BQ196" s="21">
        <f>EXP(-LN(2)/25)*BQ195+(1-EXP(-LN(2)/25))/(LN(2)/25)*Calculateur!BL196*Calculateur!BN196*VLOOKUP('Données projet'!$B$11,Paramètres!$A$1:$I$89,3,0)*0.475*44/12</f>
        <v>2.191474117116027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9.1528441024277445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212.00000000000009</v>
      </c>
      <c r="BZ196" s="13">
        <f>BY196*VLOOKUP('Données projet'!$B$12,Paramètres!$A$1:$I$89,3,0)*VLOOKUP('Données projet'!$B$12,Paramètres!$A$1:$I$89,5,0)</f>
        <v>221.58240000000012</v>
      </c>
      <c r="CA196" s="13">
        <f t="shared" si="170"/>
        <v>54.458668952651578</v>
      </c>
      <c r="CB196" s="20">
        <f t="shared" si="171"/>
        <v>480.77152842586838</v>
      </c>
      <c r="CC196" s="59">
        <f t="shared" ref="CC196:CC203" si="195">CB196+(BT196+BU196)*44/12</f>
        <v>774.10486175920164</v>
      </c>
      <c r="CD196" s="59">
        <f ca="1">AVERAGE(OFFSET($CC$3,0,0,'Données projet'!$E$12+1,1))-AVERAGE(OFFSET($H$3,0,0,'Données projet'!$E$12+1,1))</f>
        <v>352.22281362023102</v>
      </c>
      <c r="CE196" s="59">
        <f t="shared" si="148"/>
        <v>310.2353747925161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2.8326908305386547</v>
      </c>
      <c r="CL196" s="21">
        <f>EXP(-LN(2)/25)*CL195+(1-EXP(-LN(2)/25))/(LN(2)/25)*Calculateur!CG196*Calculateur!CI196*VLOOKUP('Données projet'!$B$12,Paramètres!$A$1:$I$89,3,0)*0.475*44/12</f>
        <v>1.2699412251626236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4.1026320557012781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-4.5474735088646412E-13</v>
      </c>
      <c r="CU196" s="17">
        <f>CT196*VLOOKUP('Données projet'!$B$13,Paramètres!$A$1:$I$89,3,0)*VLOOKUP('Données projet'!$B$13,Paramètres!$A$1:$I$89,5,0)</f>
        <v>-4.1145540308207271E-13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345.49688858037996</v>
      </c>
      <c r="CZ196" s="59">
        <f t="shared" si="150"/>
        <v>213.15872113755023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75.420333386354244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75.420333386354244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-4.5474735088646412E-13</v>
      </c>
      <c r="DP196" s="17">
        <f>DO196*VLOOKUP('Données projet'!$B$14,Paramètres!$A$1:$I$89,3,0)*VLOOKUP('Données projet'!$B$14,Paramètres!$A$1:$I$89,5,0)</f>
        <v>-4.6111381379887462E-13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382.26108489744581</v>
      </c>
      <c r="DU196" s="59">
        <f t="shared" si="152"/>
        <v>233.89423996158826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84.52278741574186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84.52278741574186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-2.4158453015843406E-13</v>
      </c>
      <c r="EK196" s="17">
        <f>EJ196*VLOOKUP('Données projet'!$B$15,Paramètres!$A$1:$I$89,3,0)*VLOOKUP('Données projet'!$B$15,Paramètres!$A$1:$I$89,5,0)</f>
        <v>-2.0351080820546486E-13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312.48716825299158</v>
      </c>
      <c r="EP196" s="59">
        <f t="shared" si="154"/>
        <v>258.68277822755357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28.784258011419031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28.784258011419031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-4.5474735088646412E-13</v>
      </c>
      <c r="FF196" s="17">
        <f>FE196*VLOOKUP('Données projet'!$B$16,Paramètres!$A$1:$I$89,3,0)*VLOOKUP('Données projet'!$B$16,Paramètres!$A$1:$I$89,5,0)</f>
        <v>-4.8949004849418999E-13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403.23110963096246</v>
      </c>
      <c r="FK196" s="59">
        <f t="shared" si="156"/>
        <v>245.72000393124898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89.724189718248951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89.724189718248951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-4.5474735088646412E-13</v>
      </c>
      <c r="GA196" s="17">
        <f>FZ196*VLOOKUP('Données projet'!$B$17,Paramètres!$A$1:$I$89,3,0)*VLOOKUP('Données projet'!$B$17,Paramètres!$A$1:$I$89,5,0)</f>
        <v>-4.3983163777738812E-13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336.2911850338175</v>
      </c>
      <c r="GF196" s="59">
        <f t="shared" si="158"/>
        <v>225.01415116995503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80.621735688861406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80.621735688861406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-4.5474735088646412E-13</v>
      </c>
      <c r="GV196" s="17">
        <f>GU196*VLOOKUP('Données projet'!$B$18,Paramètres!$A$1:$I$89,3,0)*VLOOKUP('Données projet'!$B$18,Paramètres!$A$1:$I$89,5,0)</f>
        <v>-3.0504452297464016E-13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266.37807768393191</v>
      </c>
      <c r="HA196" s="59">
        <f t="shared" si="160"/>
        <v>168.52019826233425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68.918580508220259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190"/>
        <v>68.918580508220259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266.99999999999983</v>
      </c>
      <c r="O197" s="13">
        <f>N197*VLOOKUP('Données projet'!$B$9,Paramètres!$A$1:$I$89,3,0)*VLOOKUP('Données projet'!$B$9,Paramètres!$A$1:$I$89,5,0)</f>
        <v>233.2511999999999</v>
      </c>
      <c r="P197" s="13">
        <f t="shared" ref="P197:P203" si="203">EXP(-1.0587+0.8836*LN(O197)+0.284)</f>
        <v>56.985091661350864</v>
      </c>
      <c r="Q197" s="20">
        <f t="shared" si="162"/>
        <v>505.49487464351915</v>
      </c>
      <c r="R197" s="59">
        <f t="shared" si="191"/>
        <v>798.82820797685247</v>
      </c>
      <c r="S197" s="59">
        <f ca="1">AVERAGE(OFFSET($R$3,0,0,'Données projet'!$E$9+1,1))-AVERAGE(OFFSET($H$3,0,0,'Données projet'!$E$9+1,1))</f>
        <v>324.86930206492627</v>
      </c>
      <c r="T197" s="59">
        <f t="shared" ref="T197:T203" si="204">$T$3</f>
        <v>317.03005098025352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3.306600741139031</v>
      </c>
      <c r="AA197" s="21">
        <f>EXP(-LN(2)/25)*AA196+(1-EXP(-LN(2)/25))/(LN(2)/25)*Calculateur!V197*Calculateur!X197*VLOOKUP('Données projet'!$B$9,Paramètres!$A$1:$I$89,3,0)*0.475*44/12</f>
        <v>0.38771247276987453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3.6943132139089054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5.4092197387944907E-13</v>
      </c>
      <c r="AK197" s="13">
        <f t="shared" si="164"/>
        <v>6.6765148417791561E-12</v>
      </c>
      <c r="AL197" s="20">
        <f t="shared" si="165"/>
        <v>1.2570369120605403E-11</v>
      </c>
      <c r="AM197" s="59">
        <f t="shared" si="193"/>
        <v>293.33333333334588</v>
      </c>
      <c r="AN197" s="59">
        <f ca="1">AVERAGE(OFFSET($AM$3,0,0,'Données projet'!$E$10+1,1))-AVERAGE(OFFSET($H$3,0,0,'Données projet'!$E$10+1,1))</f>
        <v>401.81944956556271</v>
      </c>
      <c r="AO197" s="59">
        <f t="shared" ref="AO197:AO203" si="205">$AO$3</f>
        <v>292.20785523952651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51.642581687940947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51.642581687940947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1.7053025658242404E-13</v>
      </c>
      <c r="BE197" s="13">
        <f>BD197*VLOOKUP('Données projet'!$B$11,Paramètres!$A$1:$I$89,3,0)*VLOOKUP('Données projet'!$B$11,Paramètres!$A$1:$I$89,5,0)</f>
        <v>1.3301360013429075E-13</v>
      </c>
      <c r="BF197" s="13">
        <f t="shared" si="167"/>
        <v>1.9329766731057041E-12</v>
      </c>
      <c r="BG197" s="20">
        <f t="shared" si="168"/>
        <v>3.5982663925596575E-12</v>
      </c>
      <c r="BH197" s="59">
        <f t="shared" si="194"/>
        <v>293.3333333333369</v>
      </c>
      <c r="BI197" s="59">
        <f ca="1">AVERAGE(OFFSET($BH$3,0,0,'Données projet'!$E$11+1,1))-AVERAGE(OFFSET($H$3,0,0,'Données projet'!$E$11+1,1))</f>
        <v>288.80569134263209</v>
      </c>
      <c r="BJ197" s="59">
        <f t="shared" ref="BJ197:BJ203" si="206">$BJ$3</f>
        <v>283.48738729114024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6.8248617659161868</v>
      </c>
      <c r="BQ197" s="21">
        <f>EXP(-LN(2)/25)*BQ196+(1-EXP(-LN(2)/25))/(LN(2)/25)*Calculateur!BL197*Calculateur!BN197*VLOOKUP('Données projet'!$B$11,Paramètres!$A$1:$I$89,3,0)*0.475*44/12</f>
        <v>2.131548142138874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8.9564099080550612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212.00000000000009</v>
      </c>
      <c r="BZ197" s="13">
        <f>BY197*VLOOKUP('Données projet'!$B$12,Paramètres!$A$1:$I$89,3,0)*VLOOKUP('Données projet'!$B$12,Paramètres!$A$1:$I$89,5,0)</f>
        <v>221.58240000000012</v>
      </c>
      <c r="CA197" s="13">
        <f t="shared" si="170"/>
        <v>54.458668952651578</v>
      </c>
      <c r="CB197" s="20">
        <f t="shared" si="171"/>
        <v>480.77152842586838</v>
      </c>
      <c r="CC197" s="59">
        <f t="shared" si="195"/>
        <v>774.10486175920164</v>
      </c>
      <c r="CD197" s="59">
        <f ca="1">AVERAGE(OFFSET($CC$3,0,0,'Données projet'!$E$12+1,1))-AVERAGE(OFFSET($H$3,0,0,'Données projet'!$E$12+1,1))</f>
        <v>352.22281362023102</v>
      </c>
      <c r="CE197" s="59">
        <f t="shared" ref="CE197:CE203" si="207">$CE$3</f>
        <v>310.2353747925161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2.7771434911225952</v>
      </c>
      <c r="CL197" s="21">
        <f>EXP(-LN(2)/25)*CL196+(1-EXP(-LN(2)/25))/(LN(2)/25)*Calculateur!CG197*Calculateur!CI197*VLOOKUP('Données projet'!$B$12,Paramètres!$A$1:$I$89,3,0)*0.475*44/12</f>
        <v>1.2352146155772452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4.0123581066998408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-4.5474735088646412E-13</v>
      </c>
      <c r="CU197" s="17">
        <f>CT197*VLOOKUP('Données projet'!$B$13,Paramètres!$A$1:$I$89,3,0)*VLOOKUP('Données projet'!$B$13,Paramètres!$A$1:$I$89,5,0)</f>
        <v>-4.1145540308207271E-13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345.49688858037996</v>
      </c>
      <c r="CZ197" s="59">
        <f t="shared" ref="CZ197:CZ203" si="208">$CZ$3</f>
        <v>213.15872113755023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73.941386650508903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73.941386650508903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-4.5474735088646412E-13</v>
      </c>
      <c r="DP197" s="17">
        <f>DO197*VLOOKUP('Données projet'!$B$14,Paramètres!$A$1:$I$89,3,0)*VLOOKUP('Données projet'!$B$14,Paramètres!$A$1:$I$89,5,0)</f>
        <v>-4.6111381379887462E-13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382.26108489744581</v>
      </c>
      <c r="DU197" s="59">
        <f t="shared" ref="DU197:DU203" si="209">$DU$3</f>
        <v>233.89423996158826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82.865347108328976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82.865347108328976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-2.4158453015843406E-13</v>
      </c>
      <c r="EK197" s="17">
        <f>EJ197*VLOOKUP('Données projet'!$B$15,Paramètres!$A$1:$I$89,3,0)*VLOOKUP('Données projet'!$B$15,Paramètres!$A$1:$I$89,5,0)</f>
        <v>-2.0351080820546486E-13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312.48716825299158</v>
      </c>
      <c r="EP197" s="59">
        <f t="shared" ref="EP197:EP203" si="210">$EP$3</f>
        <v>258.68277822755357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28.219816268478915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28.219816268478915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-4.5474735088646412E-13</v>
      </c>
      <c r="FF197" s="17">
        <f>FE197*VLOOKUP('Données projet'!$B$16,Paramètres!$A$1:$I$89,3,0)*VLOOKUP('Données projet'!$B$16,Paramètres!$A$1:$I$89,5,0)</f>
        <v>-4.8949004849418999E-13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403.23110963096246</v>
      </c>
      <c r="FK197" s="59">
        <f t="shared" ref="FK197:FK203" si="211">$FK$3</f>
        <v>245.72000393124898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87.964753084226032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87.964753084226032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-4.5474735088646412E-13</v>
      </c>
      <c r="GA197" s="17">
        <f>FZ197*VLOOKUP('Données projet'!$B$17,Paramètres!$A$1:$I$89,3,0)*VLOOKUP('Données projet'!$B$17,Paramètres!$A$1:$I$89,5,0)</f>
        <v>-4.3983163777738812E-13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336.2911850338175</v>
      </c>
      <c r="GF197" s="59">
        <f t="shared" ref="GF197:GF203" si="212">$GF$3</f>
        <v>225.01415116995503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79.040792626406031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79.040792626406031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-4.5474735088646412E-13</v>
      </c>
      <c r="GV197" s="17">
        <f>GU197*VLOOKUP('Données projet'!$B$18,Paramètres!$A$1:$I$89,3,0)*VLOOKUP('Données projet'!$B$18,Paramètres!$A$1:$I$89,5,0)</f>
        <v>-3.0504452297464016E-13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266.37807768393191</v>
      </c>
      <c r="HA197" s="59">
        <f t="shared" ref="HA197:HA203" si="213">$HA$3</f>
        <v>168.52019826233425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67.567129180637437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190"/>
        <v>67.567129180637437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266.99999999999983</v>
      </c>
      <c r="O198" s="13">
        <f>N198*VLOOKUP('Données projet'!$B$9,Paramètres!$A$1:$I$89,3,0)*VLOOKUP('Données projet'!$B$9,Paramètres!$A$1:$I$89,5,0)</f>
        <v>233.2511999999999</v>
      </c>
      <c r="P198" s="13">
        <f t="shared" si="203"/>
        <v>56.985091661350864</v>
      </c>
      <c r="Q198" s="20">
        <f t="shared" si="162"/>
        <v>505.49487464351915</v>
      </c>
      <c r="R198" s="59">
        <f t="shared" si="191"/>
        <v>798.82820797685247</v>
      </c>
      <c r="S198" s="59">
        <f ca="1">AVERAGE(OFFSET($R$3,0,0,'Données projet'!$E$9+1,1))-AVERAGE(OFFSET($H$3,0,0,'Données projet'!$E$9+1,1))</f>
        <v>324.86930206492627</v>
      </c>
      <c r="T198" s="59">
        <f t="shared" si="204"/>
        <v>317.03005098025352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3.2417603174326017</v>
      </c>
      <c r="AA198" s="21">
        <f>EXP(-LN(2)/25)*AA197+(1-EXP(-LN(2)/25))/(LN(2)/25)*Calculateur!V198*Calculateur!X198*VLOOKUP('Données projet'!$B$9,Paramètres!$A$1:$I$89,3,0)*0.475*44/12</f>
        <v>0.37711045481306948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3.6188707722456712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5.4092197387944907E-13</v>
      </c>
      <c r="AK198" s="13">
        <f t="shared" si="164"/>
        <v>6.6765148417791561E-12</v>
      </c>
      <c r="AL198" s="20">
        <f t="shared" si="165"/>
        <v>1.2570369120605403E-11</v>
      </c>
      <c r="AM198" s="59">
        <f t="shared" si="193"/>
        <v>293.33333333334588</v>
      </c>
      <c r="AN198" s="59">
        <f ca="1">AVERAGE(OFFSET($AM$3,0,0,'Données projet'!$E$10+1,1))-AVERAGE(OFFSET($H$3,0,0,'Données projet'!$E$10+1,1))</f>
        <v>401.81944956556271</v>
      </c>
      <c r="AO198" s="59">
        <f t="shared" si="205"/>
        <v>292.20785523952651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50.629902159905001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50.629902159905001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1.7053025658242404E-13</v>
      </c>
      <c r="BE198" s="13">
        <f>BD198*VLOOKUP('Données projet'!$B$11,Paramètres!$A$1:$I$89,3,0)*VLOOKUP('Données projet'!$B$11,Paramètres!$A$1:$I$89,5,0)</f>
        <v>1.3301360013429075E-13</v>
      </c>
      <c r="BF198" s="13">
        <f t="shared" si="167"/>
        <v>1.9329766731057041E-12</v>
      </c>
      <c r="BG198" s="20">
        <f t="shared" si="168"/>
        <v>3.5982663925596575E-12</v>
      </c>
      <c r="BH198" s="59">
        <f t="shared" si="194"/>
        <v>293.3333333333369</v>
      </c>
      <c r="BI198" s="59">
        <f ca="1">AVERAGE(OFFSET($BH$3,0,0,'Données projet'!$E$11+1,1))-AVERAGE(OFFSET($H$3,0,0,'Données projet'!$E$11+1,1))</f>
        <v>288.80569134263209</v>
      </c>
      <c r="BJ198" s="59">
        <f t="shared" si="206"/>
        <v>283.48738729114024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6.6910303894412095</v>
      </c>
      <c r="BQ198" s="21">
        <f>EXP(-LN(2)/25)*BQ197+(1-EXP(-LN(2)/25))/(LN(2)/25)*Calculateur!BL198*Calculateur!BN198*VLOOKUP('Données projet'!$B$11,Paramètres!$A$1:$I$89,3,0)*0.475*44/12</f>
        <v>2.0732608460988415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8.7642912355400515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212.00000000000009</v>
      </c>
      <c r="BZ198" s="13">
        <f>BY198*VLOOKUP('Données projet'!$B$12,Paramètres!$A$1:$I$89,3,0)*VLOOKUP('Données projet'!$B$12,Paramètres!$A$1:$I$89,5,0)</f>
        <v>221.58240000000012</v>
      </c>
      <c r="CA198" s="13">
        <f t="shared" si="170"/>
        <v>54.458668952651578</v>
      </c>
      <c r="CB198" s="20">
        <f t="shared" si="171"/>
        <v>480.77152842586838</v>
      </c>
      <c r="CC198" s="59">
        <f t="shared" si="195"/>
        <v>774.10486175920164</v>
      </c>
      <c r="CD198" s="59">
        <f ca="1">AVERAGE(OFFSET($CC$3,0,0,'Données projet'!$E$12+1,1))-AVERAGE(OFFSET($H$3,0,0,'Données projet'!$E$12+1,1))</f>
        <v>352.22281362023102</v>
      </c>
      <c r="CE198" s="59">
        <f t="shared" si="207"/>
        <v>310.2353747925161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2.7226854011519528</v>
      </c>
      <c r="CL198" s="21">
        <f>EXP(-LN(2)/25)*CL197+(1-EXP(-LN(2)/25))/(LN(2)/25)*Calculateur!CG198*Calculateur!CI198*VLOOKUP('Données projet'!$B$12,Paramètres!$A$1:$I$89,3,0)*0.475*44/12</f>
        <v>1.2014376069571719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3.9241230081091247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-4.5474735088646412E-13</v>
      </c>
      <c r="CU198" s="17">
        <f>CT198*VLOOKUP('Données projet'!$B$13,Paramètres!$A$1:$I$89,3,0)*VLOOKUP('Données projet'!$B$13,Paramètres!$A$1:$I$89,5,0)</f>
        <v>-4.1145540308207271E-13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345.49688858037996</v>
      </c>
      <c r="CZ198" s="59">
        <f t="shared" si="208"/>
        <v>213.15872113755023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72.491441158085053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72.491441158085053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-4.5474735088646412E-13</v>
      </c>
      <c r="DP198" s="17">
        <f>DO198*VLOOKUP('Données projet'!$B$14,Paramètres!$A$1:$I$89,3,0)*VLOOKUP('Données projet'!$B$14,Paramètres!$A$1:$I$89,5,0)</f>
        <v>-4.6111381379887462E-13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382.26108489744581</v>
      </c>
      <c r="DU198" s="59">
        <f t="shared" si="209"/>
        <v>233.89423996158826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81.240408194405688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81.240408194405688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-2.4158453015843406E-13</v>
      </c>
      <c r="EK198" s="17">
        <f>EJ198*VLOOKUP('Données projet'!$B$15,Paramètres!$A$1:$I$89,3,0)*VLOOKUP('Données projet'!$B$15,Paramètres!$A$1:$I$89,5,0)</f>
        <v>-2.0351080820546486E-13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312.48716825299158</v>
      </c>
      <c r="EP198" s="59">
        <f t="shared" si="210"/>
        <v>258.68277822755357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27.666442883842386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27.666442883842386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-4.5474735088646412E-13</v>
      </c>
      <c r="FF198" s="17">
        <f>FE198*VLOOKUP('Données projet'!$B$16,Paramètres!$A$1:$I$89,3,0)*VLOOKUP('Données projet'!$B$16,Paramètres!$A$1:$I$89,5,0)</f>
        <v>-4.8949004849418999E-13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403.23110963096246</v>
      </c>
      <c r="FK198" s="59">
        <f t="shared" si="211"/>
        <v>245.72000393124898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86.239817929445934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86.239817929445934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-4.5474735088646412E-13</v>
      </c>
      <c r="GA198" s="17">
        <f>FZ198*VLOOKUP('Données projet'!$B$17,Paramètres!$A$1:$I$89,3,0)*VLOOKUP('Données projet'!$B$17,Paramètres!$A$1:$I$89,5,0)</f>
        <v>-4.3983163777738812E-13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336.2911850338175</v>
      </c>
      <c r="GF198" s="59">
        <f t="shared" si="212"/>
        <v>225.01415116995503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77.490850893125355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77.490850893125355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-4.5474735088646412E-13</v>
      </c>
      <c r="GV198" s="17">
        <f>GU198*VLOOKUP('Données projet'!$B$18,Paramètres!$A$1:$I$89,3,0)*VLOOKUP('Données projet'!$B$18,Paramètres!$A$1:$I$89,5,0)</f>
        <v>-3.0504452297464016E-13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266.37807768393191</v>
      </c>
      <c r="HA198" s="59">
        <f t="shared" si="213"/>
        <v>168.52019826233425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66.242178989284596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190"/>
        <v>66.242178989284596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266.99999999999983</v>
      </c>
      <c r="O199" s="13">
        <f>N199*VLOOKUP('Données projet'!$B$9,Paramètres!$A$1:$I$89,3,0)*VLOOKUP('Données projet'!$B$9,Paramètres!$A$1:$I$89,5,0)</f>
        <v>233.2511999999999</v>
      </c>
      <c r="P199" s="13">
        <f t="shared" si="203"/>
        <v>56.985091661350864</v>
      </c>
      <c r="Q199" s="20">
        <f t="shared" si="162"/>
        <v>505.49487464351915</v>
      </c>
      <c r="R199" s="59">
        <f t="shared" si="191"/>
        <v>798.82820797685247</v>
      </c>
      <c r="S199" s="59">
        <f ca="1">AVERAGE(OFFSET($R$3,0,0,'Données projet'!$E$9+1,1))-AVERAGE(OFFSET($H$3,0,0,'Données projet'!$E$9+1,1))</f>
        <v>324.86930206492627</v>
      </c>
      <c r="T199" s="59">
        <f t="shared" si="204"/>
        <v>317.03005098025352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3.178191374886302</v>
      </c>
      <c r="AA199" s="21">
        <f>EXP(-LN(2)/25)*AA198+(1-EXP(-LN(2)/25))/(LN(2)/25)*Calculateur!V199*Calculateur!X199*VLOOKUP('Données projet'!$B$9,Paramètres!$A$1:$I$89,3,0)*0.475*44/12</f>
        <v>0.36679834959482915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3.5449897244811313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5.4092197387944907E-13</v>
      </c>
      <c r="AK199" s="13">
        <f t="shared" si="164"/>
        <v>6.6765148417791561E-12</v>
      </c>
      <c r="AL199" s="20">
        <f t="shared" si="165"/>
        <v>1.2570369120605403E-11</v>
      </c>
      <c r="AM199" s="59">
        <f t="shared" si="193"/>
        <v>293.33333333334588</v>
      </c>
      <c r="AN199" s="59">
        <f ca="1">AVERAGE(OFFSET($AM$3,0,0,'Données projet'!$E$10+1,1))-AVERAGE(OFFSET($H$3,0,0,'Données projet'!$E$10+1,1))</f>
        <v>401.81944956556271</v>
      </c>
      <c r="AO199" s="59">
        <f t="shared" si="205"/>
        <v>292.20785523952651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49.63708065974032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49.63708065974032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1.7053025658242404E-13</v>
      </c>
      <c r="BE199" s="13">
        <f>BD199*VLOOKUP('Données projet'!$B$11,Paramètres!$A$1:$I$89,3,0)*VLOOKUP('Données projet'!$B$11,Paramètres!$A$1:$I$89,5,0)</f>
        <v>1.3301360013429075E-13</v>
      </c>
      <c r="BF199" s="13">
        <f t="shared" si="167"/>
        <v>1.9329766731057041E-12</v>
      </c>
      <c r="BG199" s="20">
        <f t="shared" si="168"/>
        <v>3.5982663925596575E-12</v>
      </c>
      <c r="BH199" s="59">
        <f t="shared" si="194"/>
        <v>293.3333333333369</v>
      </c>
      <c r="BI199" s="59">
        <f ca="1">AVERAGE(OFFSET($BH$3,0,0,'Données projet'!$E$11+1,1))-AVERAGE(OFFSET($H$3,0,0,'Données projet'!$E$11+1,1))</f>
        <v>288.80569134263209</v>
      </c>
      <c r="BJ199" s="59">
        <f t="shared" si="206"/>
        <v>283.48738729114024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6.5598233646298274</v>
      </c>
      <c r="BQ199" s="21">
        <f>EXP(-LN(2)/25)*BQ198+(1-EXP(-LN(2)/25))/(LN(2)/25)*Calculateur!BL199*Calculateur!BN199*VLOOKUP('Données projet'!$B$11,Paramètres!$A$1:$I$89,3,0)*0.475*44/12</f>
        <v>2.0165674192342191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8.5763907838640456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212.00000000000009</v>
      </c>
      <c r="BZ199" s="13">
        <f>BY199*VLOOKUP('Données projet'!$B$12,Paramètres!$A$1:$I$89,3,0)*VLOOKUP('Données projet'!$B$12,Paramètres!$A$1:$I$89,5,0)</f>
        <v>221.58240000000012</v>
      </c>
      <c r="CA199" s="13">
        <f t="shared" si="170"/>
        <v>54.458668952651578</v>
      </c>
      <c r="CB199" s="20">
        <f t="shared" si="171"/>
        <v>480.77152842586838</v>
      </c>
      <c r="CC199" s="59">
        <f t="shared" si="195"/>
        <v>774.10486175920164</v>
      </c>
      <c r="CD199" s="59">
        <f ca="1">AVERAGE(OFFSET($CC$3,0,0,'Données projet'!$E$12+1,1))-AVERAGE(OFFSET($H$3,0,0,'Données projet'!$E$12+1,1))</f>
        <v>352.22281362023102</v>
      </c>
      <c r="CE199" s="59">
        <f t="shared" si="207"/>
        <v>310.2353747925161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2.6692952011094797</v>
      </c>
      <c r="CL199" s="21">
        <f>EXP(-LN(2)/25)*CL198+(1-EXP(-LN(2)/25))/(LN(2)/25)*Calculateur!CG199*Calculateur!CI199*VLOOKUP('Données projet'!$B$12,Paramètres!$A$1:$I$89,3,0)*0.475*44/12</f>
        <v>1.1685842324140703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3.83787943352355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-4.5474735088646412E-13</v>
      </c>
      <c r="CU199" s="17">
        <f>CT199*VLOOKUP('Données projet'!$B$13,Paramètres!$A$1:$I$89,3,0)*VLOOKUP('Données projet'!$B$13,Paramètres!$A$1:$I$89,5,0)</f>
        <v>-4.1145540308207271E-13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345.49688858037996</v>
      </c>
      <c r="CZ199" s="59">
        <f t="shared" si="208"/>
        <v>213.15872113755023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71.069928212388206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71.069928212388206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-4.5474735088646412E-13</v>
      </c>
      <c r="DP199" s="17">
        <f>DO199*VLOOKUP('Données projet'!$B$14,Paramètres!$A$1:$I$89,3,0)*VLOOKUP('Données projet'!$B$14,Paramètres!$A$1:$I$89,5,0)</f>
        <v>-4.6111381379887462E-13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382.26108489744581</v>
      </c>
      <c r="DU199" s="59">
        <f t="shared" si="209"/>
        <v>233.89423996158826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79.647333341469562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79.647333341469562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-2.4158453015843406E-13</v>
      </c>
      <c r="EK199" s="17">
        <f>EJ199*VLOOKUP('Données projet'!$B$15,Paramètres!$A$1:$I$89,3,0)*VLOOKUP('Données projet'!$B$15,Paramètres!$A$1:$I$89,5,0)</f>
        <v>-2.0351080820546486E-13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312.48716825299158</v>
      </c>
      <c r="EP199" s="59">
        <f t="shared" si="210"/>
        <v>258.68277822755357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27.123920813754143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27.123920813754143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-4.5474735088646412E-13</v>
      </c>
      <c r="FF199" s="17">
        <f>FE199*VLOOKUP('Données projet'!$B$16,Paramètres!$A$1:$I$89,3,0)*VLOOKUP('Données projet'!$B$16,Paramètres!$A$1:$I$89,5,0)</f>
        <v>-4.8949004849418999E-13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403.23110963096246</v>
      </c>
      <c r="FK199" s="59">
        <f t="shared" si="211"/>
        <v>245.72000393124898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84.548707700944504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84.548707700944504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-4.5474735088646412E-13</v>
      </c>
      <c r="GA199" s="17">
        <f>FZ199*VLOOKUP('Données projet'!$B$17,Paramètres!$A$1:$I$89,3,0)*VLOOKUP('Données projet'!$B$17,Paramètres!$A$1:$I$89,5,0)</f>
        <v>-4.3983163777738812E-13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336.2911850338175</v>
      </c>
      <c r="GF199" s="59">
        <f t="shared" si="212"/>
        <v>225.01415116995503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75.971302571863205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75.971302571863205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-4.5474735088646412E-13</v>
      </c>
      <c r="GV199" s="17">
        <f>GU199*VLOOKUP('Données projet'!$B$18,Paramètres!$A$1:$I$89,3,0)*VLOOKUP('Données projet'!$B$18,Paramètres!$A$1:$I$89,5,0)</f>
        <v>-3.0504452297464016E-13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266.37807768393191</v>
      </c>
      <c r="HA199" s="59">
        <f t="shared" si="213"/>
        <v>168.52019826233425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64.943210263044378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190"/>
        <v>64.943210263044378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266.99999999999983</v>
      </c>
      <c r="O200" s="13">
        <f>N200*VLOOKUP('Données projet'!$B$9,Paramètres!$A$1:$I$89,3,0)*VLOOKUP('Données projet'!$B$9,Paramètres!$A$1:$I$89,5,0)</f>
        <v>233.2511999999999</v>
      </c>
      <c r="P200" s="13">
        <f t="shared" si="203"/>
        <v>56.985091661350864</v>
      </c>
      <c r="Q200" s="20">
        <f t="shared" si="162"/>
        <v>505.49487464351915</v>
      </c>
      <c r="R200" s="59">
        <f t="shared" si="191"/>
        <v>798.82820797685247</v>
      </c>
      <c r="S200" s="59">
        <f ca="1">AVERAGE(OFFSET($R$3,0,0,'Données projet'!$E$9+1,1))-AVERAGE(OFFSET($H$3,0,0,'Données projet'!$E$9+1,1))</f>
        <v>324.86930206492627</v>
      </c>
      <c r="T200" s="59">
        <f t="shared" si="204"/>
        <v>317.03005098025352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3.115868980530109</v>
      </c>
      <c r="AA200" s="21">
        <f>EXP(-LN(2)/25)*AA199+(1-EXP(-LN(2)/25))/(LN(2)/25)*Calculateur!V200*Calculateur!X200*VLOOKUP('Données projet'!$B$9,Paramètres!$A$1:$I$89,3,0)*0.475*44/12</f>
        <v>0.35676822943607167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3.4726372099661806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5.4092197387944907E-13</v>
      </c>
      <c r="AK200" s="13">
        <f t="shared" si="164"/>
        <v>6.6765148417791561E-12</v>
      </c>
      <c r="AL200" s="20">
        <f t="shared" si="165"/>
        <v>1.2570369120605403E-11</v>
      </c>
      <c r="AM200" s="59">
        <f t="shared" si="193"/>
        <v>293.33333333334588</v>
      </c>
      <c r="AN200" s="59">
        <f ca="1">AVERAGE(OFFSET($AM$3,0,0,'Données projet'!$E$10+1,1))-AVERAGE(OFFSET($H$3,0,0,'Données projet'!$E$10+1,1))</f>
        <v>401.81944956556271</v>
      </c>
      <c r="AO200" s="59">
        <f t="shared" si="205"/>
        <v>292.20785523952651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48.663727783632545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48.663727783632545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1.7053025658242404E-13</v>
      </c>
      <c r="BE200" s="13">
        <f>BD200*VLOOKUP('Données projet'!$B$11,Paramètres!$A$1:$I$89,3,0)*VLOOKUP('Données projet'!$B$11,Paramètres!$A$1:$I$89,5,0)</f>
        <v>1.3301360013429075E-13</v>
      </c>
      <c r="BF200" s="13">
        <f t="shared" si="167"/>
        <v>1.9329766731057041E-12</v>
      </c>
      <c r="BG200" s="20">
        <f t="shared" si="168"/>
        <v>3.5982663925596575E-12</v>
      </c>
      <c r="BH200" s="59">
        <f t="shared" si="194"/>
        <v>293.3333333333369</v>
      </c>
      <c r="BI200" s="59">
        <f ca="1">AVERAGE(OFFSET($BH$3,0,0,'Données projet'!$E$11+1,1))-AVERAGE(OFFSET($H$3,0,0,'Données projet'!$E$11+1,1))</f>
        <v>288.80569134263209</v>
      </c>
      <c r="BJ200" s="59">
        <f t="shared" si="206"/>
        <v>283.48738729114024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6.4311892295466135</v>
      </c>
      <c r="BQ200" s="21">
        <f>EXP(-LN(2)/25)*BQ199+(1-EXP(-LN(2)/25))/(LN(2)/25)*Calculateur!BL200*Calculateur!BN200*VLOOKUP('Données projet'!$B$11,Paramètres!$A$1:$I$89,3,0)*0.475*44/12</f>
        <v>1.9614242771085877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8.3926135066552021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212.00000000000009</v>
      </c>
      <c r="BZ200" s="13">
        <f>BY200*VLOOKUP('Données projet'!$B$12,Paramètres!$A$1:$I$89,3,0)*VLOOKUP('Données projet'!$B$12,Paramètres!$A$1:$I$89,5,0)</f>
        <v>221.58240000000012</v>
      </c>
      <c r="CA200" s="13">
        <f t="shared" si="170"/>
        <v>54.458668952651578</v>
      </c>
      <c r="CB200" s="20">
        <f t="shared" si="171"/>
        <v>480.77152842586838</v>
      </c>
      <c r="CC200" s="59">
        <f t="shared" si="195"/>
        <v>774.10486175920164</v>
      </c>
      <c r="CD200" s="59">
        <f ca="1">AVERAGE(OFFSET($CC$3,0,0,'Données projet'!$E$12+1,1))-AVERAGE(OFFSET($H$3,0,0,'Données projet'!$E$12+1,1))</f>
        <v>352.22281362023102</v>
      </c>
      <c r="CE200" s="59">
        <f t="shared" si="207"/>
        <v>310.2353747925161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2.6169519503250331</v>
      </c>
      <c r="CL200" s="21">
        <f>EXP(-LN(2)/25)*CL199+(1-EXP(-LN(2)/25))/(LN(2)/25)*Calculateur!CG200*Calculateur!CI200*VLOOKUP('Données projet'!$B$12,Paramètres!$A$1:$I$89,3,0)*0.475*44/12</f>
        <v>1.1366292351255336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3.7535811854505665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-4.5474735088646412E-13</v>
      </c>
      <c r="CU200" s="17">
        <f>CT200*VLOOKUP('Données projet'!$B$13,Paramètres!$A$1:$I$89,3,0)*VLOOKUP('Données projet'!$B$13,Paramètres!$A$1:$I$89,5,0)</f>
        <v>-4.1145540308207271E-13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345.49688858037996</v>
      </c>
      <c r="CZ200" s="59">
        <f t="shared" si="208"/>
        <v>213.15872113755023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69.676290268519182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69.676290268519182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-4.5474735088646412E-13</v>
      </c>
      <c r="DP200" s="17">
        <f>DO200*VLOOKUP('Données projet'!$B$14,Paramètres!$A$1:$I$89,3,0)*VLOOKUP('Données projet'!$B$14,Paramètres!$A$1:$I$89,5,0)</f>
        <v>-4.6111381379887462E-13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382.26108489744581</v>
      </c>
      <c r="DU200" s="59">
        <f t="shared" si="209"/>
        <v>233.89423996158826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78.085497714719793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78.085497714719793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-2.4158453015843406E-13</v>
      </c>
      <c r="EK200" s="17">
        <f>EJ200*VLOOKUP('Données projet'!$B$15,Paramètres!$A$1:$I$89,3,0)*VLOOKUP('Données projet'!$B$15,Paramètres!$A$1:$I$89,5,0)</f>
        <v>-2.0351080820546486E-13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312.48716825299158</v>
      </c>
      <c r="EP200" s="59">
        <f t="shared" si="210"/>
        <v>258.68277822755357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26.592037270554542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26.592037270554542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-4.5474735088646412E-13</v>
      </c>
      <c r="FF200" s="17">
        <f>FE200*VLOOKUP('Données projet'!$B$16,Paramètres!$A$1:$I$89,3,0)*VLOOKUP('Données projet'!$B$16,Paramètres!$A$1:$I$89,5,0)</f>
        <v>-4.8949004849418999E-13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403.23110963096246</v>
      </c>
      <c r="FK200" s="59">
        <f t="shared" si="211"/>
        <v>245.72000393124898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82.890759112548608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82.890759112548608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-4.5474735088646412E-13</v>
      </c>
      <c r="GA200" s="17">
        <f>FZ200*VLOOKUP('Données projet'!$B$17,Paramètres!$A$1:$I$89,3,0)*VLOOKUP('Données projet'!$B$17,Paramètres!$A$1:$I$89,5,0)</f>
        <v>-4.3983163777738812E-13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336.2911850338175</v>
      </c>
      <c r="GF200" s="59">
        <f t="shared" si="212"/>
        <v>225.01415116995503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74.481551666348054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74.481551666348054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-4.5474735088646412E-13</v>
      </c>
      <c r="GV200" s="17">
        <f>GU200*VLOOKUP('Données projet'!$B$18,Paramètres!$A$1:$I$89,3,0)*VLOOKUP('Données projet'!$B$18,Paramètres!$A$1:$I$89,5,0)</f>
        <v>-3.0504452297464016E-13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266.37807768393191</v>
      </c>
      <c r="HA200" s="59">
        <f t="shared" si="213"/>
        <v>168.52019826233425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63.669713521233035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190"/>
        <v>63.669713521233035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266.99999999999983</v>
      </c>
      <c r="O201" s="13">
        <f>N201*VLOOKUP('Données projet'!$B$9,Paramètres!$A$1:$I$89,3,0)*VLOOKUP('Données projet'!$B$9,Paramètres!$A$1:$I$89,5,0)</f>
        <v>233.2511999999999</v>
      </c>
      <c r="P201" s="13">
        <f t="shared" si="203"/>
        <v>56.985091661350864</v>
      </c>
      <c r="Q201" s="20">
        <f t="shared" si="162"/>
        <v>505.49487464351915</v>
      </c>
      <c r="R201" s="59">
        <f t="shared" si="191"/>
        <v>798.82820797685247</v>
      </c>
      <c r="S201" s="59">
        <f ca="1">AVERAGE(OFFSET($R$3,0,0,'Données projet'!$E$9+1,1))-AVERAGE(OFFSET($H$3,0,0,'Données projet'!$E$9+1,1))</f>
        <v>324.86930206492627</v>
      </c>
      <c r="T201" s="59">
        <f t="shared" si="204"/>
        <v>317.03005098025352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3.0547686903143334</v>
      </c>
      <c r="AA201" s="21">
        <f>EXP(-LN(2)/25)*AA200+(1-EXP(-LN(2)/25))/(LN(2)/25)*Calculateur!V201*Calculateur!X201*VLOOKUP('Données projet'!$B$9,Paramètres!$A$1:$I$89,3,0)*0.475*44/12</f>
        <v>0.34701238344051649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3.4017810737548499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5.4092197387944907E-13</v>
      </c>
      <c r="AK201" s="13">
        <f t="shared" si="164"/>
        <v>6.6765148417791561E-12</v>
      </c>
      <c r="AL201" s="20">
        <f t="shared" si="165"/>
        <v>1.2570369120605403E-11</v>
      </c>
      <c r="AM201" s="59">
        <f t="shared" si="193"/>
        <v>293.33333333334588</v>
      </c>
      <c r="AN201" s="59">
        <f ca="1">AVERAGE(OFFSET($AM$3,0,0,'Données projet'!$E$10+1,1))-AVERAGE(OFFSET($H$3,0,0,'Données projet'!$E$10+1,1))</f>
        <v>401.81944956556271</v>
      </c>
      <c r="AO201" s="59">
        <f t="shared" si="205"/>
        <v>292.20785523952651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47.709461763738609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47.709461763738609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1.7053025658242404E-13</v>
      </c>
      <c r="BE201" s="13">
        <f>BD201*VLOOKUP('Données projet'!$B$11,Paramètres!$A$1:$I$89,3,0)*VLOOKUP('Données projet'!$B$11,Paramètres!$A$1:$I$89,5,0)</f>
        <v>1.3301360013429075E-13</v>
      </c>
      <c r="BF201" s="13">
        <f t="shared" si="167"/>
        <v>1.9329766731057041E-12</v>
      </c>
      <c r="BG201" s="20">
        <f t="shared" si="168"/>
        <v>3.5982663925596575E-12</v>
      </c>
      <c r="BH201" s="59">
        <f t="shared" si="194"/>
        <v>293.3333333333369</v>
      </c>
      <c r="BI201" s="59">
        <f ca="1">AVERAGE(OFFSET($BH$3,0,0,'Données projet'!$E$11+1,1))-AVERAGE(OFFSET($H$3,0,0,'Données projet'!$E$11+1,1))</f>
        <v>288.80569134263209</v>
      </c>
      <c r="BJ201" s="59">
        <f t="shared" si="206"/>
        <v>283.48738729114024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6.3050775313933061</v>
      </c>
      <c r="BQ201" s="21">
        <f>EXP(-LN(2)/25)*BQ200+(1-EXP(-LN(2)/25))/(LN(2)/25)*Calculateur!BL201*Calculateur!BN201*VLOOKUP('Données projet'!$B$11,Paramètres!$A$1:$I$89,3,0)*0.475*44/12</f>
        <v>1.9077890271042335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8.2128665584975398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212.00000000000009</v>
      </c>
      <c r="BZ201" s="13">
        <f>BY201*VLOOKUP('Données projet'!$B$12,Paramètres!$A$1:$I$89,3,0)*VLOOKUP('Données projet'!$B$12,Paramètres!$A$1:$I$89,5,0)</f>
        <v>221.58240000000012</v>
      </c>
      <c r="CA201" s="13">
        <f t="shared" si="170"/>
        <v>54.458668952651578</v>
      </c>
      <c r="CB201" s="20">
        <f t="shared" si="171"/>
        <v>480.77152842586838</v>
      </c>
      <c r="CC201" s="59">
        <f t="shared" si="195"/>
        <v>774.10486175920164</v>
      </c>
      <c r="CD201" s="59">
        <f ca="1">AVERAGE(OFFSET($CC$3,0,0,'Données projet'!$E$12+1,1))-AVERAGE(OFFSET($H$3,0,0,'Données projet'!$E$12+1,1))</f>
        <v>352.22281362023102</v>
      </c>
      <c r="CE201" s="59">
        <f t="shared" si="207"/>
        <v>310.2353747925161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2.565635118762239</v>
      </c>
      <c r="CL201" s="21">
        <f>EXP(-LN(2)/25)*CL200+(1-EXP(-LN(2)/25))/(LN(2)/25)*Calculateur!CG201*Calculateur!CI201*VLOOKUP('Données projet'!$B$12,Paramètres!$A$1:$I$89,3,0)*0.475*44/12</f>
        <v>1.1055480489182923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3.6711831676805313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-4.5474735088646412E-13</v>
      </c>
      <c r="CU201" s="17">
        <f>CT201*VLOOKUP('Données projet'!$B$13,Paramètres!$A$1:$I$89,3,0)*VLOOKUP('Données projet'!$B$13,Paramètres!$A$1:$I$89,5,0)</f>
        <v>-4.1145540308207271E-13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345.49688858037996</v>
      </c>
      <c r="CZ201" s="59">
        <f t="shared" si="208"/>
        <v>213.15872113755023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68.30998071469422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68.30998071469422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-4.5474735088646412E-13</v>
      </c>
      <c r="DP201" s="17">
        <f>DO201*VLOOKUP('Données projet'!$B$14,Paramètres!$A$1:$I$89,3,0)*VLOOKUP('Données projet'!$B$14,Paramètres!$A$1:$I$89,5,0)</f>
        <v>-4.6111381379887462E-13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382.26108489744581</v>
      </c>
      <c r="DU201" s="59">
        <f t="shared" si="209"/>
        <v>233.89423996158826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76.554288731984926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76.554288731984926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-2.4158453015843406E-13</v>
      </c>
      <c r="EK201" s="17">
        <f>EJ201*VLOOKUP('Données projet'!$B$15,Paramètres!$A$1:$I$89,3,0)*VLOOKUP('Données projet'!$B$15,Paramètres!$A$1:$I$89,5,0)</f>
        <v>-2.0351080820546486E-13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312.48716825299158</v>
      </c>
      <c r="EP201" s="59">
        <f t="shared" si="210"/>
        <v>258.68277822755357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26.070583639220157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26.070583639220157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-4.5474735088646412E-13</v>
      </c>
      <c r="FF201" s="17">
        <f>FE201*VLOOKUP('Données projet'!$B$16,Paramètres!$A$1:$I$89,3,0)*VLOOKUP('Données projet'!$B$16,Paramètres!$A$1:$I$89,5,0)</f>
        <v>-4.8949004849418999E-13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403.23110963096246</v>
      </c>
      <c r="FK201" s="59">
        <f t="shared" si="211"/>
        <v>245.72000393124898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81.265321884722368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81.265321884722368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-4.5474735088646412E-13</v>
      </c>
      <c r="GA201" s="17">
        <f>FZ201*VLOOKUP('Données projet'!$B$17,Paramètres!$A$1:$I$89,3,0)*VLOOKUP('Données projet'!$B$17,Paramètres!$A$1:$I$89,5,0)</f>
        <v>-4.3983163777738812E-13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336.2911850338175</v>
      </c>
      <c r="GF201" s="59">
        <f t="shared" si="212"/>
        <v>225.01415116995503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73.021013867431719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73.021013867431719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-4.5474735088646412E-13</v>
      </c>
      <c r="GV201" s="17">
        <f>GU201*VLOOKUP('Données projet'!$B$18,Paramètres!$A$1:$I$89,3,0)*VLOOKUP('Données projet'!$B$18,Paramètres!$A$1:$I$89,5,0)</f>
        <v>-3.0504452297464016E-13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266.37807768393191</v>
      </c>
      <c r="HA201" s="59">
        <f t="shared" si="213"/>
        <v>168.52019826233425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62.421189273772299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190"/>
        <v>62.421189273772299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266.99999999999983</v>
      </c>
      <c r="O202" s="13">
        <f>N202*VLOOKUP('Données projet'!$B$9,Paramètres!$A$1:$I$89,3,0)*VLOOKUP('Données projet'!$B$9,Paramètres!$A$1:$I$89,5,0)</f>
        <v>233.2511999999999</v>
      </c>
      <c r="P202" s="13">
        <f t="shared" si="203"/>
        <v>56.985091661350864</v>
      </c>
      <c r="Q202" s="20">
        <f t="shared" si="162"/>
        <v>505.49487464351915</v>
      </c>
      <c r="R202" s="59">
        <f t="shared" si="191"/>
        <v>798.82820797685247</v>
      </c>
      <c r="S202" s="59">
        <f ca="1">AVERAGE(OFFSET($R$3,0,0,'Données projet'!$E$9+1,1))-AVERAGE(OFFSET($H$3,0,0,'Données projet'!$E$9+1,1))</f>
        <v>324.86930206492627</v>
      </c>
      <c r="T202" s="59">
        <f t="shared" si="204"/>
        <v>317.03005098025352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2.9948665395221923</v>
      </c>
      <c r="AA202" s="21">
        <f>EXP(-LN(2)/25)*AA201+(1-EXP(-LN(2)/25))/(LN(2)/25)*Calculateur!V202*Calculateur!X202*VLOOKUP('Données projet'!$B$9,Paramètres!$A$1:$I$89,3,0)*0.475*44/12</f>
        <v>0.33752331156674742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3.3323898510889398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5.4092197387944907E-13</v>
      </c>
      <c r="AK202" s="13">
        <f t="shared" si="164"/>
        <v>6.6765148417791561E-12</v>
      </c>
      <c r="AL202" s="20">
        <f t="shared" si="165"/>
        <v>1.2570369120605403E-11</v>
      </c>
      <c r="AM202" s="59">
        <f t="shared" si="193"/>
        <v>293.33333333334588</v>
      </c>
      <c r="AN202" s="59">
        <f ca="1">AVERAGE(OFFSET($AM$3,0,0,'Données projet'!$E$10+1,1))-AVERAGE(OFFSET($H$3,0,0,'Données projet'!$E$10+1,1))</f>
        <v>401.81944956556271</v>
      </c>
      <c r="AO202" s="59">
        <f t="shared" si="205"/>
        <v>292.20785523952651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46.773908318449998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46.773908318449998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1.7053025658242404E-13</v>
      </c>
      <c r="BE202" s="13">
        <f>BD202*VLOOKUP('Données projet'!$B$11,Paramètres!$A$1:$I$89,3,0)*VLOOKUP('Données projet'!$B$11,Paramètres!$A$1:$I$89,5,0)</f>
        <v>1.3301360013429075E-13</v>
      </c>
      <c r="BF202" s="13">
        <f t="shared" si="167"/>
        <v>1.9329766731057041E-12</v>
      </c>
      <c r="BG202" s="20">
        <f t="shared" si="168"/>
        <v>3.5982663925596575E-12</v>
      </c>
      <c r="BH202" s="59">
        <f t="shared" si="194"/>
        <v>293.3333333333369</v>
      </c>
      <c r="BI202" s="59">
        <f ca="1">AVERAGE(OFFSET($BH$3,0,0,'Données projet'!$E$11+1,1))-AVERAGE(OFFSET($H$3,0,0,'Données projet'!$E$11+1,1))</f>
        <v>288.80569134263209</v>
      </c>
      <c r="BJ202" s="59">
        <f t="shared" si="206"/>
        <v>283.48738729114024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6.1814388067202444</v>
      </c>
      <c r="BQ202" s="21">
        <f>EXP(-LN(2)/25)*BQ201+(1-EXP(-LN(2)/25))/(LN(2)/25)*Calculateur!BL202*Calculateur!BN202*VLOOKUP('Données projet'!$B$11,Paramètres!$A$1:$I$89,3,0)*0.475*44/12</f>
        <v>1.8556204358318036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8.0370592425520471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212.00000000000009</v>
      </c>
      <c r="BZ202" s="13">
        <f>BY202*VLOOKUP('Données projet'!$B$12,Paramètres!$A$1:$I$89,3,0)*VLOOKUP('Données projet'!$B$12,Paramètres!$A$1:$I$89,5,0)</f>
        <v>221.58240000000012</v>
      </c>
      <c r="CA202" s="13">
        <f t="shared" si="170"/>
        <v>54.458668952651578</v>
      </c>
      <c r="CB202" s="20">
        <f t="shared" si="171"/>
        <v>480.77152842586838</v>
      </c>
      <c r="CC202" s="59">
        <f t="shared" si="195"/>
        <v>774.10486175920164</v>
      </c>
      <c r="CD202" s="59">
        <f ca="1">AVERAGE(OFFSET($CC$3,0,0,'Données projet'!$E$12+1,1))-AVERAGE(OFFSET($H$3,0,0,'Données projet'!$E$12+1,1))</f>
        <v>352.22281362023102</v>
      </c>
      <c r="CE202" s="59">
        <f t="shared" si="207"/>
        <v>310.2353747925161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2.5153245789662146</v>
      </c>
      <c r="CL202" s="21">
        <f>EXP(-LN(2)/25)*CL201+(1-EXP(-LN(2)/25))/(LN(2)/25)*Calculateur!CG202*Calculateur!CI202*VLOOKUP('Données projet'!$B$12,Paramètres!$A$1:$I$89,3,0)*0.475*44/12</f>
        <v>1.0753167793823764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3.590641358348591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-4.5474735088646412E-13</v>
      </c>
      <c r="CU202" s="17">
        <f>CT202*VLOOKUP('Données projet'!$B$13,Paramètres!$A$1:$I$89,3,0)*VLOOKUP('Données projet'!$B$13,Paramètres!$A$1:$I$89,5,0)</f>
        <v>-4.1145540308207271E-13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345.49688858037996</v>
      </c>
      <c r="CZ202" s="59">
        <f t="shared" si="208"/>
        <v>213.15872113755023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66.97046365785323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66.97046365785323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-4.5474735088646412E-13</v>
      </c>
      <c r="DP202" s="17">
        <f>DO202*VLOOKUP('Données projet'!$B$14,Paramètres!$A$1:$I$89,3,0)*VLOOKUP('Données projet'!$B$14,Paramètres!$A$1:$I$89,5,0)</f>
        <v>-4.6111381379887462E-13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382.26108489744581</v>
      </c>
      <c r="DU202" s="59">
        <f t="shared" si="209"/>
        <v>233.89423996158826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75.053105823456221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75.053105823456221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-2.4158453015843406E-13</v>
      </c>
      <c r="EK202" s="17">
        <f>EJ202*VLOOKUP('Données projet'!$B$15,Paramètres!$A$1:$I$89,3,0)*VLOOKUP('Données projet'!$B$15,Paramètres!$A$1:$I$89,5,0)</f>
        <v>-2.0351080820546486E-13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312.48716825299158</v>
      </c>
      <c r="EP202" s="59">
        <f t="shared" si="210"/>
        <v>258.68277822755357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25.55935539554093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25.55935539554093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-4.5474735088646412E-13</v>
      </c>
      <c r="FF202" s="17">
        <f>FE202*VLOOKUP('Données projet'!$B$16,Paramètres!$A$1:$I$89,3,0)*VLOOKUP('Données projet'!$B$16,Paramètres!$A$1:$I$89,5,0)</f>
        <v>-4.8949004849418999E-13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403.23110963096246</v>
      </c>
      <c r="FK202" s="59">
        <f t="shared" si="211"/>
        <v>245.72000393124898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79.671758489514986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79.671758489514986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-4.5474735088646412E-13</v>
      </c>
      <c r="GA202" s="17">
        <f>FZ202*VLOOKUP('Données projet'!$B$17,Paramètres!$A$1:$I$89,3,0)*VLOOKUP('Données projet'!$B$17,Paramètres!$A$1:$I$89,5,0)</f>
        <v>-4.3983163777738812E-13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336.2911850338175</v>
      </c>
      <c r="GF202" s="59">
        <f t="shared" si="212"/>
        <v>225.01415116995503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71.589116323912037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71.589116323912037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-4.5474735088646412E-13</v>
      </c>
      <c r="GV202" s="17">
        <f>GU202*VLOOKUP('Données projet'!$B$18,Paramètres!$A$1:$I$89,3,0)*VLOOKUP('Données projet'!$B$18,Paramètres!$A$1:$I$89,5,0)</f>
        <v>-3.0504452297464016E-13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266.37807768393191</v>
      </c>
      <c r="HA202" s="59">
        <f t="shared" si="213"/>
        <v>168.52019826233425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61.197147825279671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190"/>
        <v>61.197147825279671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266.99999999999983</v>
      </c>
      <c r="O203" s="13">
        <f>N203*VLOOKUP('Données projet'!$B$9,Paramètres!$A$1:$I$89,3,0)*VLOOKUP('Données projet'!$B$9,Paramètres!$A$1:$I$89,5,0)</f>
        <v>233.2511999999999</v>
      </c>
      <c r="P203" s="13">
        <f t="shared" si="203"/>
        <v>56.985091661350864</v>
      </c>
      <c r="Q203" s="20">
        <f t="shared" si="162"/>
        <v>505.49487464351915</v>
      </c>
      <c r="R203" s="59">
        <f t="shared" si="191"/>
        <v>798.82820797685247</v>
      </c>
      <c r="S203" s="59">
        <f ca="1">AVERAGE(OFFSET($R$3,0,0,'Données projet'!$E$9+1,1))-AVERAGE(OFFSET($H$3,0,0,'Données projet'!$E$9+1,1))</f>
        <v>324.86930206492627</v>
      </c>
      <c r="T203" s="59">
        <f t="shared" si="204"/>
        <v>317.03005098025352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2.9361390333703805</v>
      </c>
      <c r="AA203" s="21">
        <f>EXP(-LN(2)/25)*AA202+(1-EXP(-LN(2)/25))/(LN(2)/25)*Calculateur!V203*Calculateur!X203*VLOOKUP('Données projet'!$B$9,Paramètres!$A$1:$I$89,3,0)*0.475*44/12</f>
        <v>0.32829371886237518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3.2644327522327559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5.4092197387944907E-13</v>
      </c>
      <c r="AK203" s="13">
        <f t="shared" si="164"/>
        <v>6.6765148417791561E-12</v>
      </c>
      <c r="AL203" s="20">
        <f t="shared" si="165"/>
        <v>1.2570369120605403E-11</v>
      </c>
      <c r="AM203" s="59">
        <f t="shared" si="193"/>
        <v>293.33333333334588</v>
      </c>
      <c r="AN203" s="59">
        <f ca="1">AVERAGE(OFFSET($AM$3,0,0,'Données projet'!$E$10+1,1))-AVERAGE(OFFSET($H$3,0,0,'Données projet'!$E$10+1,1))</f>
        <v>401.81944956556271</v>
      </c>
      <c r="AO203" s="59">
        <f t="shared" si="205"/>
        <v>292.20785523952651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45.856700505592237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45.856700505592237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1.7053025658242404E-13</v>
      </c>
      <c r="BE203" s="13">
        <f>BD203*VLOOKUP('Données projet'!$B$11,Paramètres!$A$1:$I$89,3,0)*VLOOKUP('Données projet'!$B$11,Paramètres!$A$1:$I$89,5,0)</f>
        <v>1.3301360013429075E-13</v>
      </c>
      <c r="BF203" s="13">
        <f t="shared" si="167"/>
        <v>1.9329766731057041E-12</v>
      </c>
      <c r="BG203" s="20">
        <f t="shared" si="168"/>
        <v>3.5982663925596575E-12</v>
      </c>
      <c r="BH203" s="59">
        <f t="shared" si="194"/>
        <v>293.3333333333369</v>
      </c>
      <c r="BI203" s="59">
        <f ca="1">AVERAGE(OFFSET($BH$3,0,0,'Données projet'!$E$11+1,1))-AVERAGE(OFFSET($H$3,0,0,'Données projet'!$E$11+1,1))</f>
        <v>288.80569134263209</v>
      </c>
      <c r="BJ203" s="59">
        <f t="shared" si="206"/>
        <v>283.48738729114024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6.0602245620258461</v>
      </c>
      <c r="BQ203" s="21">
        <f>EXP(-LN(2)/25)*BQ202+(1-EXP(-LN(2)/25))/(LN(2)/25)*Calculateur!BL203*Calculateur!BN203*VLOOKUP('Données projet'!$B$11,Paramètres!$A$1:$I$89,3,0)*0.475*44/12</f>
        <v>1.8048783974311453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7.8651029594569914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212.00000000000009</v>
      </c>
      <c r="BZ203" s="13">
        <f>BY203*VLOOKUP('Données projet'!$B$12,Paramètres!$A$1:$I$89,3,0)*VLOOKUP('Données projet'!$B$12,Paramètres!$A$1:$I$89,5,0)</f>
        <v>221.58240000000012</v>
      </c>
      <c r="CA203" s="13">
        <f t="shared" si="170"/>
        <v>54.458668952651578</v>
      </c>
      <c r="CB203" s="20">
        <f t="shared" si="171"/>
        <v>480.77152842586838</v>
      </c>
      <c r="CC203" s="59">
        <f t="shared" si="195"/>
        <v>774.10486175920164</v>
      </c>
      <c r="CD203" s="59">
        <f ca="1">AVERAGE(OFFSET($CC$3,0,0,'Données projet'!$E$12+1,1))-AVERAGE(OFFSET($H$3,0,0,'Données projet'!$E$12+1,1))</f>
        <v>352.22281362023102</v>
      </c>
      <c r="CE203" s="59">
        <f t="shared" si="207"/>
        <v>310.2353747925161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2.4660005981691908</v>
      </c>
      <c r="CL203" s="21">
        <f>EXP(-LN(2)/25)*CL202+(1-EXP(-LN(2)/25))/(LN(2)/25)*Calculateur!CG203*Calculateur!CI203*VLOOKUP('Données projet'!$B$12,Paramètres!$A$1:$I$89,3,0)*0.475*44/12</f>
        <v>1.0459121855017135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3.5119127836709043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-4.5474735088646412E-13</v>
      </c>
      <c r="CU203" s="17">
        <f>CT203*VLOOKUP('Données projet'!$B$13,Paramètres!$A$1:$I$89,3,0)*VLOOKUP('Données projet'!$B$13,Paramètres!$A$1:$I$89,5,0)</f>
        <v>-4.1145540308207271E-13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345.49688858037996</v>
      </c>
      <c r="CZ203" s="59">
        <f t="shared" si="208"/>
        <v>213.15872113755023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65.65721371347216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65.65721371347216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-4.5474735088646412E-13</v>
      </c>
      <c r="DP203" s="17">
        <f>DO203*VLOOKUP('Données projet'!$B$14,Paramètres!$A$1:$I$89,3,0)*VLOOKUP('Données projet'!$B$14,Paramètres!$A$1:$I$89,5,0)</f>
        <v>-4.6111381379887462E-13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382.26108489744581</v>
      </c>
      <c r="DU203" s="59">
        <f t="shared" si="209"/>
        <v>233.89423996158826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73.581360196132607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73.581360196132607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-2.4158453015843406E-13</v>
      </c>
      <c r="EK203" s="17">
        <f>EJ203*VLOOKUP('Données projet'!$B$15,Paramètres!$A$1:$I$89,3,0)*VLOOKUP('Données projet'!$B$15,Paramètres!$A$1:$I$89,5,0)</f>
        <v>-2.0351080820546486E-13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312.48716825299158</v>
      </c>
      <c r="EP203" s="59">
        <f t="shared" si="210"/>
        <v>258.68277822755357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25.058152025901812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25.058152025901812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-4.5474735088646412E-13</v>
      </c>
      <c r="FF203" s="17">
        <f>FE203*VLOOKUP('Données projet'!$B$16,Paramètres!$A$1:$I$89,3,0)*VLOOKUP('Données projet'!$B$16,Paramètres!$A$1:$I$89,5,0)</f>
        <v>-4.8949004849418999E-13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403.23110963096246</v>
      </c>
      <c r="FK203" s="59">
        <f t="shared" si="211"/>
        <v>245.72000393124898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78.109443900509916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78.109443900509916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-4.5474735088646412E-13</v>
      </c>
      <c r="GA203" s="17">
        <f>FZ203*VLOOKUP('Données projet'!$B$17,Paramètres!$A$1:$I$89,3,0)*VLOOKUP('Données projet'!$B$17,Paramètres!$A$1:$I$89,5,0)</f>
        <v>-4.3983163777738812E-13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336.2911850338175</v>
      </c>
      <c r="GF203" s="59">
        <f t="shared" si="212"/>
        <v>225.01415116995503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70.185297417849512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70.185297417849512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-4.5474735088646412E-13</v>
      </c>
      <c r="GV203" s="17">
        <f>GU203*VLOOKUP('Données projet'!$B$18,Paramètres!$A$1:$I$89,3,0)*VLOOKUP('Données projet'!$B$18,Paramètres!$A$1:$I$89,5,0)</f>
        <v>-3.0504452297464016E-13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266.37807768393191</v>
      </c>
      <c r="HA203" s="59">
        <f t="shared" si="213"/>
        <v>168.52019826233425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59.997109083000417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190"/>
        <v>59.997109083000417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1.2721747796233518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1.1736311550444201</v>
      </c>
      <c r="BA205" s="82">
        <f>EXP(LN('Données projet'!B88)/'Données projet'!A88)</f>
        <v>1.2788040393997409</v>
      </c>
      <c r="BV205" s="82">
        <f>EXP(LN('Données projet'!B114)/'Données projet'!A114)</f>
        <v>1.335141362540313</v>
      </c>
      <c r="CQ205" s="82">
        <f>EXP(LN('Données projet'!B140)/'Données projet'!A140)</f>
        <v>1.1608269964373037</v>
      </c>
      <c r="DL205" s="82">
        <f>EXP(LN('Données projet'!B166)/'Données projet'!A166)</f>
        <v>1.1608269964373037</v>
      </c>
      <c r="EG205" s="82">
        <f>EXP(LN('Données projet'!B192)/'Données projet'!A192)</f>
        <v>1.1727597515473569</v>
      </c>
      <c r="FB205" s="82">
        <f>EXP(LN('Données projet'!B218)/'Données projet'!A218)</f>
        <v>1.1608269964373037</v>
      </c>
      <c r="FW205" s="82">
        <f>EXP(LN('Données projet'!B244)/'Données projet'!A244)</f>
        <v>1.1608269964373037</v>
      </c>
      <c r="GR205" s="82">
        <f>EXP(LN('Données projet'!B270)/'Données projet'!A270)</f>
        <v>1.1608269964373037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4" zoomScale="90" zoomScaleNormal="90" workbookViewId="0">
      <selection activeCell="O14" sqref="O14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Erable champêtre</v>
      </c>
      <c r="B6" s="146">
        <f>'Données projet'!D9</f>
        <v>2.6194000000000002</v>
      </c>
      <c r="C6" s="147">
        <f ca="1">IF(OR('Données projet'!B9="",'Données projet'!C9="",'Données projet'!C9=0%),0,Calculateur!S3)</f>
        <v>324.86930206492627</v>
      </c>
      <c r="D6" s="147">
        <f>IF(OR('Données projet'!B9="",'Données projet'!C9="",'Données projet'!C9=0%),0,Calculateur!T3)</f>
        <v>317.03005098025352</v>
      </c>
      <c r="E6" s="147">
        <f ca="1">MIN(C6,D6)</f>
        <v>317.03005098025352</v>
      </c>
      <c r="F6" s="147">
        <f ca="1">E6*B6</f>
        <v>830.42851553767616</v>
      </c>
      <c r="G6" s="147">
        <f ca="1">F6*(100%-'Données projet'!$C$24)*(100%-'Données projet'!$C$25)*(100%-'Données projet'!$C$26)*(100%-'Données projet'!$C$27)</f>
        <v>747.38566398390856</v>
      </c>
      <c r="H6" s="148">
        <f>IF(OR('Données projet'!B9="",'Données projet'!C9="",'Données projet'!C9=0%),0,AVERAGE(Calculateur!$AC$3:$AC$33)*B6)</f>
        <v>0.87144721271783177</v>
      </c>
      <c r="I6" s="149">
        <f>H6*(100%-'Données projet'!$C$24)*(100%-'Données projet'!$C$25)*(100%-'Données projet'!$C$26)*(100%-'Données projet'!$C$27)</f>
        <v>0.78430249144604858</v>
      </c>
      <c r="J6" s="150">
        <f>IF(OR('Données projet'!B9="",'Données projet'!C9="",'Données projet'!C9=0%),0,SUM(Calculateur!$V$3:$V$33)*VLOOKUP('Données projet'!$B$9,Paramètres!$A$1:$I$89,9,0)*B6)</f>
        <v>64.830150000000003</v>
      </c>
      <c r="K6" s="151">
        <f>J6*(100%-'Données projet'!$C$24)*(100%-'Données projet'!$C$25)*(100%-'Données projet'!$C$26)*(100%-'Données projet'!$C$27)</f>
        <v>58.347135000000002</v>
      </c>
      <c r="L6" s="152">
        <f ca="1">G6+I6+K6</f>
        <v>806.51710147535459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Charme</v>
      </c>
      <c r="B7" s="154">
        <f>'Données projet'!D10</f>
        <v>0.74840000000000007</v>
      </c>
      <c r="C7" s="147">
        <f ca="1">IF(OR('Données projet'!B10="",'Données projet'!C10="",'Données projet'!C10=0%),0,Calculateur!AN3)</f>
        <v>401.81944956556271</v>
      </c>
      <c r="D7" s="147">
        <f>IF(OR('Données projet'!B10="",'Données projet'!C10="",'Données projet'!C10=0%),0,Calculateur!AO3)</f>
        <v>292.20785523952651</v>
      </c>
      <c r="E7" s="147">
        <f t="shared" ref="E7:E15" ca="1" si="0">MIN(C7,D7)</f>
        <v>292.20785523952651</v>
      </c>
      <c r="F7" s="147">
        <f t="shared" ref="F7:F15" ca="1" si="1">E7*B7</f>
        <v>218.68835886126166</v>
      </c>
      <c r="G7" s="147">
        <f ca="1">F7*(100%-'Données projet'!$C$24)*(100%-'Données projet'!$C$25)*(100%-'Données projet'!$C$26)*(100%-'Données projet'!$C$27)</f>
        <v>196.8195229751355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196.8195229751355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Merisier</v>
      </c>
      <c r="B8" s="154">
        <f>'Données projet'!D11</f>
        <v>0.74840000000000007</v>
      </c>
      <c r="C8" s="147">
        <f ca="1">IF(OR('Données projet'!B11="",'Données projet'!C11="",'Données projet'!C11=0%),0,Calculateur!BI3)</f>
        <v>288.80569134263209</v>
      </c>
      <c r="D8" s="147">
        <f>IF(OR('Données projet'!B11="",'Données projet'!C11="",'Données projet'!C11=0%),0,Calculateur!BJ3)</f>
        <v>283.48738729114024</v>
      </c>
      <c r="E8" s="147">
        <f t="shared" ca="1" si="0"/>
        <v>283.48738729114024</v>
      </c>
      <c r="F8" s="147">
        <f t="shared" ca="1" si="1"/>
        <v>212.16196064868936</v>
      </c>
      <c r="G8" s="147">
        <f ca="1">F8*(100%-'Données projet'!$C$24)*(100%-'Données projet'!$C$25)*(100%-'Données projet'!$C$26)*(100%-'Données projet'!$C$27)</f>
        <v>190.94576458382042</v>
      </c>
      <c r="H8" s="155">
        <f>IF(OR('Données projet'!B11="",'Données projet'!C11="",'Données projet'!C11=0%),0,AVERAGE(Calculateur!$BS$3:$BS$33)*B8)</f>
        <v>1.745941919534828</v>
      </c>
      <c r="I8" s="149">
        <f>H8*(100%-'Données projet'!$C$24)*(100%-'Données projet'!$C$25)*(100%-'Données projet'!$C$26)*(100%-'Données projet'!$C$27)</f>
        <v>1.5713477275813452</v>
      </c>
      <c r="J8" s="150">
        <f>IF(OR('Données projet'!B11="",'Données projet'!C11="",'Données projet'!C11=0%),0,SUM(Calculateur!$BL$3:$BL$33)*VLOOKUP('Données projet'!$B$11,Paramètres!$A$1:$I$89,9,0)*B8)</f>
        <v>10.290500000000002</v>
      </c>
      <c r="K8" s="151">
        <f>J8*(100%-'Données projet'!$C$24)*(100%-'Données projet'!$C$25)*(100%-'Données projet'!$C$26)*(100%-'Données projet'!$C$27)</f>
        <v>9.2614500000000017</v>
      </c>
      <c r="L8" s="152">
        <f t="shared" ca="1" si="2"/>
        <v>201.77856231140177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chevelu</v>
      </c>
      <c r="B9" s="154">
        <f>'Données projet'!D12</f>
        <v>1.2161500000000001</v>
      </c>
      <c r="C9" s="147">
        <f ca="1">IF(OR('Données projet'!B12="",'Données projet'!C12="",'Données projet'!C12=0%),0,Calculateur!CD3)</f>
        <v>352.22281362023102</v>
      </c>
      <c r="D9" s="147">
        <f>IF(OR('Données projet'!B12="",'Données projet'!C12="",'Données projet'!C12=0%),0,Calculateur!CE3)</f>
        <v>310.2353747925161</v>
      </c>
      <c r="E9" s="147">
        <f t="shared" ca="1" si="0"/>
        <v>310.2353747925161</v>
      </c>
      <c r="F9" s="147">
        <f t="shared" ca="1" si="1"/>
        <v>377.29275105391849</v>
      </c>
      <c r="G9" s="147">
        <f ca="1">F9*(100%-'Données projet'!$C$24)*(100%-'Données projet'!$C$25)*(100%-'Données projet'!$C$26)*(100%-'Données projet'!$C$27)</f>
        <v>339.56347594852667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339.56347594852667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Chêne sessile</v>
      </c>
      <c r="B10" s="154">
        <f>'Données projet'!D13</f>
        <v>10.6647</v>
      </c>
      <c r="C10" s="147">
        <f ca="1">IF(OR('Données projet'!B13="",'Données projet'!C13="",'Données projet'!C13=0%),0,Calculateur!CY3)</f>
        <v>345.49688858037996</v>
      </c>
      <c r="D10" s="147">
        <f>IF(OR('Données projet'!B13="",'Données projet'!C13="",'Données projet'!C13=0%),0,Calculateur!CZ3)</f>
        <v>213.15872113755023</v>
      </c>
      <c r="E10" s="147">
        <f t="shared" ca="1" si="0"/>
        <v>213.15872113755023</v>
      </c>
      <c r="F10" s="147">
        <f t="shared" ca="1" si="1"/>
        <v>2273.2738133156317</v>
      </c>
      <c r="G10" s="147">
        <f ca="1">F10*(100%-'Données projet'!$C$24)*(100%-'Données projet'!$C$25)*(100%-'Données projet'!$C$26)*(100%-'Données projet'!$C$27)</f>
        <v>2045.9464319840686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2045.9464319840686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Chêne pubescent</v>
      </c>
      <c r="B11" s="154">
        <f>'Données projet'!D14</f>
        <v>1.4968000000000001</v>
      </c>
      <c r="C11" s="147">
        <f ca="1">IF(OR('Données projet'!B14="",'Données projet'!C14="",'Données projet'!C14=0%),0,Calculateur!DT3)</f>
        <v>382.26108489744581</v>
      </c>
      <c r="D11" s="147">
        <f>IF(OR('Données projet'!B14="",'Données projet'!C14="",'Données projet'!C14=0%),0,Calculateur!DU3)</f>
        <v>233.89423996158826</v>
      </c>
      <c r="E11" s="147">
        <f t="shared" ca="1" si="0"/>
        <v>233.89423996158826</v>
      </c>
      <c r="F11" s="147">
        <f t="shared" ca="1" si="1"/>
        <v>350.09289837450535</v>
      </c>
      <c r="G11" s="147">
        <f ca="1">F11*(100%-'Données projet'!$C$24)*(100%-'Données projet'!$C$25)*(100%-'Données projet'!$C$26)*(100%-'Données projet'!$C$27)</f>
        <v>315.08360853705483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315.08360853705483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Chêne pédonculé</v>
      </c>
      <c r="B12" s="154">
        <f>'Données projet'!D15</f>
        <v>0.74840000000000007</v>
      </c>
      <c r="C12" s="147">
        <f ca="1">IF(OR('Données projet'!B15="",'Données projet'!C15="",'Données projet'!C15=0%),0,Calculateur!EO3)</f>
        <v>312.48716825299158</v>
      </c>
      <c r="D12" s="147">
        <f>IF(OR('Données projet'!B15="",'Données projet'!C15="",'Données projet'!C15=0%),0,Calculateur!EP3)</f>
        <v>258.68277822755357</v>
      </c>
      <c r="E12" s="147">
        <f t="shared" ca="1" si="0"/>
        <v>258.68277822755357</v>
      </c>
      <c r="F12" s="147">
        <f t="shared" ca="1" si="1"/>
        <v>193.5981912255011</v>
      </c>
      <c r="G12" s="147">
        <f ca="1">F12*(100%-'Données projet'!$C$24)*(100%-'Données projet'!$C$25)*(100%-'Données projet'!$C$26)*(100%-'Données projet'!$C$27)</f>
        <v>174.23837210295099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174.23837210295099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Cormier</v>
      </c>
      <c r="B13" s="154">
        <f>'Données projet'!D16</f>
        <v>0.18710000000000002</v>
      </c>
      <c r="C13" s="147">
        <f ca="1">IF(OR('Données projet'!B16="",'Données projet'!C16="",'Données projet'!C16=0%),0,Calculateur!FJ3)</f>
        <v>403.23110963096246</v>
      </c>
      <c r="D13" s="147">
        <f>IF(OR('Données projet'!B16="",'Données projet'!C16="",'Données projet'!C16=0%),0,Calculateur!FK3)</f>
        <v>245.72000393124898</v>
      </c>
      <c r="E13" s="147">
        <f t="shared" ca="1" si="0"/>
        <v>245.72000393124898</v>
      </c>
      <c r="F13" s="147">
        <f t="shared" ca="1" si="1"/>
        <v>45.974212735536689</v>
      </c>
      <c r="G13" s="147">
        <f ca="1">F13*(100%-'Données projet'!$C$24)*(100%-'Données projet'!$C$25)*(100%-'Données projet'!$C$26)*(100%-'Données projet'!$C$27)</f>
        <v>41.376791461983018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41.376791461983018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>Alisier torminal</v>
      </c>
      <c r="B14" s="154">
        <f>'Données projet'!D17</f>
        <v>9.3550000000000008E-2</v>
      </c>
      <c r="C14" s="147">
        <f ca="1">IF(OR('Données projet'!B17="",'Données projet'!C17="",'Données projet'!C17=0%),0,Calculateur!GE3)</f>
        <v>336.2911850338175</v>
      </c>
      <c r="D14" s="147">
        <f>IF(OR('Données projet'!B17="",'Données projet'!C17="",'Données projet'!C17=0%),0,Calculateur!GF3)</f>
        <v>225.01415116995503</v>
      </c>
      <c r="E14" s="147">
        <f t="shared" ca="1" si="0"/>
        <v>225.01415116995503</v>
      </c>
      <c r="F14" s="147">
        <f t="shared" ca="1" si="1"/>
        <v>21.050073841949295</v>
      </c>
      <c r="G14" s="147">
        <f ca="1">F14*(100%-'Données projet'!$C$24)*(100%-'Données projet'!$C$25)*(100%-'Données projet'!$C$26)*(100%-'Données projet'!$C$27)</f>
        <v>18.945066457754365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18.945066457754365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>Tilleul</v>
      </c>
      <c r="B15" s="157">
        <f>'Données projet'!D18</f>
        <v>0.18710000000000002</v>
      </c>
      <c r="C15" s="158">
        <f ca="1">IF(OR('Données projet'!B18="",'Données projet'!C18="",'Données projet'!C18=0%),0,Calculateur!GZ3)</f>
        <v>266.37807768393191</v>
      </c>
      <c r="D15" s="158">
        <f>IF(OR('Données projet'!B18="",'Données projet'!C18="",'Données projet'!C18=0%),0,Calculateur!HA3)</f>
        <v>168.52019826233425</v>
      </c>
      <c r="E15" s="158">
        <f t="shared" ca="1" si="0"/>
        <v>168.52019826233425</v>
      </c>
      <c r="F15" s="159">
        <f t="shared" ca="1" si="1"/>
        <v>31.530129094882742</v>
      </c>
      <c r="G15" s="159">
        <f ca="1">F15*(100%-'Données projet'!$C$24)*(100%-'Données projet'!$C$25)*(100%-'Données projet'!$C$26)*(100%-'Données projet'!$C$27)</f>
        <v>28.377116185394467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ca="1" si="2"/>
        <v>28.377116185394467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4554.0909046895531</v>
      </c>
      <c r="G16" s="166">
        <f t="shared" ca="1" si="3"/>
        <v>4098.6818142205975</v>
      </c>
      <c r="H16" s="167">
        <f t="shared" si="3"/>
        <v>2.6173891322526597</v>
      </c>
      <c r="I16" s="167">
        <f t="shared" si="3"/>
        <v>2.3556502190273938</v>
      </c>
      <c r="J16" s="168">
        <f t="shared" si="3"/>
        <v>75.120650000000012</v>
      </c>
      <c r="K16" s="168">
        <f t="shared" si="3"/>
        <v>67.608585000000005</v>
      </c>
      <c r="L16" s="169">
        <f t="shared" ca="1" si="3"/>
        <v>4168.6460494396251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Erable champêtre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chevelu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Chêne pédonculé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Cormier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>Alisier torminal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>Tilleul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2" zoomScale="80" zoomScaleNormal="80" workbookViewId="0">
      <selection activeCell="V33" sqref="V33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Erable champêtre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-28735.10688831647</v>
      </c>
      <c r="U10" s="178">
        <f>'Données projet'!D9</f>
        <v>2.6194000000000002</v>
      </c>
      <c r="V10" s="177">
        <f>U10*T10</f>
        <v>-75268.73898325616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Charme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-853.16949178071263</v>
      </c>
      <c r="U11" s="178">
        <f>'Données projet'!D10</f>
        <v>0.74840000000000007</v>
      </c>
      <c r="V11" s="177">
        <f t="shared" ref="V11" si="0">U11*T11</f>
        <v>-638.51204764868544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Merisier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-1901.0912177014382</v>
      </c>
      <c r="U12" s="178">
        <f>'Données projet'!D11</f>
        <v>0.74840000000000007</v>
      </c>
      <c r="V12" s="177">
        <f t="shared" ref="V12:V19" si="1">U12*T12</f>
        <v>-1422.7766673277565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chevelu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-2495.3725598206061</v>
      </c>
      <c r="U13" s="178">
        <f>'Données projet'!D12</f>
        <v>1.2161500000000001</v>
      </c>
      <c r="V13" s="177">
        <f t="shared" si="1"/>
        <v>-3034.7473386258303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Erable champêtre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sessile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-22410.582063330668</v>
      </c>
      <c r="U14" s="178">
        <f>'Données projet'!D13</f>
        <v>10.6647</v>
      </c>
      <c r="V14" s="177">
        <f t="shared" si="1"/>
        <v>-239002.13453080258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pubescent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-3560.5820633306657</v>
      </c>
      <c r="U15" s="178">
        <f>'Données projet'!D14</f>
        <v>1.4968000000000001</v>
      </c>
      <c r="V15" s="177">
        <f t="shared" si="1"/>
        <v>-5329.4792323933407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7"/>
      <c r="H16" s="190"/>
      <c r="I16" s="191"/>
      <c r="J16" s="202"/>
      <c r="K16" s="208"/>
      <c r="L16" s="294" t="s">
        <v>254</v>
      </c>
      <c r="M16" s="295"/>
      <c r="N16" s="2"/>
      <c r="O16" s="23"/>
      <c r="P16" s="23"/>
      <c r="Q16" s="234"/>
      <c r="R16" s="23"/>
      <c r="S16" s="36" t="str">
        <f>B200</f>
        <v>Chêne pédonculé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-1583.6377754337318</v>
      </c>
      <c r="U16" s="178">
        <f>'Données projet'!D15</f>
        <v>0.74840000000000007</v>
      </c>
      <c r="V16" s="177">
        <f t="shared" si="1"/>
        <v>-1185.1945111346049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3750</v>
      </c>
      <c r="F17" s="230"/>
      <c r="G17" s="297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Cormier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-877.58206333066619</v>
      </c>
      <c r="U17" s="178">
        <f>'Données projet'!D16</f>
        <v>0.18710000000000002</v>
      </c>
      <c r="V17" s="177">
        <f t="shared" si="1"/>
        <v>-164.19560404916766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v>12635</v>
      </c>
      <c r="F18" s="230"/>
      <c r="G18" s="297"/>
      <c r="J18" s="202"/>
      <c r="K18" s="208"/>
      <c r="L18" s="267" t="s">
        <v>255</v>
      </c>
      <c r="M18" s="269"/>
      <c r="N18" s="192"/>
      <c r="O18" s="23"/>
      <c r="P18" s="23"/>
      <c r="Q18" s="234"/>
      <c r="R18" s="23"/>
      <c r="S18" s="36" t="str">
        <f>B262</f>
        <v>Alisier torminal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-597.45664283953772</v>
      </c>
      <c r="U18" s="178">
        <f>'Données projet'!D17</f>
        <v>9.3550000000000008E-2</v>
      </c>
      <c r="V18" s="177">
        <f t="shared" si="1"/>
        <v>-55.892068937638761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>
        <v>13672</v>
      </c>
      <c r="F19" s="230"/>
      <c r="G19" s="297"/>
      <c r="H19" s="212" t="s">
        <v>178</v>
      </c>
      <c r="I19" s="212" t="s">
        <v>287</v>
      </c>
      <c r="J19" s="93"/>
      <c r="K19" s="173"/>
      <c r="L19" s="294" t="s">
        <v>288</v>
      </c>
      <c r="M19" s="295"/>
      <c r="N19" s="179">
        <f>N17*N18</f>
        <v>0</v>
      </c>
      <c r="O19" s="23"/>
      <c r="P19" s="4"/>
      <c r="Q19" s="235"/>
      <c r="R19" s="4"/>
      <c r="S19" s="36" t="str">
        <f>B293</f>
        <v>Tilleul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-412.95614894275207</v>
      </c>
      <c r="U19" s="178">
        <f>'Données projet'!D18</f>
        <v>0.18710000000000002</v>
      </c>
      <c r="V19" s="177">
        <f t="shared" si="1"/>
        <v>-77.264095467188923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7"/>
      <c r="H20" s="190">
        <v>0</v>
      </c>
      <c r="I20" s="191">
        <v>7151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21579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0</v>
      </c>
      <c r="I22" s="191">
        <v>1558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15</v>
      </c>
      <c r="C23" s="193"/>
      <c r="D23" s="182">
        <f>B23*C23</f>
        <v>0</v>
      </c>
      <c r="E23" s="193">
        <v>150</v>
      </c>
      <c r="F23" s="230"/>
      <c r="H23" s="190">
        <v>1</v>
      </c>
      <c r="I23" s="191">
        <v>1289</v>
      </c>
      <c r="K23" s="208"/>
      <c r="L23" s="296" t="s">
        <v>260</v>
      </c>
      <c r="M23" s="296"/>
      <c r="N23" s="296"/>
      <c r="O23" s="23"/>
      <c r="P23" s="23"/>
      <c r="Q23" s="234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-915946.06579734629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28</v>
      </c>
      <c r="C24" s="193"/>
      <c r="D24" s="182">
        <f t="shared" ref="D24:D42" si="2">B24*C24</f>
        <v>0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28</v>
      </c>
      <c r="C25" s="193"/>
      <c r="D25" s="182">
        <f t="shared" si="2"/>
        <v>0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11">
        <f ca="1">T23-T24</f>
        <v>-915946.06579734629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30</v>
      </c>
      <c r="B26" s="181">
        <f>'Données projet'!D39</f>
        <v>28</v>
      </c>
      <c r="C26" s="193"/>
      <c r="D26" s="182">
        <f t="shared" si="2"/>
        <v>0</v>
      </c>
      <c r="E26" s="193">
        <v>150</v>
      </c>
      <c r="F26" s="233"/>
      <c r="G26" s="229"/>
      <c r="H26" s="190"/>
      <c r="I26" s="191"/>
      <c r="K26" s="208"/>
      <c r="L26" s="298" t="s">
        <v>258</v>
      </c>
      <c r="M26" s="299"/>
      <c r="N26" s="299"/>
      <c r="O26" s="299"/>
      <c r="P26" s="300"/>
      <c r="Q26" s="234"/>
      <c r="R26" s="23"/>
      <c r="S26" s="186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35</v>
      </c>
      <c r="B27" s="181">
        <f>'Données projet'!D40</f>
        <v>28</v>
      </c>
      <c r="C27" s="193"/>
      <c r="D27" s="182">
        <f t="shared" si="2"/>
        <v>0</v>
      </c>
      <c r="E27" s="193">
        <v>150</v>
      </c>
      <c r="F27" s="233"/>
      <c r="G27" s="229"/>
      <c r="H27" s="190"/>
      <c r="I27" s="191"/>
      <c r="K27" s="208"/>
      <c r="L27" s="301"/>
      <c r="M27" s="302"/>
      <c r="N27" s="302"/>
      <c r="O27" s="302"/>
      <c r="P27" s="303"/>
      <c r="Q27" s="234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40</v>
      </c>
      <c r="B28" s="181">
        <f>'Données projet'!D41</f>
        <v>28</v>
      </c>
      <c r="C28" s="193"/>
      <c r="D28" s="182">
        <f t="shared" si="2"/>
        <v>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45</v>
      </c>
      <c r="B29" s="181">
        <f>'Données projet'!D42</f>
        <v>22</v>
      </c>
      <c r="C29" s="193"/>
      <c r="D29" s="182">
        <f t="shared" si="2"/>
        <v>0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50</v>
      </c>
      <c r="B30" s="181">
        <f>'Données projet'!D43</f>
        <v>17</v>
      </c>
      <c r="C30" s="193"/>
      <c r="D30" s="182">
        <f t="shared" si="2"/>
        <v>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55</v>
      </c>
      <c r="B31" s="181">
        <f>'Données projet'!D44</f>
        <v>13</v>
      </c>
      <c r="C31" s="193"/>
      <c r="D31" s="182">
        <f t="shared" si="2"/>
        <v>0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60</v>
      </c>
      <c r="B32" s="181">
        <f>'Données projet'!D45</f>
        <v>12</v>
      </c>
      <c r="C32" s="193"/>
      <c r="D32" s="182">
        <f t="shared" si="2"/>
        <v>0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65</v>
      </c>
      <c r="B33" s="181">
        <f>'Données projet'!D46</f>
        <v>11</v>
      </c>
      <c r="C33" s="193"/>
      <c r="D33" s="182">
        <f t="shared" si="2"/>
        <v>0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70</v>
      </c>
      <c r="B34" s="181">
        <f>'Données projet'!D47</f>
        <v>10</v>
      </c>
      <c r="C34" s="193"/>
      <c r="D34" s="182">
        <f t="shared" si="2"/>
        <v>0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75</v>
      </c>
      <c r="B35" s="181">
        <f>'Données projet'!D48</f>
        <v>9</v>
      </c>
      <c r="C35" s="193"/>
      <c r="D35" s="182">
        <f t="shared" si="2"/>
        <v>0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80</v>
      </c>
      <c r="B36" s="181">
        <f>'Données projet'!D49</f>
        <v>8</v>
      </c>
      <c r="C36" s="193"/>
      <c r="D36" s="182">
        <f t="shared" si="2"/>
        <v>0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768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35</v>
      </c>
      <c r="B55" s="181">
        <f>'Données projet'!D63</f>
        <v>60.602564102564102</v>
      </c>
      <c r="C55" s="191"/>
      <c r="D55" s="179">
        <f t="shared" ref="D55:D73" si="4">B55*C55</f>
        <v>0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41</v>
      </c>
      <c r="B56" s="181">
        <f>'Données projet'!D64</f>
        <v>38.512820512820511</v>
      </c>
      <c r="C56" s="191"/>
      <c r="D56" s="179">
        <f t="shared" si="4"/>
        <v>0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48</v>
      </c>
      <c r="B57" s="181">
        <f>'Données projet'!D65</f>
        <v>48.025641025641022</v>
      </c>
      <c r="C57" s="191"/>
      <c r="D57" s="179">
        <f t="shared" si="4"/>
        <v>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55</v>
      </c>
      <c r="B58" s="181">
        <f>'Données projet'!D66</f>
        <v>45.147435897435898</v>
      </c>
      <c r="C58" s="191"/>
      <c r="D58" s="179">
        <f t="shared" si="4"/>
        <v>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63</v>
      </c>
      <c r="B59" s="181">
        <f>'Données projet'!D67</f>
        <v>41.724358974358978</v>
      </c>
      <c r="C59" s="191"/>
      <c r="D59" s="179">
        <f t="shared" si="4"/>
        <v>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71</v>
      </c>
      <c r="B60" s="181">
        <f>'Données projet'!D68</f>
        <v>39.935897435897431</v>
      </c>
      <c r="C60" s="191"/>
      <c r="D60" s="179">
        <f t="shared" si="4"/>
        <v>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80</v>
      </c>
      <c r="B61" s="181">
        <f>'Données projet'!D69</f>
        <v>45.608974358974358</v>
      </c>
      <c r="C61" s="191"/>
      <c r="D61" s="179">
        <f t="shared" si="4"/>
        <v>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89</v>
      </c>
      <c r="B62" s="181">
        <f>'Données projet'!D70</f>
        <v>49.391025641025635</v>
      </c>
      <c r="C62" s="191"/>
      <c r="D62" s="179">
        <f t="shared" si="4"/>
        <v>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99</v>
      </c>
      <c r="B63" s="181">
        <f>'Données projet'!D71</f>
        <v>48.019230769230766</v>
      </c>
      <c r="C63" s="191"/>
      <c r="D63" s="179">
        <f t="shared" si="4"/>
        <v>0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109</v>
      </c>
      <c r="B64" s="181">
        <f>'Données projet'!D72</f>
        <v>51.28846153846154</v>
      </c>
      <c r="C64" s="191"/>
      <c r="D64" s="179">
        <f t="shared" si="4"/>
        <v>0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119</v>
      </c>
      <c r="B65" s="181">
        <f>'Données projet'!D73</f>
        <v>150.02564102564102</v>
      </c>
      <c r="C65" s="191"/>
      <c r="D65" s="179">
        <f t="shared" si="4"/>
        <v>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123</v>
      </c>
      <c r="B66" s="181">
        <f>'Données projet'!D74</f>
        <v>77.17307692307692</v>
      </c>
      <c r="C66" s="191"/>
      <c r="D66" s="179">
        <f t="shared" si="4"/>
        <v>0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127</v>
      </c>
      <c r="B67" s="181">
        <f>'Données projet'!D75</f>
        <v>49.916666666666671</v>
      </c>
      <c r="C67" s="191"/>
      <c r="D67" s="179">
        <f t="shared" si="4"/>
        <v>0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131</v>
      </c>
      <c r="B68" s="181">
        <f>'Données projet'!D76</f>
        <v>110.91025641025641</v>
      </c>
      <c r="C68" s="191"/>
      <c r="D68" s="179">
        <f t="shared" si="4"/>
        <v>0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Merisier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1589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15</v>
      </c>
      <c r="B85" s="181">
        <f>'Données projet'!D88</f>
        <v>3</v>
      </c>
      <c r="C85" s="191"/>
      <c r="D85" s="179">
        <f>B85*C85</f>
        <v>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20</v>
      </c>
      <c r="B86" s="181">
        <f>'Données projet'!D89</f>
        <v>25</v>
      </c>
      <c r="C86" s="191"/>
      <c r="D86" s="179">
        <f t="shared" ref="D86:D104" si="6">B86*C86</f>
        <v>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25</v>
      </c>
      <c r="B87" s="181">
        <f>'Données projet'!D90</f>
        <v>27</v>
      </c>
      <c r="C87" s="191"/>
      <c r="D87" s="179">
        <f t="shared" si="6"/>
        <v>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31</v>
      </c>
      <c r="B88" s="181">
        <f>'Données projet'!D91</f>
        <v>35</v>
      </c>
      <c r="C88" s="191"/>
      <c r="D88" s="179">
        <f t="shared" si="6"/>
        <v>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37</v>
      </c>
      <c r="B89" s="181">
        <f>'Données projet'!D92</f>
        <v>36</v>
      </c>
      <c r="C89" s="191"/>
      <c r="D89" s="179">
        <f t="shared" si="6"/>
        <v>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44</v>
      </c>
      <c r="B90" s="181">
        <f>'Données projet'!D93</f>
        <v>43</v>
      </c>
      <c r="C90" s="191"/>
      <c r="D90" s="179">
        <f t="shared" si="6"/>
        <v>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52</v>
      </c>
      <c r="B91" s="181">
        <f>'Données projet'!D94</f>
        <v>49</v>
      </c>
      <c r="C91" s="191"/>
      <c r="D91" s="179">
        <f t="shared" si="6"/>
        <v>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60</v>
      </c>
      <c r="B92" s="181">
        <f>'Données projet'!D95</f>
        <v>47</v>
      </c>
      <c r="C92" s="191"/>
      <c r="D92" s="179">
        <f t="shared" si="6"/>
        <v>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69</v>
      </c>
      <c r="B93" s="181">
        <f>'Données projet'!D96</f>
        <v>328</v>
      </c>
      <c r="C93" s="191"/>
      <c r="D93" s="179">
        <f t="shared" si="6"/>
        <v>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Chêne chevelu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2188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20</v>
      </c>
      <c r="B118" s="181" t="str">
        <f>'Données projet'!D116</f>
        <v>29</v>
      </c>
      <c r="C118" s="191"/>
      <c r="D118" s="179">
        <f t="shared" si="8"/>
        <v>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25</v>
      </c>
      <c r="B119" s="181" t="str">
        <f>'Données projet'!D117</f>
        <v>19</v>
      </c>
      <c r="C119" s="191"/>
      <c r="D119" s="179">
        <f t="shared" si="8"/>
        <v>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 t="str">
        <f>'Données projet'!D118</f>
        <v>20</v>
      </c>
      <c r="C120" s="191"/>
      <c r="D120" s="179">
        <f t="shared" si="8"/>
        <v>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35</v>
      </c>
      <c r="B121" s="181" t="str">
        <f>'Données projet'!D119</f>
        <v>20</v>
      </c>
      <c r="C121" s="191"/>
      <c r="D121" s="179">
        <f t="shared" si="8"/>
        <v>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40</v>
      </c>
      <c r="B122" s="181" t="str">
        <f>'Données projet'!D120</f>
        <v>20</v>
      </c>
      <c r="C122" s="191"/>
      <c r="D122" s="179">
        <f t="shared" si="8"/>
        <v>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45</v>
      </c>
      <c r="B123" s="181" t="str">
        <f>'Données projet'!D121</f>
        <v>19</v>
      </c>
      <c r="C123" s="191"/>
      <c r="D123" s="179">
        <f t="shared" si="8"/>
        <v>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50</v>
      </c>
      <c r="B124" s="181" t="str">
        <f>'Données projet'!D122</f>
        <v>18</v>
      </c>
      <c r="C124" s="191"/>
      <c r="D124" s="179">
        <f t="shared" si="8"/>
        <v>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55</v>
      </c>
      <c r="B125" s="181" t="str">
        <f>'Données projet'!D123</f>
        <v>17</v>
      </c>
      <c r="C125" s="191"/>
      <c r="D125" s="179">
        <f t="shared" si="8"/>
        <v>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60</v>
      </c>
      <c r="B126" s="181" t="str">
        <f>'Données projet'!D124</f>
        <v>16</v>
      </c>
      <c r="C126" s="191"/>
      <c r="D126" s="179">
        <f t="shared" si="8"/>
        <v>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65</v>
      </c>
      <c r="B127" s="181" t="str">
        <f>'Données projet'!D125</f>
        <v>15</v>
      </c>
      <c r="C127" s="191"/>
      <c r="D127" s="179">
        <f t="shared" si="8"/>
        <v>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70</v>
      </c>
      <c r="B128" s="181" t="str">
        <f>'Données projet'!D126</f>
        <v>14</v>
      </c>
      <c r="C128" s="191"/>
      <c r="D128" s="179">
        <f t="shared" si="8"/>
        <v>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75</v>
      </c>
      <c r="B129" s="181" t="str">
        <f>'Données projet'!D127</f>
        <v>12</v>
      </c>
      <c r="C129" s="191"/>
      <c r="D129" s="179">
        <f t="shared" si="8"/>
        <v>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80</v>
      </c>
      <c r="B130" s="181" t="str">
        <f>'Données projet'!D128</f>
        <v>11</v>
      </c>
      <c r="C130" s="191"/>
      <c r="D130" s="179">
        <f t="shared" si="8"/>
        <v>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85</v>
      </c>
      <c r="B131" s="181" t="str">
        <f>'Données projet'!D129</f>
        <v>10</v>
      </c>
      <c r="C131" s="191"/>
      <c r="D131" s="179">
        <f t="shared" si="8"/>
        <v>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90</v>
      </c>
      <c r="B132" s="181" t="str">
        <f>'Données projet'!D130</f>
        <v>10</v>
      </c>
      <c r="C132" s="191"/>
      <c r="D132" s="179">
        <f t="shared" si="8"/>
        <v>0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95</v>
      </c>
      <c r="B133" s="181" t="str">
        <f>'Données projet'!D131</f>
        <v>11</v>
      </c>
      <c r="C133" s="191"/>
      <c r="D133" s="179">
        <f t="shared" si="8"/>
        <v>0</v>
      </c>
      <c r="E133" s="193">
        <v>150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100</v>
      </c>
      <c r="B134" s="181" t="str">
        <f>'Données projet'!D132</f>
        <v>11</v>
      </c>
      <c r="C134" s="191"/>
      <c r="D134" s="179">
        <f t="shared" si="8"/>
        <v>0</v>
      </c>
      <c r="E134" s="193">
        <v>150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Chêne sessile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22338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44</v>
      </c>
      <c r="B148" s="175">
        <f>'Données projet'!D141</f>
        <v>64.416666666666657</v>
      </c>
      <c r="C148" s="191"/>
      <c r="D148" s="182">
        <f t="shared" ref="D148:D166" si="10">B148*C148</f>
        <v>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51</v>
      </c>
      <c r="B149" s="175">
        <f>'Données projet'!D142</f>
        <v>37.685897435897431</v>
      </c>
      <c r="C149" s="191"/>
      <c r="D149" s="182">
        <f t="shared" si="10"/>
        <v>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59</v>
      </c>
      <c r="B150" s="175">
        <f>'Données projet'!D143</f>
        <v>38.942307692307693</v>
      </c>
      <c r="C150" s="191"/>
      <c r="D150" s="182">
        <f t="shared" si="10"/>
        <v>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67</v>
      </c>
      <c r="B151" s="175">
        <f>'Données projet'!D144</f>
        <v>31.993589743589741</v>
      </c>
      <c r="C151" s="191"/>
      <c r="D151" s="182">
        <f t="shared" si="10"/>
        <v>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75</v>
      </c>
      <c r="B152" s="175">
        <f>'Données projet'!D145</f>
        <v>30.916666666666664</v>
      </c>
      <c r="C152" s="191"/>
      <c r="D152" s="182">
        <f t="shared" si="10"/>
        <v>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84</v>
      </c>
      <c r="B153" s="175">
        <f>'Données projet'!D146</f>
        <v>35.083333333333329</v>
      </c>
      <c r="C153" s="191"/>
      <c r="D153" s="182">
        <f t="shared" si="10"/>
        <v>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93</v>
      </c>
      <c r="B154" s="175">
        <f>'Données projet'!D147</f>
        <v>30.083333333333332</v>
      </c>
      <c r="C154" s="191"/>
      <c r="D154" s="182">
        <f t="shared" si="10"/>
        <v>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103</v>
      </c>
      <c r="B155" s="175">
        <f>'Données projet'!D148</f>
        <v>39.512820512820511</v>
      </c>
      <c r="C155" s="191"/>
      <c r="D155" s="182">
        <f t="shared" si="10"/>
        <v>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113</v>
      </c>
      <c r="B156" s="175">
        <f>'Données projet'!D149</f>
        <v>31.602564102564099</v>
      </c>
      <c r="C156" s="191"/>
      <c r="D156" s="182">
        <f t="shared" si="10"/>
        <v>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125</v>
      </c>
      <c r="B157" s="175">
        <f>'Données projet'!D150</f>
        <v>48.160256410256409</v>
      </c>
      <c r="C157" s="191"/>
      <c r="D157" s="182">
        <f t="shared" si="10"/>
        <v>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137</v>
      </c>
      <c r="B158" s="175">
        <f>'Données projet'!D151</f>
        <v>51.160256410256409</v>
      </c>
      <c r="C158" s="191"/>
      <c r="D158" s="182">
        <f t="shared" si="10"/>
        <v>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149</v>
      </c>
      <c r="B159" s="175">
        <f>'Données projet'!D152</f>
        <v>120.50641025641026</v>
      </c>
      <c r="C159" s="191"/>
      <c r="D159" s="182">
        <f t="shared" si="10"/>
        <v>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153</v>
      </c>
      <c r="B160" s="175">
        <f>'Données projet'!D153</f>
        <v>70.115384615384613</v>
      </c>
      <c r="C160" s="191"/>
      <c r="D160" s="182">
        <f t="shared" si="10"/>
        <v>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157</v>
      </c>
      <c r="B161" s="175">
        <f>'Données projet'!D154</f>
        <v>45.71153846153846</v>
      </c>
      <c r="C161" s="191"/>
      <c r="D161" s="182">
        <f t="shared" si="10"/>
        <v>0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161</v>
      </c>
      <c r="B162" s="175">
        <f>'Données projet'!D155</f>
        <v>91.365384615384613</v>
      </c>
      <c r="C162" s="191"/>
      <c r="D162" s="182">
        <f t="shared" si="10"/>
        <v>0</v>
      </c>
      <c r="E162" s="193">
        <v>150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>Chêne pubescent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3488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30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44</v>
      </c>
      <c r="B179" s="181">
        <f>'Données projet'!D167</f>
        <v>64.416666666666657</v>
      </c>
      <c r="C179" s="193"/>
      <c r="D179" s="179">
        <f t="shared" ref="D179:D197" si="11">B179*C179</f>
        <v>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51</v>
      </c>
      <c r="B180" s="181">
        <f>'Données projet'!D168</f>
        <v>37.685897435897431</v>
      </c>
      <c r="C180" s="193"/>
      <c r="D180" s="179">
        <f t="shared" si="11"/>
        <v>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59</v>
      </c>
      <c r="B181" s="181">
        <f>'Données projet'!D169</f>
        <v>38.942307692307693</v>
      </c>
      <c r="C181" s="193"/>
      <c r="D181" s="179">
        <f t="shared" si="11"/>
        <v>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67</v>
      </c>
      <c r="B182" s="181">
        <f>'Données projet'!D170</f>
        <v>31.993589743589741</v>
      </c>
      <c r="C182" s="193"/>
      <c r="D182" s="179">
        <f t="shared" si="11"/>
        <v>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75</v>
      </c>
      <c r="B183" s="181">
        <f>'Données projet'!D171</f>
        <v>30.916666666666664</v>
      </c>
      <c r="C183" s="193"/>
      <c r="D183" s="179">
        <f t="shared" si="11"/>
        <v>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84</v>
      </c>
      <c r="B184" s="181">
        <f>'Données projet'!D172</f>
        <v>35.083333333333329</v>
      </c>
      <c r="C184" s="193"/>
      <c r="D184" s="179">
        <f t="shared" si="11"/>
        <v>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93</v>
      </c>
      <c r="B185" s="181">
        <f>'Données projet'!D173</f>
        <v>30.083333333333332</v>
      </c>
      <c r="C185" s="193"/>
      <c r="D185" s="179">
        <f t="shared" si="11"/>
        <v>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103</v>
      </c>
      <c r="B186" s="181">
        <f>'Données projet'!D174</f>
        <v>39.512820512820511</v>
      </c>
      <c r="C186" s="193"/>
      <c r="D186" s="179">
        <f t="shared" si="11"/>
        <v>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113</v>
      </c>
      <c r="B187" s="181">
        <f>'Données projet'!D175</f>
        <v>31.602564102564099</v>
      </c>
      <c r="C187" s="193"/>
      <c r="D187" s="179">
        <f t="shared" si="11"/>
        <v>0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125</v>
      </c>
      <c r="B188" s="181">
        <f>'Données projet'!D176</f>
        <v>48.160256410256409</v>
      </c>
      <c r="C188" s="193"/>
      <c r="D188" s="179">
        <f t="shared" si="11"/>
        <v>0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137</v>
      </c>
      <c r="B189" s="181">
        <f>'Données projet'!D177</f>
        <v>51.160256410256409</v>
      </c>
      <c r="C189" s="193"/>
      <c r="D189" s="179">
        <f t="shared" si="11"/>
        <v>0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149</v>
      </c>
      <c r="B190" s="181">
        <f>'Données projet'!D178</f>
        <v>120.50641025641026</v>
      </c>
      <c r="C190" s="193"/>
      <c r="D190" s="179">
        <f t="shared" si="11"/>
        <v>0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153</v>
      </c>
      <c r="B191" s="181">
        <f>'Données projet'!D179</f>
        <v>70.115384615384613</v>
      </c>
      <c r="C191" s="193"/>
      <c r="D191" s="179">
        <f t="shared" si="11"/>
        <v>0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157</v>
      </c>
      <c r="B192" s="181">
        <f>'Données projet'!D180</f>
        <v>45.71153846153846</v>
      </c>
      <c r="C192" s="193"/>
      <c r="D192" s="179">
        <f t="shared" si="11"/>
        <v>0</v>
      </c>
      <c r="E192" s="193">
        <v>150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161</v>
      </c>
      <c r="B193" s="181">
        <f>'Données projet'!D181</f>
        <v>91.365384615384613</v>
      </c>
      <c r="C193" s="193"/>
      <c r="D193" s="179">
        <f t="shared" si="11"/>
        <v>0</v>
      </c>
      <c r="E193" s="193">
        <v>150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>Chêne pédonculé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1438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30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31</v>
      </c>
      <c r="B210" s="181">
        <f>'Données projet'!D193</f>
        <v>58.160256410256409</v>
      </c>
      <c r="C210" s="193"/>
      <c r="D210" s="179">
        <f t="shared" ref="D210:D228" si="12">B210*C210</f>
        <v>0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37</v>
      </c>
      <c r="B211" s="181">
        <f>'Données projet'!D194</f>
        <v>33.801282051282051</v>
      </c>
      <c r="C211" s="193"/>
      <c r="D211" s="179">
        <f t="shared" si="12"/>
        <v>0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44</v>
      </c>
      <c r="B212" s="181">
        <f>'Données projet'!D195</f>
        <v>41.506410256410255</v>
      </c>
      <c r="C212" s="193"/>
      <c r="D212" s="179">
        <f t="shared" si="12"/>
        <v>0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51</v>
      </c>
      <c r="B213" s="181">
        <f>'Données projet'!D196</f>
        <v>39.756410256410255</v>
      </c>
      <c r="C213" s="193"/>
      <c r="D213" s="179">
        <f t="shared" si="12"/>
        <v>0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58</v>
      </c>
      <c r="B214" s="181">
        <f>'Données projet'!D197</f>
        <v>38.141025641025642</v>
      </c>
      <c r="C214" s="193"/>
      <c r="D214" s="179">
        <f t="shared" si="12"/>
        <v>0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65</v>
      </c>
      <c r="B215" s="181">
        <f>'Données projet'!D198</f>
        <v>39.615384615384613</v>
      </c>
      <c r="C215" s="193"/>
      <c r="D215" s="179">
        <f t="shared" si="12"/>
        <v>0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72</v>
      </c>
      <c r="B216" s="181">
        <f>'Données projet'!D199</f>
        <v>45.891025641025642</v>
      </c>
      <c r="C216" s="193"/>
      <c r="D216" s="179">
        <f t="shared" si="12"/>
        <v>0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81</v>
      </c>
      <c r="B217" s="181">
        <f>'Données projet'!D200</f>
        <v>60.237179487179482</v>
      </c>
      <c r="C217" s="193"/>
      <c r="D217" s="179">
        <f t="shared" si="12"/>
        <v>0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90</v>
      </c>
      <c r="B218" s="181">
        <f>'Données projet'!D201</f>
        <v>60.846153846153847</v>
      </c>
      <c r="C218" s="193"/>
      <c r="D218" s="179">
        <f t="shared" si="12"/>
        <v>0</v>
      </c>
      <c r="E218" s="193">
        <v>150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99</v>
      </c>
      <c r="B219" s="181">
        <f>'Données projet'!D202</f>
        <v>154.53205128205127</v>
      </c>
      <c r="C219" s="193"/>
      <c r="D219" s="179">
        <f t="shared" si="12"/>
        <v>0</v>
      </c>
      <c r="E219" s="193">
        <v>150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101</v>
      </c>
      <c r="B220" s="181">
        <f>'Données projet'!D203</f>
        <v>56.294871794871788</v>
      </c>
      <c r="C220" s="193"/>
      <c r="D220" s="179">
        <f t="shared" si="12"/>
        <v>0</v>
      </c>
      <c r="E220" s="193">
        <v>150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103</v>
      </c>
      <c r="B221" s="181">
        <f>'Données projet'!D204</f>
        <v>39.92307692307692</v>
      </c>
      <c r="C221" s="193"/>
      <c r="D221" s="179">
        <f t="shared" si="12"/>
        <v>0</v>
      </c>
      <c r="E221" s="193">
        <v>150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106</v>
      </c>
      <c r="B222" s="181">
        <f>'Données projet'!D205</f>
        <v>89.429487179487168</v>
      </c>
      <c r="C222" s="193"/>
      <c r="D222" s="179">
        <f t="shared" si="12"/>
        <v>0</v>
      </c>
      <c r="E222" s="193">
        <v>150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>Cormier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805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30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44</v>
      </c>
      <c r="B241" s="181">
        <f>'Données projet'!D219</f>
        <v>64.416666666666657</v>
      </c>
      <c r="C241" s="193"/>
      <c r="D241" s="179">
        <f t="shared" ref="D241:D259" si="13">B241*C241</f>
        <v>0</v>
      </c>
      <c r="E241" s="193">
        <v>150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51</v>
      </c>
      <c r="B242" s="181">
        <f>'Données projet'!D220</f>
        <v>37.685897435897431</v>
      </c>
      <c r="C242" s="193"/>
      <c r="D242" s="179">
        <f t="shared" si="13"/>
        <v>0</v>
      </c>
      <c r="E242" s="193">
        <v>150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59</v>
      </c>
      <c r="B243" s="181">
        <f>'Données projet'!D221</f>
        <v>38.942307692307693</v>
      </c>
      <c r="C243" s="193"/>
      <c r="D243" s="179">
        <f t="shared" si="13"/>
        <v>0</v>
      </c>
      <c r="E243" s="193">
        <v>150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67</v>
      </c>
      <c r="B244" s="181">
        <f>'Données projet'!D222</f>
        <v>31.993589743589741</v>
      </c>
      <c r="C244" s="193"/>
      <c r="D244" s="179">
        <f t="shared" si="13"/>
        <v>0</v>
      </c>
      <c r="E244" s="193">
        <v>150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75</v>
      </c>
      <c r="B245" s="181">
        <f>'Données projet'!D223</f>
        <v>30.916666666666664</v>
      </c>
      <c r="C245" s="193"/>
      <c r="D245" s="179">
        <f t="shared" si="13"/>
        <v>0</v>
      </c>
      <c r="E245" s="193">
        <v>150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84</v>
      </c>
      <c r="B246" s="181">
        <f>'Données projet'!D224</f>
        <v>35.083333333333329</v>
      </c>
      <c r="C246" s="193"/>
      <c r="D246" s="179">
        <f t="shared" si="13"/>
        <v>0</v>
      </c>
      <c r="E246" s="193">
        <v>150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93</v>
      </c>
      <c r="B247" s="181">
        <f>'Données projet'!D225</f>
        <v>30.083333333333332</v>
      </c>
      <c r="C247" s="193"/>
      <c r="D247" s="179">
        <f t="shared" si="13"/>
        <v>0</v>
      </c>
      <c r="E247" s="193">
        <v>150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103</v>
      </c>
      <c r="B248" s="181">
        <f>'Données projet'!D226</f>
        <v>39.512820512820511</v>
      </c>
      <c r="C248" s="193"/>
      <c r="D248" s="179">
        <f t="shared" si="13"/>
        <v>0</v>
      </c>
      <c r="E248" s="193">
        <v>150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113</v>
      </c>
      <c r="B249" s="181">
        <f>'Données projet'!D227</f>
        <v>31.602564102564099</v>
      </c>
      <c r="C249" s="193"/>
      <c r="D249" s="179">
        <f t="shared" si="13"/>
        <v>0</v>
      </c>
      <c r="E249" s="193">
        <v>150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125</v>
      </c>
      <c r="B250" s="181">
        <f>'Données projet'!D228</f>
        <v>48.160256410256409</v>
      </c>
      <c r="C250" s="193"/>
      <c r="D250" s="179">
        <f t="shared" si="13"/>
        <v>0</v>
      </c>
      <c r="E250" s="193">
        <v>150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137</v>
      </c>
      <c r="B251" s="181">
        <f>'Données projet'!D229</f>
        <v>51.160256410256409</v>
      </c>
      <c r="C251" s="193"/>
      <c r="D251" s="179">
        <f t="shared" si="13"/>
        <v>0</v>
      </c>
      <c r="E251" s="193">
        <v>150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149</v>
      </c>
      <c r="B252" s="181">
        <f>'Données projet'!D230</f>
        <v>120.50641025641026</v>
      </c>
      <c r="C252" s="193"/>
      <c r="D252" s="179">
        <f t="shared" si="13"/>
        <v>0</v>
      </c>
      <c r="E252" s="193">
        <v>150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153</v>
      </c>
      <c r="B253" s="181">
        <f>'Données projet'!D231</f>
        <v>70.115384615384613</v>
      </c>
      <c r="C253" s="193"/>
      <c r="D253" s="179">
        <f t="shared" si="13"/>
        <v>0</v>
      </c>
      <c r="E253" s="193">
        <v>150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157</v>
      </c>
      <c r="B254" s="181">
        <f>'Données projet'!D232</f>
        <v>45.71153846153846</v>
      </c>
      <c r="C254" s="193"/>
      <c r="D254" s="179">
        <f t="shared" si="13"/>
        <v>0</v>
      </c>
      <c r="E254" s="193">
        <v>150</v>
      </c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161</v>
      </c>
      <c r="B255" s="181">
        <f>'Données projet'!D233</f>
        <v>91.365384615384613</v>
      </c>
      <c r="C255" s="193"/>
      <c r="D255" s="179">
        <f t="shared" si="13"/>
        <v>0</v>
      </c>
      <c r="E255" s="193">
        <v>150</v>
      </c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>Alisier torminal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525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30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44</v>
      </c>
      <c r="B272" s="181">
        <f>'Données projet'!D245</f>
        <v>64.416666666666657</v>
      </c>
      <c r="C272" s="193"/>
      <c r="D272" s="179">
        <f t="shared" ref="D272:D290" si="14">B272*C272</f>
        <v>0</v>
      </c>
      <c r="E272" s="193">
        <v>150</v>
      </c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51</v>
      </c>
      <c r="B273" s="181">
        <f>'Données projet'!D246</f>
        <v>37.685897435897431</v>
      </c>
      <c r="C273" s="193"/>
      <c r="D273" s="179">
        <f t="shared" si="14"/>
        <v>0</v>
      </c>
      <c r="E273" s="193">
        <v>150</v>
      </c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59</v>
      </c>
      <c r="B274" s="181">
        <f>'Données projet'!D247</f>
        <v>38.942307692307693</v>
      </c>
      <c r="C274" s="193"/>
      <c r="D274" s="179">
        <f t="shared" si="14"/>
        <v>0</v>
      </c>
      <c r="E274" s="193">
        <v>150</v>
      </c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67</v>
      </c>
      <c r="B275" s="181">
        <f>'Données projet'!D248</f>
        <v>31.993589743589741</v>
      </c>
      <c r="C275" s="193"/>
      <c r="D275" s="179">
        <f t="shared" si="14"/>
        <v>0</v>
      </c>
      <c r="E275" s="193">
        <v>150</v>
      </c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75</v>
      </c>
      <c r="B276" s="181">
        <f>'Données projet'!D249</f>
        <v>30.916666666666664</v>
      </c>
      <c r="C276" s="193"/>
      <c r="D276" s="179">
        <f t="shared" si="14"/>
        <v>0</v>
      </c>
      <c r="E276" s="193">
        <v>150</v>
      </c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84</v>
      </c>
      <c r="B277" s="181">
        <f>'Données projet'!D250</f>
        <v>35.083333333333329</v>
      </c>
      <c r="C277" s="193"/>
      <c r="D277" s="179">
        <f t="shared" si="14"/>
        <v>0</v>
      </c>
      <c r="E277" s="193">
        <v>150</v>
      </c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93</v>
      </c>
      <c r="B278" s="181">
        <f>'Données projet'!D251</f>
        <v>30.083333333333332</v>
      </c>
      <c r="C278" s="193"/>
      <c r="D278" s="179">
        <f t="shared" si="14"/>
        <v>0</v>
      </c>
      <c r="E278" s="193">
        <v>150</v>
      </c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103</v>
      </c>
      <c r="B279" s="181">
        <f>'Données projet'!D252</f>
        <v>39.512820512820511</v>
      </c>
      <c r="C279" s="193"/>
      <c r="D279" s="179">
        <f t="shared" si="14"/>
        <v>0</v>
      </c>
      <c r="E279" s="193">
        <v>150</v>
      </c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113</v>
      </c>
      <c r="B280" s="181">
        <f>'Données projet'!D253</f>
        <v>31.602564102564099</v>
      </c>
      <c r="C280" s="193"/>
      <c r="D280" s="179">
        <f t="shared" si="14"/>
        <v>0</v>
      </c>
      <c r="E280" s="193">
        <v>150</v>
      </c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125</v>
      </c>
      <c r="B281" s="181">
        <f>'Données projet'!D254</f>
        <v>48.160256410256409</v>
      </c>
      <c r="C281" s="193"/>
      <c r="D281" s="179">
        <f t="shared" si="14"/>
        <v>0</v>
      </c>
      <c r="E281" s="193">
        <v>150</v>
      </c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137</v>
      </c>
      <c r="B282" s="181">
        <f>'Données projet'!D255</f>
        <v>51.160256410256409</v>
      </c>
      <c r="C282" s="193"/>
      <c r="D282" s="179">
        <f t="shared" si="14"/>
        <v>0</v>
      </c>
      <c r="E282" s="193">
        <v>150</v>
      </c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149</v>
      </c>
      <c r="B283" s="181">
        <f>'Données projet'!D256</f>
        <v>120.50641025641026</v>
      </c>
      <c r="C283" s="193"/>
      <c r="D283" s="179">
        <f t="shared" si="14"/>
        <v>0</v>
      </c>
      <c r="E283" s="193">
        <v>150</v>
      </c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153</v>
      </c>
      <c r="B284" s="181">
        <f>'Données projet'!D257</f>
        <v>70.115384615384613</v>
      </c>
      <c r="C284" s="193"/>
      <c r="D284" s="179">
        <f t="shared" si="14"/>
        <v>0</v>
      </c>
      <c r="E284" s="193">
        <v>150</v>
      </c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157</v>
      </c>
      <c r="B285" s="181">
        <f>'Données projet'!D258</f>
        <v>45.71153846153846</v>
      </c>
      <c r="C285" s="193"/>
      <c r="D285" s="179">
        <f t="shared" si="14"/>
        <v>0</v>
      </c>
      <c r="E285" s="193">
        <v>150</v>
      </c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161</v>
      </c>
      <c r="B286" s="181">
        <f>'Données projet'!D259</f>
        <v>91.365384615384613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>Tilleul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362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30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44</v>
      </c>
      <c r="B303" s="181">
        <f>'Données projet'!D271</f>
        <v>64.416666666666657</v>
      </c>
      <c r="C303" s="191"/>
      <c r="D303" s="182">
        <f t="shared" ref="D303:D321" si="15">B303*C303</f>
        <v>0</v>
      </c>
      <c r="E303" s="193">
        <v>150</v>
      </c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51</v>
      </c>
      <c r="B304" s="181">
        <f>'Données projet'!D272</f>
        <v>37.685897435897431</v>
      </c>
      <c r="C304" s="191"/>
      <c r="D304" s="182">
        <f t="shared" si="15"/>
        <v>0</v>
      </c>
      <c r="E304" s="193">
        <v>150</v>
      </c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59</v>
      </c>
      <c r="B305" s="181">
        <f>'Données projet'!D273</f>
        <v>38.942307692307693</v>
      </c>
      <c r="C305" s="191"/>
      <c r="D305" s="182">
        <f t="shared" si="15"/>
        <v>0</v>
      </c>
      <c r="E305" s="193">
        <v>150</v>
      </c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67</v>
      </c>
      <c r="B306" s="181">
        <f>'Données projet'!D274</f>
        <v>31.993589743589741</v>
      </c>
      <c r="C306" s="191"/>
      <c r="D306" s="182">
        <f t="shared" si="15"/>
        <v>0</v>
      </c>
      <c r="E306" s="193">
        <v>150</v>
      </c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75</v>
      </c>
      <c r="B307" s="181">
        <f>'Données projet'!D275</f>
        <v>30.916666666666664</v>
      </c>
      <c r="C307" s="191"/>
      <c r="D307" s="182">
        <f t="shared" si="15"/>
        <v>0</v>
      </c>
      <c r="E307" s="193">
        <v>150</v>
      </c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84</v>
      </c>
      <c r="B308" s="181">
        <f>'Données projet'!D276</f>
        <v>35.083333333333329</v>
      </c>
      <c r="C308" s="191"/>
      <c r="D308" s="182">
        <f t="shared" si="15"/>
        <v>0</v>
      </c>
      <c r="E308" s="193">
        <v>150</v>
      </c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93</v>
      </c>
      <c r="B309" s="181">
        <f>'Données projet'!D277</f>
        <v>30.083333333333332</v>
      </c>
      <c r="C309" s="191"/>
      <c r="D309" s="182">
        <f t="shared" si="15"/>
        <v>0</v>
      </c>
      <c r="E309" s="193">
        <v>150</v>
      </c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103</v>
      </c>
      <c r="B310" s="181">
        <f>'Données projet'!D278</f>
        <v>39.512820512820511</v>
      </c>
      <c r="C310" s="191"/>
      <c r="D310" s="182">
        <f t="shared" si="15"/>
        <v>0</v>
      </c>
      <c r="E310" s="193">
        <v>150</v>
      </c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113</v>
      </c>
      <c r="B311" s="181">
        <f>'Données projet'!D279</f>
        <v>31.602564102564099</v>
      </c>
      <c r="C311" s="191"/>
      <c r="D311" s="182">
        <f t="shared" si="15"/>
        <v>0</v>
      </c>
      <c r="E311" s="193">
        <v>150</v>
      </c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125</v>
      </c>
      <c r="B312" s="181">
        <f>'Données projet'!D280</f>
        <v>48.160256410256409</v>
      </c>
      <c r="C312" s="191"/>
      <c r="D312" s="182">
        <f t="shared" si="15"/>
        <v>0</v>
      </c>
      <c r="E312" s="193">
        <v>150</v>
      </c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137</v>
      </c>
      <c r="B313" s="181">
        <f>'Données projet'!D281</f>
        <v>51.160256410256409</v>
      </c>
      <c r="C313" s="191"/>
      <c r="D313" s="182">
        <f t="shared" si="15"/>
        <v>0</v>
      </c>
      <c r="E313" s="193">
        <v>150</v>
      </c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149</v>
      </c>
      <c r="B314" s="181">
        <f>'Données projet'!D282</f>
        <v>120.50641025641026</v>
      </c>
      <c r="C314" s="191"/>
      <c r="D314" s="182">
        <f t="shared" si="15"/>
        <v>0</v>
      </c>
      <c r="E314" s="193">
        <v>150</v>
      </c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153</v>
      </c>
      <c r="B315" s="181">
        <f>'Données projet'!D283</f>
        <v>70.115384615384613</v>
      </c>
      <c r="C315" s="191"/>
      <c r="D315" s="182">
        <f t="shared" si="15"/>
        <v>0</v>
      </c>
      <c r="E315" s="193">
        <v>150</v>
      </c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157</v>
      </c>
      <c r="B316" s="181">
        <f>'Données projet'!D284</f>
        <v>45.71153846153846</v>
      </c>
      <c r="C316" s="191"/>
      <c r="D316" s="182">
        <f t="shared" si="15"/>
        <v>0</v>
      </c>
      <c r="E316" s="193">
        <v>150</v>
      </c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161</v>
      </c>
      <c r="B317" s="181">
        <f>'Données projet'!D285</f>
        <v>91.365384615384613</v>
      </c>
      <c r="C317" s="191"/>
      <c r="D317" s="182">
        <f t="shared" si="15"/>
        <v>0</v>
      </c>
      <c r="E317" s="193">
        <v>150</v>
      </c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9237B8BE-6920-4509-ADD3-1C629A356A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Pierrick RIBADEAU</cp:lastModifiedBy>
  <dcterms:created xsi:type="dcterms:W3CDTF">2021-02-01T08:22:39Z</dcterms:created>
  <dcterms:modified xsi:type="dcterms:W3CDTF">2024-04-16T12:17:59Z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