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illianBaué\Downloads\"/>
    </mc:Choice>
  </mc:AlternateContent>
  <xr:revisionPtr revIDLastSave="0" documentId="8_{1C3329C6-34A0-4914-A429-314252592C8C}" xr6:coauthVersionLast="47" xr6:coauthVersionMax="47" xr10:uidLastSave="{00000000-0000-0000-0000-000000000000}"/>
  <bookViews>
    <workbookView xWindow="30" yWindow="-16320" windowWidth="29040" windowHeight="15720" tabRatio="866" firstSheet="5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FR4" i="2"/>
  <c r="BQ4" i="2"/>
  <c r="BR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EA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FS38" i="2"/>
  <c r="EA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G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I85" i="2"/>
  <c r="EV85" i="2"/>
  <c r="HH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FS113" i="2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EW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I130" i="2"/>
  <c r="EB130" i="2"/>
  <c r="HG130" i="2"/>
  <c r="EX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FR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H145" i="2"/>
  <c r="EA145" i="2"/>
  <c r="EB145" i="2"/>
  <c r="HG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R146" i="2"/>
  <c r="FS146" i="2"/>
  <c r="HH146" i="2"/>
  <c r="EA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H150" i="2"/>
  <c r="FS150" i="2"/>
  <c r="HG150" i="2"/>
  <c r="EC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EB156" i="2"/>
  <c r="HG156" i="2"/>
  <c r="HH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X161" i="2"/>
  <c r="AB161" i="2"/>
  <c r="EA161" i="2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I163" i="2"/>
  <c r="EV163" i="2"/>
  <c r="EY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EA164" i="2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X167" i="2"/>
  <c r="EC167" i="2"/>
  <c r="HH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EV168" i="2"/>
  <c r="EY168" i="2" s="1"/>
  <c r="EB168" i="2"/>
  <c r="HI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B175" i="2"/>
  <c r="FS175" i="2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Q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A179" i="2"/>
  <c r="HG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/>
  <c r="EA185" i="2" l="1"/>
  <c r="EW185" i="2"/>
  <c r="EV185" i="2"/>
  <c r="HI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EA192" i="2"/>
  <c r="HH192" i="2"/>
  <c r="HI192" i="2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DH195" i="2"/>
  <c r="HG195" i="2"/>
  <c r="EB195" i="2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A197" i="2"/>
  <c r="ED197" i="2" s="1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H201" i="2" l="1"/>
  <c r="FS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S202" i="2" l="1"/>
  <c r="FR202" i="2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CS38" i="2" l="1" a="1"/>
  <c r="CS38" i="2" s="1"/>
  <c r="BC84" i="2" a="1"/>
  <c r="BC84" i="2" s="1"/>
  <c r="AH19" i="2" a="1"/>
  <c r="AH19" i="2" s="1"/>
  <c r="BC47" i="2" a="1"/>
  <c r="BC47" i="2" s="1"/>
  <c r="BC32" i="2" a="1"/>
  <c r="BC32" i="2" s="1"/>
  <c r="AH90" i="2" a="1"/>
  <c r="AH90" i="2" s="1"/>
  <c r="BC68" i="2" a="1"/>
  <c r="BC68" i="2" s="1"/>
  <c r="FY71" i="2" a="1"/>
  <c r="FY71" i="2" s="1"/>
  <c r="BC164" i="2" a="1"/>
  <c r="BC164" i="2" s="1"/>
  <c r="CS77" i="2" a="1"/>
  <c r="CS77" i="2" s="1"/>
  <c r="BC58" i="2" a="1"/>
  <c r="BC58" i="2" s="1"/>
  <c r="BC192" i="2" a="1"/>
  <c r="BC192" i="2" s="1"/>
  <c r="AH151" i="2" a="1"/>
  <c r="AH151" i="2" s="1"/>
  <c r="BC34" i="2" a="1"/>
  <c r="BC34" i="2" s="1"/>
  <c r="FY50" i="2" a="1"/>
  <c r="FY50" i="2" s="1"/>
  <c r="FY18" i="2" a="1"/>
  <c r="FY18" i="2" s="1"/>
  <c r="FY172" i="2" a="1"/>
  <c r="FY172" i="2" s="1"/>
  <c r="FY54" i="2" a="1"/>
  <c r="FY54" i="2" s="1"/>
  <c r="FY104" i="2" a="1"/>
  <c r="FY104" i="2" s="1"/>
  <c r="FY82" i="2" a="1"/>
  <c r="FY82" i="2" s="1"/>
  <c r="FY178" i="2" a="1"/>
  <c r="FY178" i="2" s="1"/>
  <c r="FY182" i="2" a="1"/>
  <c r="FY182" i="2" s="1"/>
  <c r="FY55" i="2" a="1"/>
  <c r="FY55" i="2" s="1"/>
  <c r="FY152" i="2" a="1"/>
  <c r="FY152" i="2" s="1"/>
  <c r="FY186" i="2" a="1"/>
  <c r="FY186" i="2" s="1"/>
  <c r="DN188" i="2" a="1"/>
  <c r="DN188" i="2" s="1"/>
  <c r="DN16" i="2" a="1"/>
  <c r="DN16" i="2" s="1"/>
  <c r="FY133" i="2" a="1"/>
  <c r="FY133" i="2" s="1"/>
  <c r="DN162" i="2" a="1"/>
  <c r="DN162" i="2" s="1"/>
  <c r="DN114" i="2" a="1"/>
  <c r="DN114" i="2" s="1"/>
  <c r="FY140" i="2" a="1"/>
  <c r="FY140" i="2" s="1"/>
  <c r="DN49" i="2" a="1"/>
  <c r="DN49" i="2" s="1"/>
  <c r="DN103" i="2" a="1"/>
  <c r="DN103" i="2" s="1"/>
  <c r="FY29" i="2" a="1"/>
  <c r="FY29" i="2" s="1"/>
  <c r="DN153" i="2" a="1"/>
  <c r="DN153" i="2" s="1"/>
  <c r="FY35" i="2" a="1"/>
  <c r="FY35" i="2" s="1"/>
  <c r="DN135" i="2" a="1"/>
  <c r="DN135" i="2" s="1"/>
  <c r="CS137" i="2" a="1"/>
  <c r="CS137" i="2" s="1"/>
  <c r="FY174" i="2" a="1"/>
  <c r="FY174" i="2" s="1"/>
  <c r="FY142" i="2" a="1"/>
  <c r="FY142" i="2" s="1"/>
  <c r="CS52" i="2" a="1"/>
  <c r="CS52" i="2" s="1"/>
  <c r="FY99" i="2" a="1"/>
  <c r="FY99" i="2" s="1"/>
  <c r="BX107" i="2" a="1"/>
  <c r="BX107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29" i="2" a="1"/>
  <c r="DN29" i="2" s="1"/>
  <c r="DN41" i="2" a="1"/>
  <c r="DN41" i="2" s="1"/>
  <c r="FY173" i="2" a="1"/>
  <c r="FY173" i="2" s="1"/>
  <c r="DN46" i="2" a="1"/>
  <c r="DN46" i="2" s="1"/>
  <c r="FY86" i="2" a="1"/>
  <c r="FY86" i="2" s="1"/>
  <c r="FY188" i="2" a="1"/>
  <c r="FY188" i="2" s="1"/>
  <c r="DN115" i="2" a="1"/>
  <c r="DN115" i="2" s="1"/>
  <c r="FY143" i="2" a="1"/>
  <c r="FY143" i="2" s="1"/>
  <c r="FY121" i="2" a="1"/>
  <c r="FY121" i="2" s="1"/>
  <c r="DN137" i="2" a="1"/>
  <c r="DN137" i="2" s="1"/>
  <c r="FY24" i="2" a="1"/>
  <c r="FY24" i="2" s="1"/>
  <c r="DN170" i="2" a="1"/>
  <c r="DN170" i="2" s="1"/>
  <c r="FY110" i="2" a="1"/>
  <c r="FY110" i="2" s="1"/>
  <c r="DN123" i="2" a="1"/>
  <c r="DN123" i="2" s="1"/>
  <c r="FY146" i="2" a="1"/>
  <c r="FY146" i="2" s="1"/>
  <c r="CS72" i="2" a="1"/>
  <c r="CS72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67" i="2" a="1"/>
  <c r="DN167" i="2" s="1"/>
  <c r="DN30" i="2" a="1"/>
  <c r="DN30" i="2" s="1"/>
  <c r="FY115" i="2" a="1"/>
  <c r="FY115" i="2" s="1"/>
  <c r="FY126" i="2" a="1"/>
  <c r="FY126" i="2" s="1"/>
  <c r="DN177" i="2" a="1"/>
  <c r="DN177" i="2" s="1"/>
  <c r="FY159" i="2" a="1"/>
  <c r="FY159" i="2" s="1"/>
  <c r="FY58" i="2" a="1"/>
  <c r="FY58" i="2" s="1"/>
  <c r="FY28" i="2" a="1"/>
  <c r="FY28" i="2" s="1"/>
  <c r="DN164" i="2" a="1"/>
  <c r="DN164" i="2" s="1"/>
  <c r="FY78" i="2" a="1"/>
  <c r="FY78" i="2" s="1"/>
  <c r="DN190" i="2" a="1"/>
  <c r="DN190" i="2" s="1"/>
  <c r="CS105" i="2" a="1"/>
  <c r="CS105" i="2" s="1"/>
  <c r="FY165" i="2" a="1"/>
  <c r="FY165" i="2" s="1"/>
  <c r="DN38" i="2" a="1"/>
  <c r="DN38" i="2" s="1"/>
  <c r="CS161" i="2" a="1"/>
  <c r="CS161" i="2" s="1"/>
  <c r="FY153" i="2" a="1"/>
  <c r="FY153" i="2" s="1"/>
  <c r="DN65" i="2" a="1"/>
  <c r="DN65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86" i="2" a="1"/>
  <c r="DN86" i="2" s="1"/>
  <c r="FY34" i="2" a="1"/>
  <c r="FY34" i="2" s="1"/>
  <c r="FY109" i="2" a="1"/>
  <c r="FY109" i="2" s="1"/>
  <c r="DN43" i="2" a="1"/>
  <c r="DN43" i="2" s="1"/>
  <c r="FY164" i="2" a="1"/>
  <c r="FY164" i="2" s="1"/>
  <c r="FY79" i="2" a="1"/>
  <c r="FY79" i="2" s="1"/>
  <c r="DN186" i="2" a="1"/>
  <c r="DN186" i="2" s="1"/>
  <c r="FY149" i="2" a="1"/>
  <c r="FY149" i="2" s="1"/>
  <c r="FY47" i="2" a="1"/>
  <c r="FY47" i="2" s="1"/>
  <c r="DN176" i="2" a="1"/>
  <c r="DN176" i="2" s="1"/>
  <c r="FY191" i="2" a="1"/>
  <c r="FY191" i="2" s="1"/>
  <c r="DN187" i="2" a="1"/>
  <c r="DN187" i="2" s="1"/>
  <c r="FY167" i="2" a="1"/>
  <c r="FY167" i="2" s="1"/>
  <c r="CS129" i="2" a="1"/>
  <c r="CS129" i="2" s="1"/>
  <c r="FY124" i="2" a="1"/>
  <c r="FY124" i="2" s="1"/>
  <c r="DN133" i="2" a="1"/>
  <c r="DN133" i="2" s="1"/>
  <c r="DN129" i="2" a="1"/>
  <c r="DN129" i="2" s="1"/>
  <c r="FY169" i="2" a="1"/>
  <c r="FY169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<sst xmlns="http://schemas.openxmlformats.org/spreadsheetml/2006/main" count="1171" uniqueCount="324">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</sst>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color rgb="FF000000"/>
      <name val="Times New Roman"/>
      <charset val="204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/>
  </cellStyleXfs>
  <cellXfs count="31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2" xfId="3" xr:uid="{02601FF9-3298-4036-B4E5-782C85B41B9A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2.1308141160214524</c:v>
                </c:pt>
                <c:pt idx="2">
                  <c:v>2.9281438921184422</c:v>
                </c:pt>
                <c:pt idx="3">
                  <c:v>4.0251008302440558</c:v>
                </c:pt>
                <c:pt idx="4">
                  <c:v>5.5347320136010607</c:v>
                </c:pt>
                <c:pt idx="5">
                  <c:v>7.6128950982994814</c:v>
                </c:pt>
                <c:pt idx="6">
                  <c:v>10.474526237326645</c:v>
                </c:pt>
                <c:pt idx="7">
                  <c:v>14.416109246890739</c:v>
                </c:pt>
                <c:pt idx="8">
                  <c:v>19.846716675180701</c:v>
                </c:pt>
                <c:pt idx="9">
                  <c:v>27.330902062821988</c:v>
                </c:pt>
                <c:pt idx="10">
                  <c:v>37.647980389214389</c:v>
                </c:pt>
                <c:pt idx="11">
                  <c:v>51.873974868363312</c:v>
                </c:pt>
                <c:pt idx="12">
                  <c:v>71.494919115279259</c:v>
                </c:pt>
                <c:pt idx="13">
                  <c:v>98.563542334042737</c:v>
                </c:pt>
                <c:pt idx="14">
                  <c:v>135.91598930167785</c:v>
                </c:pt>
                <c:pt idx="15">
                  <c:v>187.47163242004558</c:v>
                </c:pt>
                <c:pt idx="16">
                  <c:v>146.81136550483043</c:v>
                </c:pt>
                <c:pt idx="17">
                  <c:v>170.80742956433662</c:v>
                </c:pt>
                <c:pt idx="18">
                  <c:v>194.72403964986469</c:v>
                </c:pt>
                <c:pt idx="19">
                  <c:v>218.57233487380279</c:v>
                </c:pt>
                <c:pt idx="20">
                  <c:v>242.36081900864244</c:v>
                </c:pt>
                <c:pt idx="21">
                  <c:v>204.12844580084439</c:v>
                </c:pt>
                <c:pt idx="22">
                  <c:v>228.73672472258568</c:v>
                </c:pt>
                <c:pt idx="23">
                  <c:v>253.28442352659965</c:v>
                </c:pt>
                <c:pt idx="24">
                  <c:v>277.77823774730069</c:v>
                </c:pt>
                <c:pt idx="25">
                  <c:v>302.22358479212926</c:v>
                </c:pt>
                <c:pt idx="26">
                  <c:v>326.62493383898675</c:v>
                </c:pt>
                <c:pt idx="27">
                  <c:v>291.30971240337067</c:v>
                </c:pt>
                <c:pt idx="28">
                  <c:v>316.1418864758075</c:v>
                </c:pt>
                <c:pt idx="29">
                  <c:v>340.93085224786302</c:v>
                </c:pt>
                <c:pt idx="30">
                  <c:v>365.68019072148701</c:v>
                </c:pt>
                <c:pt idx="31">
                  <c:v>390.39295876069372</c:v>
                </c:pt>
                <c:pt idx="32">
                  <c:v>415.07179481834652</c:v>
                </c:pt>
                <c:pt idx="33">
                  <c:v>355.88364576448515</c:v>
                </c:pt>
                <c:pt idx="34">
                  <c:v>378.90598374198413</c:v>
                </c:pt>
                <c:pt idx="35">
                  <c:v>401.89789012750612</c:v>
                </c:pt>
                <c:pt idx="36">
                  <c:v>424.86134930854922</c:v>
                </c:pt>
                <c:pt idx="37">
                  <c:v>447.79811379425104</c:v>
                </c:pt>
                <c:pt idx="38">
                  <c:v>470.70974204187979</c:v>
                </c:pt>
                <c:pt idx="39">
                  <c:v>493.59762853502951</c:v>
                </c:pt>
                <c:pt idx="40">
                  <c:v>516.46302799338218</c:v>
                </c:pt>
                <c:pt idx="41">
                  <c:v>418.2165291938561</c:v>
                </c:pt>
                <c:pt idx="42">
                  <c:v>437.54828976872614</c:v>
                </c:pt>
                <c:pt idx="43">
                  <c:v>456.861733643165</c:v>
                </c:pt>
                <c:pt idx="44">
                  <c:v>476.15774362420217</c:v>
                </c:pt>
                <c:pt idx="45">
                  <c:v>495.43712517547209</c:v>
                </c:pt>
                <c:pt idx="46">
                  <c:v>514.70061600079339</c:v>
                </c:pt>
                <c:pt idx="47">
                  <c:v>533.94889411884367</c:v>
                </c:pt>
                <c:pt idx="48">
                  <c:v>553.18258471339152</c:v>
                </c:pt>
                <c:pt idx="49">
                  <c:v>463.11224032527815</c:v>
                </c:pt>
                <c:pt idx="50">
                  <c:v>479.39323749473118</c:v>
                </c:pt>
                <c:pt idx="51">
                  <c:v>495.66248402521632</c:v>
                </c:pt>
                <c:pt idx="52">
                  <c:v>511.92041974873126</c:v>
                </c:pt>
                <c:pt idx="53">
                  <c:v>528.16745429499917</c:v>
                </c:pt>
                <c:pt idx="54">
                  <c:v>544.40397004980832</c:v>
                </c:pt>
                <c:pt idx="55">
                  <c:v>560.63032474220711</c:v>
                </c:pt>
                <c:pt idx="56">
                  <c:v>576.84685371672356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1.9190286454111984</c:v>
                </c:pt>
                <c:pt idx="2">
                  <c:v>2.3745849545443303</c:v>
                </c:pt>
                <c:pt idx="3">
                  <c:v>2.9387074600120022</c:v>
                </c:pt>
                <c:pt idx="4">
                  <c:v>3.6373642606677699</c:v>
                </c:pt>
                <c:pt idx="5">
                  <c:v>4.5027561310621662</c:v>
                </c:pt>
                <c:pt idx="6">
                  <c:v>5.574817211181835</c:v>
                </c:pt>
                <c:pt idx="7">
                  <c:v>6.9030780910250833</c:v>
                </c:pt>
                <c:pt idx="8">
                  <c:v>8.5489790389656317</c:v>
                </c:pt>
                <c:pt idx="9">
                  <c:v>10.588742422282403</c:v>
                </c:pt>
                <c:pt idx="10">
                  <c:v>13.116939849228773</c:v>
                </c:pt>
                <c:pt idx="11">
                  <c:v>16.25092248765457</c:v>
                </c:pt>
                <c:pt idx="12">
                  <c:v>20.136323957001007</c:v>
                </c:pt>
                <c:pt idx="13">
                  <c:v>24.953896103882347</c:v>
                </c:pt>
                <c:pt idx="14">
                  <c:v>30.928001289691398</c:v>
                </c:pt>
                <c:pt idx="15">
                  <c:v>38.337163569730286</c:v>
                </c:pt>
                <c:pt idx="16">
                  <c:v>47.527179095652748</c:v>
                </c:pt>
                <c:pt idx="17">
                  <c:v>58.927407916558735</c:v>
                </c:pt>
                <c:pt idx="18">
                  <c:v>73.071020926366415</c:v>
                </c:pt>
                <c:pt idx="19">
                  <c:v>90.620164272100169</c:v>
                </c:pt>
                <c:pt idx="20">
                  <c:v>112.39723814407783</c:v>
                </c:pt>
                <c:pt idx="21">
                  <c:v>139.42377877384845</c:v>
                </c:pt>
                <c:pt idx="22">
                  <c:v>172.96879568586891</c:v>
                </c:pt>
                <c:pt idx="23">
                  <c:v>120.81303317390598</c:v>
                </c:pt>
                <c:pt idx="24">
                  <c:v>137.39493932050493</c:v>
                </c:pt>
                <c:pt idx="25">
                  <c:v>153.92869031169104</c:v>
                </c:pt>
                <c:pt idx="26">
                  <c:v>170.42019182322252</c:v>
                </c:pt>
                <c:pt idx="27">
                  <c:v>186.87411051319771</c:v>
                </c:pt>
                <c:pt idx="28">
                  <c:v>158.76051045534192</c:v>
                </c:pt>
                <c:pt idx="29">
                  <c:v>175.5989651399882</c:v>
                </c:pt>
                <c:pt idx="30">
                  <c:v>192.39950652778302</c:v>
                </c:pt>
                <c:pt idx="31">
                  <c:v>209.16591246594407</c:v>
                </c:pt>
                <c:pt idx="32">
                  <c:v>225.9013049533346</c:v>
                </c:pt>
                <c:pt idx="33">
                  <c:v>242.60830522574886</c:v>
                </c:pt>
                <c:pt idx="34">
                  <c:v>203.58097513234921</c:v>
                </c:pt>
                <c:pt idx="35">
                  <c:v>220.02792533739478</c:v>
                </c:pt>
                <c:pt idx="36">
                  <c:v>236.44664824285425</c:v>
                </c:pt>
                <c:pt idx="37">
                  <c:v>252.83938002506238</c:v>
                </c:pt>
                <c:pt idx="38">
                  <c:v>269.20804306495108</c:v>
                </c:pt>
                <c:pt idx="39">
                  <c:v>285.55430679301213</c:v>
                </c:pt>
                <c:pt idx="40">
                  <c:v>301.87963385560869</c:v>
                </c:pt>
                <c:pt idx="41">
                  <c:v>318.1853157623936</c:v>
                </c:pt>
                <c:pt idx="42">
                  <c:v>258.41598707691702</c:v>
                </c:pt>
                <c:pt idx="43">
                  <c:v>273.64897538716622</c:v>
                </c:pt>
                <c:pt idx="44">
                  <c:v>288.86291050147327</c:v>
                </c:pt>
                <c:pt idx="45">
                  <c:v>304.05893725476164</c:v>
                </c:pt>
                <c:pt idx="46">
                  <c:v>319.23807668594327</c:v>
                </c:pt>
                <c:pt idx="47">
                  <c:v>334.40124479846673</c:v>
                </c:pt>
                <c:pt idx="48">
                  <c:v>349.54926773846654</c:v>
                </c:pt>
                <c:pt idx="49">
                  <c:v>364.68289420332832</c:v>
                </c:pt>
                <c:pt idx="50">
                  <c:v>379.80280568231501</c:v>
                </c:pt>
                <c:pt idx="51">
                  <c:v>322.84049713909758</c:v>
                </c:pt>
                <c:pt idx="52">
                  <c:v>336.46900937495138</c:v>
                </c:pt>
                <c:pt idx="53">
                  <c:v>350.08536931249296</c:v>
                </c:pt>
                <c:pt idx="54">
                  <c:v>363.69011622386893</c:v>
                </c:pt>
                <c:pt idx="55">
                  <c:v>377.28374573904148</c:v>
                </c:pt>
                <c:pt idx="56">
                  <c:v>390.86671485599658</c:v>
                </c:pt>
                <c:pt idx="57">
                  <c:v>404.43944621805167</c:v>
                </c:pt>
                <c:pt idx="58">
                  <c:v>418.00233178696976</c:v>
                </c:pt>
                <c:pt idx="59">
                  <c:v>431.55573601445491</c:v>
                </c:pt>
                <c:pt idx="60">
                  <c:v>445.09999859445628</c:v>
                </c:pt>
                <c:pt idx="61">
                  <c:v>387.7771166912168</c:v>
                </c:pt>
                <c:pt idx="62">
                  <c:v>399.46857545562966</c:v>
                </c:pt>
                <c:pt idx="63">
                  <c:v>411.15262832791541</c:v>
                </c:pt>
                <c:pt idx="64">
                  <c:v>422.82951545951158</c:v>
                </c:pt>
                <c:pt idx="65">
                  <c:v>434.49946265388786</c:v>
                </c:pt>
                <c:pt idx="66">
                  <c:v>446.16268259430194</c:v>
                </c:pt>
                <c:pt idx="67">
                  <c:v>457.81937593647899</c:v>
                </c:pt>
                <c:pt idx="68">
                  <c:v>469.46973228420592</c:v>
                </c:pt>
                <c:pt idx="69">
                  <c:v>481.11393106303944</c:v>
                </c:pt>
                <c:pt idx="70">
                  <c:v>492.75214230502996</c:v>
                </c:pt>
                <c:pt idx="71">
                  <c:v>435.52165252219328</c:v>
                </c:pt>
                <c:pt idx="72">
                  <c:v>445.12148726182323</c:v>
                </c:pt>
                <c:pt idx="73">
                  <c:v>454.71688880152823</c:v>
                </c:pt>
                <c:pt idx="74">
                  <c:v>464.30796390580741</c:v>
                </c:pt>
                <c:pt idx="75">
                  <c:v>473.89481456743061</c:v>
                </c:pt>
                <c:pt idx="76">
                  <c:v>483.47753831500194</c:v>
                </c:pt>
                <c:pt idx="77">
                  <c:v>493.05622849486417</c:v>
                </c:pt>
                <c:pt idx="78">
                  <c:v>502.630974529958</c:v>
                </c:pt>
                <c:pt idx="79">
                  <c:v>512.20186215792671</c:v>
                </c:pt>
                <c:pt idx="80">
                  <c:v>521.7689736504982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defaultColWidth="11.42578125" defaultRowHeight="14.45"/>
  <cols>
    <col min="1" max="1" width="6.7109375" customWidth="1"/>
    <col min="2" max="13" width="15.85546875" customWidth="1"/>
  </cols>
  <sheetData>
    <row r="12" spans="2:13" ht="15" customHeight="1">
      <c r="B12" s="263" t="s">
        <v>0</v>
      </c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2:13" ht="15" customHeight="1"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</row>
    <row r="14" spans="2:13" ht="15" customHeight="1">
      <c r="B14" s="263"/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</row>
    <row r="15" spans="2:13" ht="18.75" customHeight="1"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</row>
    <row r="16" spans="2:13" ht="18.75" customHeight="1"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</row>
    <row r="18" spans="2:13" ht="12" customHeight="1">
      <c r="B18" s="263" t="s">
        <v>1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</row>
    <row r="19" spans="2:13" ht="12" customHeight="1"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</row>
    <row r="20" spans="2:13" ht="12" customHeight="1"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</row>
    <row r="21" spans="2:13" ht="12" customHeight="1"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</row>
    <row r="22" spans="2:13" ht="12" customHeight="1"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</row>
    <row r="23" spans="2:13" ht="12" customHeight="1"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</row>
    <row r="24" spans="2:13" ht="12" customHeight="1"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</row>
    <row r="25" spans="2:13" ht="12" customHeight="1"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</row>
    <row r="26" spans="2:13" ht="12" customHeight="1"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</row>
    <row r="27" spans="2:13" ht="12" customHeight="1"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2:13" ht="12" customHeight="1"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</row>
    <row r="29" spans="2:13" ht="12" customHeight="1"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</row>
    <row r="30" spans="2:13" ht="12" customHeight="1"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</row>
    <row r="31" spans="2:13" ht="12" customHeight="1"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" zoomScale="80" zoomScaleNormal="80" workbookViewId="0">
      <selection activeCell="E11" sqref="E11"/>
    </sheetView>
  </sheetViews>
  <sheetFormatPr defaultColWidth="11.42578125" defaultRowHeight="14.4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>
      <c r="A1" s="4"/>
      <c r="B1" s="4"/>
      <c r="C1" s="264" t="s">
        <v>2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5" thickBot="1">
      <c r="A3" s="4"/>
      <c r="B3" s="269" t="s">
        <v>4</v>
      </c>
      <c r="C3" s="270"/>
      <c r="D3" s="270"/>
      <c r="E3" s="270"/>
      <c r="F3" s="271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">
      <c r="A5" s="274" t="s">
        <v>7</v>
      </c>
      <c r="B5" s="274"/>
      <c r="C5" s="24">
        <v>5.04</v>
      </c>
      <c r="D5" s="275" t="s">
        <v>8</v>
      </c>
      <c r="E5" s="276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">
      <c r="A7" s="273" t="s">
        <v>9</v>
      </c>
      <c r="B7" s="273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15</v>
      </c>
      <c r="B9" s="31" t="s">
        <v>16</v>
      </c>
      <c r="C9" s="32">
        <v>0.65</v>
      </c>
      <c r="D9" s="33">
        <f t="shared" ref="D9:D18" si="0">C9*$C$5</f>
        <v>3.2760000000000002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18</v>
      </c>
      <c r="B10" s="31" t="s">
        <v>19</v>
      </c>
      <c r="C10" s="32">
        <v>0.35</v>
      </c>
      <c r="D10" s="33">
        <f t="shared" si="0"/>
        <v>1.7639999999999998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28</v>
      </c>
      <c r="C19" s="37">
        <f>SUM(C9:C18)</f>
        <v>1</v>
      </c>
      <c r="D19" s="38">
        <f>SUM(D9:D18)</f>
        <v>5.04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72" t="s">
        <v>29</v>
      </c>
      <c r="B22" s="272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35</v>
      </c>
      <c r="B26" s="42" t="s">
        <v>36</v>
      </c>
      <c r="C26" s="43">
        <v>0.15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73" t="s">
        <v>41</v>
      </c>
      <c r="B30" s="273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15</v>
      </c>
      <c r="B32" s="47" t="str">
        <f>IF(B9="","",B9)</f>
        <v>Pin maritime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43</v>
      </c>
      <c r="C34" s="265" t="s">
        <v>44</v>
      </c>
      <c r="D34" s="265"/>
      <c r="E34" s="266" t="s">
        <v>45</v>
      </c>
      <c r="F34" s="267"/>
      <c r="G34" s="267"/>
      <c r="H34" s="268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257">
        <v>15</v>
      </c>
      <c r="B36" s="258">
        <v>141.17692310000001</v>
      </c>
      <c r="C36" s="258">
        <v>1</v>
      </c>
      <c r="D36" s="258">
        <v>49.784615379999998</v>
      </c>
      <c r="E36" s="259">
        <v>0</v>
      </c>
      <c r="F36" s="259">
        <v>0.56000000000000005</v>
      </c>
      <c r="G36" s="259">
        <v>0.44</v>
      </c>
      <c r="H36" s="259">
        <v>0</v>
      </c>
      <c r="I36" s="49">
        <f>IFERROR(B36/A36,"")</f>
        <v>9.4117948733333332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257">
        <v>20</v>
      </c>
      <c r="B37" s="258">
        <v>183.70769229999999</v>
      </c>
      <c r="C37" s="258">
        <v>2</v>
      </c>
      <c r="D37" s="258">
        <v>48.723076919999997</v>
      </c>
      <c r="E37" s="259">
        <v>0</v>
      </c>
      <c r="F37" s="259">
        <v>0.56000000000000005</v>
      </c>
      <c r="G37" s="259">
        <v>0.44</v>
      </c>
      <c r="H37" s="259">
        <v>0</v>
      </c>
      <c r="I37" s="53">
        <f>IF(A37&lt;&gt;0,(B37-(B36-D36))/(A37-A36),"")</f>
        <v>18.463076915999995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257">
        <v>26</v>
      </c>
      <c r="B38" s="258">
        <v>249.41538460000001</v>
      </c>
      <c r="C38" s="258">
        <v>3</v>
      </c>
      <c r="D38" s="258">
        <v>46.984615380000001</v>
      </c>
      <c r="E38" s="259">
        <v>0.7</v>
      </c>
      <c r="F38" s="259">
        <v>0.17</v>
      </c>
      <c r="G38" s="259">
        <v>0.13</v>
      </c>
      <c r="H38" s="259">
        <v>0</v>
      </c>
      <c r="I38" s="53">
        <f>IF(A38&lt;&gt;0,(B38-(B37-D37))/(A38-A37),"")</f>
        <v>19.071794870000005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257">
        <v>32</v>
      </c>
      <c r="B39" s="258">
        <v>318.79230769999998</v>
      </c>
      <c r="C39" s="258">
        <v>4</v>
      </c>
      <c r="D39" s="258">
        <v>64.523076919999994</v>
      </c>
      <c r="E39" s="259">
        <v>0.7</v>
      </c>
      <c r="F39" s="259">
        <v>0.17</v>
      </c>
      <c r="G39" s="259">
        <v>0.13</v>
      </c>
      <c r="H39" s="259">
        <v>0</v>
      </c>
      <c r="I39" s="49">
        <f t="shared" ref="I39:I55" si="1">IF(A39&lt;&gt;0,(B39-(B38-D38))/(A39-A38),"")</f>
        <v>19.393589746666663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257">
        <v>40</v>
      </c>
      <c r="B40" s="258">
        <v>398.71538459999999</v>
      </c>
      <c r="C40" s="258">
        <v>5</v>
      </c>
      <c r="D40" s="258">
        <v>92.661538460000003</v>
      </c>
      <c r="E40" s="259">
        <v>0.7</v>
      </c>
      <c r="F40" s="259">
        <v>0.17</v>
      </c>
      <c r="G40" s="259">
        <v>0.13</v>
      </c>
      <c r="H40" s="259">
        <v>0</v>
      </c>
      <c r="I40" s="49">
        <f t="shared" si="1"/>
        <v>18.055769227500001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257">
        <v>48</v>
      </c>
      <c r="B41" s="258">
        <v>427.7461538</v>
      </c>
      <c r="C41" s="258">
        <v>6</v>
      </c>
      <c r="D41" s="258">
        <v>83.969230769999996</v>
      </c>
      <c r="E41" s="260">
        <v>0.7</v>
      </c>
      <c r="F41" s="260">
        <v>0.17</v>
      </c>
      <c r="G41" s="260">
        <v>0.13</v>
      </c>
      <c r="H41" s="260">
        <v>0</v>
      </c>
      <c r="I41" s="53">
        <f t="shared" si="1"/>
        <v>15.211538457499998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257">
        <v>56</v>
      </c>
      <c r="B42" s="258">
        <v>446.47692310000002</v>
      </c>
      <c r="C42" s="258">
        <v>7</v>
      </c>
      <c r="D42" s="258">
        <v>446.47692310000002</v>
      </c>
      <c r="E42" s="260">
        <v>0.7</v>
      </c>
      <c r="F42" s="260">
        <v>0.17</v>
      </c>
      <c r="G42" s="260">
        <v>0.13</v>
      </c>
      <c r="H42" s="260">
        <v>0</v>
      </c>
      <c r="I42" s="53">
        <f t="shared" si="1"/>
        <v>12.837500008749998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261"/>
      <c r="B43" s="262"/>
      <c r="C43" s="262"/>
      <c r="D43" s="262"/>
      <c r="E43" s="260"/>
      <c r="F43" s="260"/>
      <c r="G43" s="260"/>
      <c r="H43" s="260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18</v>
      </c>
      <c r="B58" s="52" t="str">
        <f>IF(B10="","",B10)</f>
        <v>Pin laricio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43</v>
      </c>
      <c r="C60" s="265" t="s">
        <v>44</v>
      </c>
      <c r="D60" s="265"/>
      <c r="E60" s="266" t="s">
        <v>45</v>
      </c>
      <c r="F60" s="267"/>
      <c r="G60" s="267"/>
      <c r="H60" s="268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257">
        <v>22</v>
      </c>
      <c r="B62" s="258">
        <v>129.9846154</v>
      </c>
      <c r="C62" s="258">
        <v>1</v>
      </c>
      <c r="D62" s="258">
        <v>52.746153849999999</v>
      </c>
      <c r="E62" s="259">
        <v>0</v>
      </c>
      <c r="F62" s="259">
        <v>0.56000000000000005</v>
      </c>
      <c r="G62" s="259">
        <v>0.44</v>
      </c>
      <c r="H62" s="259">
        <v>0</v>
      </c>
      <c r="I62" s="53">
        <f>IFERROR(B62/A62,"")</f>
        <v>5.9083916090909092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257">
        <v>27</v>
      </c>
      <c r="B63" s="258">
        <v>140.71538459999999</v>
      </c>
      <c r="C63" s="258">
        <v>2</v>
      </c>
      <c r="D63" s="258">
        <v>34.646153849999997</v>
      </c>
      <c r="E63" s="259">
        <v>0.7</v>
      </c>
      <c r="F63" s="259">
        <v>0.17</v>
      </c>
      <c r="G63" s="259">
        <v>0.13</v>
      </c>
      <c r="H63" s="259">
        <v>0</v>
      </c>
      <c r="I63" s="49">
        <f>IF(A63&lt;&gt;0,(B63-(B62-D62))/(A63-A62),"")</f>
        <v>12.69538461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257">
        <v>33</v>
      </c>
      <c r="B64" s="258">
        <v>183.9</v>
      </c>
      <c r="C64" s="258">
        <v>3</v>
      </c>
      <c r="D64" s="258">
        <v>43.007692310000003</v>
      </c>
      <c r="E64" s="259">
        <v>0.7</v>
      </c>
      <c r="F64" s="259">
        <v>0.17</v>
      </c>
      <c r="G64" s="259">
        <v>0.13</v>
      </c>
      <c r="H64" s="259">
        <v>0</v>
      </c>
      <c r="I64" s="49">
        <f>IF(A64&lt;&gt;0,(B64-(B63-D63))/(A64-A63),"")</f>
        <v>12.971794875000001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257">
        <v>41</v>
      </c>
      <c r="B65" s="258">
        <v>242.81538459999999</v>
      </c>
      <c r="C65" s="258">
        <v>4</v>
      </c>
      <c r="D65" s="258">
        <v>58.484615380000001</v>
      </c>
      <c r="E65" s="259">
        <v>0.7</v>
      </c>
      <c r="F65" s="259">
        <v>0.17</v>
      </c>
      <c r="G65" s="259">
        <v>0.13</v>
      </c>
      <c r="H65" s="259">
        <v>0</v>
      </c>
      <c r="I65" s="49">
        <f>IF(A65&lt;&gt;0,(B65-(B64-D64))/(A65-A64),"")</f>
        <v>12.740384613749999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257">
        <v>50</v>
      </c>
      <c r="B66" s="258">
        <v>291.08461540000002</v>
      </c>
      <c r="C66" s="258">
        <v>5</v>
      </c>
      <c r="D66" s="258">
        <v>55.292307690000001</v>
      </c>
      <c r="E66" s="260">
        <v>0.7</v>
      </c>
      <c r="F66" s="260">
        <v>0.17</v>
      </c>
      <c r="G66" s="260">
        <v>0.13</v>
      </c>
      <c r="H66" s="260">
        <v>0</v>
      </c>
      <c r="I66" s="49">
        <f t="shared" ref="I66:I81" si="2">IF(A66&lt;&gt;0,(B66-(B65-D65))/(A66-A65),"")</f>
        <v>11.861538464444449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257">
        <v>60</v>
      </c>
      <c r="B67" s="258">
        <v>342.42307690000001</v>
      </c>
      <c r="C67" s="258">
        <v>6</v>
      </c>
      <c r="D67" s="258">
        <v>54.261538459999997</v>
      </c>
      <c r="E67" s="260">
        <v>0.7</v>
      </c>
      <c r="F67" s="260">
        <v>0.17</v>
      </c>
      <c r="G67" s="260">
        <v>0.13</v>
      </c>
      <c r="H67" s="260">
        <v>0</v>
      </c>
      <c r="I67" s="49">
        <f t="shared" si="2"/>
        <v>10.663076919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261">
        <v>70</v>
      </c>
      <c r="B68" s="262">
        <v>379.99230770000003</v>
      </c>
      <c r="C68" s="262">
        <v>7</v>
      </c>
      <c r="D68" s="262">
        <v>52.669230769999999</v>
      </c>
      <c r="E68" s="260">
        <v>0.7</v>
      </c>
      <c r="F68" s="260">
        <v>0.17</v>
      </c>
      <c r="G68" s="260">
        <v>0.13</v>
      </c>
      <c r="H68" s="260">
        <v>0</v>
      </c>
      <c r="I68" s="49">
        <f t="shared" si="2"/>
        <v>9.1830769260000018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261">
        <v>80</v>
      </c>
      <c r="B69" s="261">
        <v>402.90769230000001</v>
      </c>
      <c r="C69" s="261">
        <v>8</v>
      </c>
      <c r="D69" s="261">
        <v>402.90769230000001</v>
      </c>
      <c r="E69" s="260">
        <v>0.7</v>
      </c>
      <c r="F69" s="260">
        <v>0.17</v>
      </c>
      <c r="G69" s="260">
        <v>0.13</v>
      </c>
      <c r="H69" s="260">
        <v>0</v>
      </c>
      <c r="I69" s="49">
        <f t="shared" si="2"/>
        <v>7.5584615369999995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43</v>
      </c>
      <c r="C86" s="265" t="s">
        <v>44</v>
      </c>
      <c r="D86" s="265"/>
      <c r="E86" s="266" t="s">
        <v>45</v>
      </c>
      <c r="F86" s="267"/>
      <c r="G86" s="267"/>
      <c r="H86" s="268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43</v>
      </c>
      <c r="C112" s="265" t="s">
        <v>44</v>
      </c>
      <c r="D112" s="265"/>
      <c r="E112" s="266" t="s">
        <v>45</v>
      </c>
      <c r="F112" s="267"/>
      <c r="G112" s="267"/>
      <c r="H112" s="268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43</v>
      </c>
      <c r="C138" s="265" t="s">
        <v>44</v>
      </c>
      <c r="D138" s="265"/>
      <c r="E138" s="266" t="s">
        <v>45</v>
      </c>
      <c r="F138" s="267"/>
      <c r="G138" s="267"/>
      <c r="H138" s="268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43</v>
      </c>
      <c r="C164" s="265" t="s">
        <v>44</v>
      </c>
      <c r="D164" s="265"/>
      <c r="E164" s="266" t="s">
        <v>45</v>
      </c>
      <c r="F164" s="267"/>
      <c r="G164" s="267"/>
      <c r="H164" s="268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43</v>
      </c>
      <c r="C190" s="265" t="s">
        <v>44</v>
      </c>
      <c r="D190" s="265"/>
      <c r="E190" s="266" t="s">
        <v>45</v>
      </c>
      <c r="F190" s="267"/>
      <c r="G190" s="267"/>
      <c r="H190" s="268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43</v>
      </c>
      <c r="C216" s="265" t="s">
        <v>44</v>
      </c>
      <c r="D216" s="265"/>
      <c r="E216" s="266" t="s">
        <v>45</v>
      </c>
      <c r="F216" s="267"/>
      <c r="G216" s="267"/>
      <c r="H216" s="268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43</v>
      </c>
      <c r="C242" s="265" t="s">
        <v>44</v>
      </c>
      <c r="D242" s="265"/>
      <c r="E242" s="266" t="s">
        <v>45</v>
      </c>
      <c r="F242" s="267"/>
      <c r="G242" s="267"/>
      <c r="H242" s="268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43</v>
      </c>
      <c r="C268" s="265" t="s">
        <v>44</v>
      </c>
      <c r="D268" s="265"/>
      <c r="E268" s="266" t="s">
        <v>45</v>
      </c>
      <c r="F268" s="267"/>
      <c r="G268" s="267"/>
      <c r="H268" s="268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9" sqref="B9"/>
    </sheetView>
  </sheetViews>
  <sheetFormatPr defaultColWidth="11.42578125" defaultRowHeight="14.4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5" thickBot="1">
      <c r="A2" s="4"/>
      <c r="B2" s="278" t="s">
        <v>55</v>
      </c>
      <c r="C2" s="279"/>
      <c r="D2" s="279"/>
      <c r="E2" s="279"/>
      <c r="F2" s="279"/>
      <c r="G2" s="280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7"/>
      <c r="C4" s="277"/>
      <c r="D4" s="277"/>
      <c r="E4" s="277"/>
      <c r="F4" s="277"/>
      <c r="G4" s="277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1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1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defaultColWidth="11.42578125" defaultRowHeight="14.4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6.45" thickBot="1">
      <c r="B1" s="284" t="s">
        <v>73</v>
      </c>
      <c r="C1" s="285"/>
      <c r="D1" s="285"/>
      <c r="E1" s="285"/>
      <c r="F1" s="285"/>
      <c r="G1" s="285"/>
      <c r="H1" s="286"/>
      <c r="I1" s="281" t="str">
        <f>IF('Données projet'!$B$9="","",'Données projet'!$B$9)</f>
        <v>Pin maritime</v>
      </c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3"/>
      <c r="AD1" s="282" t="str">
        <f>IF('Données projet'!$B$10="","",'Données projet'!$B$10)</f>
        <v>Pin laricio</v>
      </c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3"/>
      <c r="AY1" s="281" t="str">
        <f>IF('Données projet'!$B$11="","",'Données projet'!$B$11)</f>
        <v/>
      </c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3"/>
      <c r="BT1" s="281" t="str">
        <f>IF('Données projet'!$B$12="","",'Données projet'!$B$12)</f>
        <v/>
      </c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3"/>
      <c r="CO1" s="281" t="str">
        <f>IF('Données projet'!$B$13="","",'Données projet'!$B$13)</f>
        <v/>
      </c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  <c r="DE1" s="282"/>
      <c r="DF1" s="282"/>
      <c r="DG1" s="282"/>
      <c r="DH1" s="282"/>
      <c r="DI1" s="283"/>
      <c r="DJ1" s="281" t="str">
        <f>IF('Données projet'!$B$14="","",'Données projet'!$B$14)</f>
        <v/>
      </c>
      <c r="DK1" s="282"/>
      <c r="DL1" s="282"/>
      <c r="DM1" s="282"/>
      <c r="DN1" s="282"/>
      <c r="DO1" s="282"/>
      <c r="DP1" s="282"/>
      <c r="DQ1" s="282"/>
      <c r="DR1" s="282"/>
      <c r="DS1" s="282"/>
      <c r="DT1" s="282"/>
      <c r="DU1" s="282"/>
      <c r="DV1" s="282"/>
      <c r="DW1" s="282"/>
      <c r="DX1" s="282"/>
      <c r="DY1" s="282"/>
      <c r="DZ1" s="282"/>
      <c r="EA1" s="282"/>
      <c r="EB1" s="282"/>
      <c r="EC1" s="282"/>
      <c r="ED1" s="283"/>
      <c r="EE1" s="281" t="str">
        <f>IF('Données projet'!$B$15="","",'Données projet'!$B$15)</f>
        <v/>
      </c>
      <c r="EF1" s="282"/>
      <c r="EG1" s="282"/>
      <c r="EH1" s="282"/>
      <c r="EI1" s="282"/>
      <c r="EJ1" s="282"/>
      <c r="EK1" s="282"/>
      <c r="EL1" s="282"/>
      <c r="EM1" s="282"/>
      <c r="EN1" s="282"/>
      <c r="EO1" s="282"/>
      <c r="EP1" s="282"/>
      <c r="EQ1" s="282"/>
      <c r="ER1" s="282"/>
      <c r="ES1" s="282"/>
      <c r="ET1" s="282"/>
      <c r="EU1" s="282"/>
      <c r="EV1" s="282"/>
      <c r="EW1" s="282"/>
      <c r="EX1" s="282"/>
      <c r="EY1" s="283"/>
      <c r="EZ1" s="281" t="str">
        <f>IF('Données projet'!$B$16="","",'Données projet'!$B$16)</f>
        <v/>
      </c>
      <c r="FA1" s="282"/>
      <c r="FB1" s="282"/>
      <c r="FC1" s="282"/>
      <c r="FD1" s="282"/>
      <c r="FE1" s="282"/>
      <c r="FF1" s="282"/>
      <c r="FG1" s="282"/>
      <c r="FH1" s="282"/>
      <c r="FI1" s="282"/>
      <c r="FJ1" s="282"/>
      <c r="FK1" s="282"/>
      <c r="FL1" s="282"/>
      <c r="FM1" s="282"/>
      <c r="FN1" s="282"/>
      <c r="FO1" s="282"/>
      <c r="FP1" s="282"/>
      <c r="FQ1" s="282"/>
      <c r="FR1" s="282"/>
      <c r="FS1" s="282"/>
      <c r="FT1" s="283"/>
      <c r="FU1" s="281" t="str">
        <f>IF('Données projet'!$B$17="","",'Données projet'!$B$17)</f>
        <v/>
      </c>
      <c r="FV1" s="282"/>
      <c r="FW1" s="282"/>
      <c r="FX1" s="282"/>
      <c r="FY1" s="282"/>
      <c r="FZ1" s="282"/>
      <c r="GA1" s="282"/>
      <c r="GB1" s="282"/>
      <c r="GC1" s="282"/>
      <c r="GD1" s="282"/>
      <c r="GE1" s="282"/>
      <c r="GF1" s="282"/>
      <c r="GG1" s="282"/>
      <c r="GH1" s="282"/>
      <c r="GI1" s="282"/>
      <c r="GJ1" s="282"/>
      <c r="GK1" s="282"/>
      <c r="GL1" s="282"/>
      <c r="GM1" s="282"/>
      <c r="GN1" s="282"/>
      <c r="GO1" s="283"/>
      <c r="GP1" s="281" t="str">
        <f>IF('Données projet'!$B$18="","",'Données projet'!$B$18)</f>
        <v/>
      </c>
      <c r="GQ1" s="282"/>
      <c r="GR1" s="282"/>
      <c r="GS1" s="282"/>
      <c r="GT1" s="282"/>
      <c r="GU1" s="282"/>
      <c r="GV1" s="282"/>
      <c r="GW1" s="282"/>
      <c r="GX1" s="282"/>
      <c r="GY1" s="282"/>
      <c r="GZ1" s="282"/>
      <c r="HA1" s="282"/>
      <c r="HB1" s="282"/>
      <c r="HC1" s="282"/>
      <c r="HD1" s="282"/>
      <c r="HE1" s="282"/>
      <c r="HF1" s="282"/>
      <c r="HG1" s="282"/>
      <c r="HH1" s="282"/>
      <c r="HI1" s="282"/>
      <c r="HJ1" s="283"/>
    </row>
    <row r="2" spans="1:218" ht="58.5" thickBot="1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50</v>
      </c>
      <c r="X2" s="7" t="s">
        <v>51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50</v>
      </c>
      <c r="AS2" s="7" t="s">
        <v>51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50</v>
      </c>
      <c r="BN2" s="7" t="s">
        <v>51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50</v>
      </c>
      <c r="CI2" s="7" t="s">
        <v>51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50</v>
      </c>
      <c r="DD2" s="7" t="s">
        <v>51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50</v>
      </c>
      <c r="DY2" s="7" t="s">
        <v>51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50</v>
      </c>
      <c r="ET2" s="7" t="s">
        <v>51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50</v>
      </c>
      <c r="FO2" s="7" t="s">
        <v>51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50</v>
      </c>
      <c r="GJ2" s="7" t="s">
        <v>51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50</v>
      </c>
      <c r="HE2" s="7" t="s">
        <v>51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337.99164391065369</v>
      </c>
      <c r="T3" s="59">
        <f>IF('Données projet'!E9&gt;30,$R$33-$H$33,LOOKUP('Données projet'!$E$9,$A$3:$A$203,R3:R203)-LOOKUP('Données projet'!$E$9,$A$3:$A$203,$H$3:$H$203))</f>
        <v>421.45428232119559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310.96303212465733</v>
      </c>
      <c r="AO3" s="59">
        <f>IF('Données projet'!E10&gt;30,$AM$33-$H$33,LOOKUP('Données projet'!$E$10,$A$3:$A$203,AM3:AM203)-LOOKUP('Données projet'!$E$10,$A$3:$A$203,$H$3:$H$203))</f>
        <v>248.17359812749166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9.4117948733333332</v>
      </c>
      <c r="N4" s="13">
        <f>IF('Données projet'!$A$36&gt;35,N3+M4-V3,IF(A4&lt;'Données projet'!$A$36,$K$205^A4,IF(A4='Données projet'!$A$36,'Données projet'!$B$36,N3+M4-V3)))</f>
        <v>1.3909694153478751</v>
      </c>
      <c r="O4" s="13">
        <f>N4*VLOOKUP('Données projet'!$B$9,Paramètres!$A$1:$I$89,3,0)*VLOOKUP('Données projet'!$B$9,Paramètres!$A$1:$I$89,5,0)</f>
        <v>0.83179971037802936</v>
      </c>
      <c r="P4" s="13">
        <f>EXP(-1.0587+0.8836*LN(O4)+0.284)</f>
        <v>0.39163423183524498</v>
      </c>
      <c r="Q4" s="20">
        <f t="shared" ref="Q4:Q34" si="2">(O4+P4)*0.475*44/12</f>
        <v>2.1308141160214524</v>
      </c>
      <c r="R4" s="59">
        <f t="shared" si="0"/>
        <v>169.94324806894528</v>
      </c>
      <c r="S4" s="59">
        <f ca="1">AVERAGE(OFFSET($R$3,0,0,'Données projet'!$E$9+1,1))-AVERAGE(OFFSET($H$3,0,0,'Données projet'!$E$9+1,1))</f>
        <v>337.99164391065369</v>
      </c>
      <c r="T4" s="59">
        <f>$T$3</f>
        <v>421.45428232119559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5.9083916090909092</v>
      </c>
      <c r="AI4" s="13">
        <f>IF('Données projet'!$A$62&gt;35,AI3+AH4-AQ3,IF(A4&lt;'Données projet'!$A$62,$AF$205^A4,IF(A4='Données projet'!$A$62,'Données projet'!$B$62,AI3+AH4-AQ3)))</f>
        <v>1.2476305424068326</v>
      </c>
      <c r="AJ4" s="13">
        <f>AI4*VLOOKUP('Données projet'!$B$10,Paramètres!$A$1:$I$89,3,0)*VLOOKUP('Données projet'!$B$10,Paramètres!$A$1:$I$89,5,0)</f>
        <v>0.74608306435928584</v>
      </c>
      <c r="AK4" s="13">
        <f>EXP(-1.0587+0.8836*LN(AJ4)+0.284)</f>
        <v>0.355751564584943</v>
      </c>
      <c r="AL4" s="20">
        <f t="shared" ref="AL4:AL67" si="4">(AJ4+AK4)*0.475*44/12</f>
        <v>1.9190286454111984</v>
      </c>
      <c r="AM4" s="59">
        <f t="shared" ref="AM4:AM67" si="5">AL4+(AD4+AE4)*44/12</f>
        <v>169.73146259833504</v>
      </c>
      <c r="AN4" s="59">
        <f ca="1">AVERAGE(OFFSET($AM$3,0,0,'Données projet'!$E$10+1,1))-AVERAGE(OFFSET($H$3,0,0,'Données projet'!$E$10+1,1))</f>
        <v>310.96303212465733</v>
      </c>
      <c r="AO4" s="59">
        <f>$AO$3</f>
        <v>248.17359812749166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9.4117948733333332</v>
      </c>
      <c r="N5" s="13">
        <f>IF('Données projet'!$A$36&gt;35,N4+M5-V4,IF(A5&lt;'Données projet'!$A$36,$K$205^A5,IF(A5='Données projet'!$A$36,'Données projet'!$B$36,N4+M5-V4)))</f>
        <v>1.9347959144332094</v>
      </c>
      <c r="O5" s="13">
        <f>N5*VLOOKUP('Données projet'!$B$9,Paramètres!$A$1:$I$89,3,0)*VLOOKUP('Données projet'!$B$9,Paramètres!$A$1:$I$89,5,0)</f>
        <v>1.1570079568310594</v>
      </c>
      <c r="P5" s="13">
        <f t="shared" ref="P5:P68" si="33">EXP(-1.0587+0.8836*LN(O5)+0.284)</f>
        <v>0.52422298601206552</v>
      </c>
      <c r="Q5" s="20">
        <f t="shared" si="2"/>
        <v>2.9281438921184422</v>
      </c>
      <c r="R5" s="59">
        <f t="shared" si="0"/>
        <v>173.52542517961928</v>
      </c>
      <c r="S5" s="59">
        <f ca="1">AVERAGE(OFFSET($R$3,0,0,'Données projet'!$E$9+1,1))-AVERAGE(OFFSET($H$3,0,0,'Données projet'!$E$9+1,1))</f>
        <v>337.99164391065369</v>
      </c>
      <c r="T5" s="59">
        <f t="shared" ref="T5:T68" si="34">$T$3</f>
        <v>421.45428232119559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5.9083916090909092</v>
      </c>
      <c r="AI5" s="13">
        <f>IF('Données projet'!$A$62&gt;35,AI4+AH5-AQ4,IF(A5&lt;'Données projet'!$A$62,$AF$205^A5,IF(A5='Données projet'!$A$62,'Données projet'!$B$62,AI4+AH5-AQ4)))</f>
        <v>1.5565819703463672</v>
      </c>
      <c r="AJ5" s="13">
        <f>AI5*VLOOKUP('Données projet'!$B$10,Paramètres!$A$1:$I$89,3,0)*VLOOKUP('Données projet'!$B$10,Paramètres!$A$1:$I$89,5,0)</f>
        <v>0.9308360182671277</v>
      </c>
      <c r="AK5" s="13">
        <f t="shared" ref="AK5:AK68" si="35">EXP(-1.0587+0.8836*LN(AJ5)+0.284)</f>
        <v>0.4325620417583253</v>
      </c>
      <c r="AL5" s="20">
        <f t="shared" si="4"/>
        <v>2.3745849545443303</v>
      </c>
      <c r="AM5" s="59">
        <f t="shared" si="5"/>
        <v>172.97186624204517</v>
      </c>
      <c r="AN5" s="59">
        <f ca="1">AVERAGE(OFFSET($AM$3,0,0,'Données projet'!$E$10+1,1))-AVERAGE(OFFSET($H$3,0,0,'Données projet'!$E$10+1,1))</f>
        <v>310.96303212465733</v>
      </c>
      <c r="AO5" s="59">
        <f t="shared" ref="AO5:AO68" si="36">$AO$3</f>
        <v>248.17359812749166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9.4117948733333332</v>
      </c>
      <c r="N6" s="13">
        <f>IF('Données projet'!$A$36&gt;35,N5+M6-V5,IF(A6&lt;'Données projet'!$A$36,$K$205^A6,IF(A6='Données projet'!$A$36,'Données projet'!$B$36,N5+M6-V5)))</f>
        <v>2.6912419419166187</v>
      </c>
      <c r="O6" s="13">
        <f>N6*VLOOKUP('Données projet'!$B$9,Paramètres!$A$1:$I$89,3,0)*VLOOKUP('Données projet'!$B$9,Paramètres!$A$1:$I$89,5,0)</f>
        <v>1.6093626812661381</v>
      </c>
      <c r="P6" s="13">
        <f t="shared" si="33"/>
        <v>0.70169999638595126</v>
      </c>
      <c r="Q6" s="20">
        <f t="shared" si="2"/>
        <v>4.0251008302440558</v>
      </c>
      <c r="R6" s="59">
        <f t="shared" si="0"/>
        <v>177.38012140012893</v>
      </c>
      <c r="S6" s="59">
        <f ca="1">AVERAGE(OFFSET($R$3,0,0,'Données projet'!$E$9+1,1))-AVERAGE(OFFSET($H$3,0,0,'Données projet'!$E$9+1,1))</f>
        <v>337.99164391065369</v>
      </c>
      <c r="T6" s="59">
        <f t="shared" si="34"/>
        <v>421.45428232119559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5.9083916090909092</v>
      </c>
      <c r="AI6" s="13">
        <f>IF('Données projet'!$A$62&gt;35,AI5+AH6-AQ5,IF(A6&lt;'Données projet'!$A$62,$AF$205^A6,IF(A6='Données projet'!$A$62,'Données projet'!$B$62,AI5+AH6-AQ5)))</f>
        <v>1.9420392079639344</v>
      </c>
      <c r="AJ6" s="13">
        <f>AI6*VLOOKUP('Données projet'!$B$10,Paramètres!$A$1:$I$89,3,0)*VLOOKUP('Données projet'!$B$10,Paramètres!$A$1:$I$89,5,0)</f>
        <v>1.1613394463624329</v>
      </c>
      <c r="AK6" s="13">
        <f t="shared" si="35"/>
        <v>0.52595670292675489</v>
      </c>
      <c r="AL6" s="20">
        <f t="shared" si="4"/>
        <v>2.9387074600120022</v>
      </c>
      <c r="AM6" s="59">
        <f t="shared" si="5"/>
        <v>176.2937280298969</v>
      </c>
      <c r="AN6" s="59">
        <f ca="1">AVERAGE(OFFSET($AM$3,0,0,'Données projet'!$E$10+1,1))-AVERAGE(OFFSET($H$3,0,0,'Données projet'!$E$10+1,1))</f>
        <v>310.96303212465733</v>
      </c>
      <c r="AO6" s="59">
        <f t="shared" si="36"/>
        <v>248.17359812749166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9.4117948733333332</v>
      </c>
      <c r="N7" s="13">
        <f>IF('Données projet'!$A$36&gt;35,N6+M7-V6,IF(A7&lt;'Données projet'!$A$36,$K$205^A7,IF(A7='Données projet'!$A$36,'Données projet'!$B$36,N6+M7-V6)))</f>
        <v>3.7434352305074392</v>
      </c>
      <c r="O7" s="13">
        <f>N7*VLOOKUP('Données projet'!$B$9,Paramètres!$A$1:$I$89,3,0)*VLOOKUP('Données projet'!$B$9,Paramètres!$A$1:$I$89,5,0)</f>
        <v>2.238574267843449</v>
      </c>
      <c r="P7" s="13">
        <f t="shared" si="33"/>
        <v>0.93926229498969616</v>
      </c>
      <c r="Q7" s="20">
        <f t="shared" si="2"/>
        <v>5.5347320136010607</v>
      </c>
      <c r="R7" s="59">
        <f t="shared" si="0"/>
        <v>181.62085407777801</v>
      </c>
      <c r="S7" s="59">
        <f ca="1">AVERAGE(OFFSET($R$3,0,0,'Données projet'!$E$9+1,1))-AVERAGE(OFFSET($H$3,0,0,'Données projet'!$E$9+1,1))</f>
        <v>337.99164391065369</v>
      </c>
      <c r="T7" s="59">
        <f t="shared" si="34"/>
        <v>421.45428232119559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5.9083916090909092</v>
      </c>
      <c r="AI7" s="13">
        <f>IF('Données projet'!$A$62&gt;35,AI6+AH7-AQ6,IF(A7&lt;'Données projet'!$A$62,$AF$205^A7,IF(A7='Données projet'!$A$62,'Données projet'!$B$62,AI6+AH7-AQ6)))</f>
        <v>2.4229474304073788</v>
      </c>
      <c r="AJ7" s="13">
        <f>AI7*VLOOKUP('Données projet'!$B$10,Paramètres!$A$1:$I$89,3,0)*VLOOKUP('Données projet'!$B$10,Paramètres!$A$1:$I$89,5,0)</f>
        <v>1.4489225633836125</v>
      </c>
      <c r="AK7" s="13">
        <f t="shared" si="35"/>
        <v>0.63951624656917438</v>
      </c>
      <c r="AL7" s="20">
        <f t="shared" si="4"/>
        <v>3.6373642606677699</v>
      </c>
      <c r="AM7" s="59">
        <f t="shared" si="5"/>
        <v>179.72348632484471</v>
      </c>
      <c r="AN7" s="59">
        <f ca="1">AVERAGE(OFFSET($AM$3,0,0,'Données projet'!$E$10+1,1))-AVERAGE(OFFSET($H$3,0,0,'Données projet'!$E$10+1,1))</f>
        <v>310.96303212465733</v>
      </c>
      <c r="AO7" s="59">
        <f t="shared" si="36"/>
        <v>248.17359812749166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9.4117948733333332</v>
      </c>
      <c r="N8" s="13">
        <f>IF('Données projet'!$A$36&gt;35,N7+M8-V7,IF(A8&lt;'Données projet'!$A$36,$K$205^A8,IF(A8='Données projet'!$A$36,'Données projet'!$B$36,N7+M8-V7)))</f>
        <v>5.2070039139715707</v>
      </c>
      <c r="O8" s="13">
        <f>N8*VLOOKUP('Données projet'!$B$9,Paramètres!$A$1:$I$89,3,0)*VLOOKUP('Données projet'!$B$9,Paramètres!$A$1:$I$89,5,0)</f>
        <v>3.1137883405549998</v>
      </c>
      <c r="P8" s="13">
        <f t="shared" si="33"/>
        <v>1.2572519072724537</v>
      </c>
      <c r="Q8" s="20">
        <f t="shared" si="2"/>
        <v>7.6128950982994814</v>
      </c>
      <c r="R8" s="59">
        <f t="shared" si="0"/>
        <v>186.40394297474683</v>
      </c>
      <c r="S8" s="59">
        <f ca="1">AVERAGE(OFFSET($R$3,0,0,'Données projet'!$E$9+1,1))-AVERAGE(OFFSET($H$3,0,0,'Données projet'!$E$9+1,1))</f>
        <v>337.99164391065369</v>
      </c>
      <c r="T8" s="59">
        <f t="shared" si="34"/>
        <v>421.45428232119559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5.9083916090909092</v>
      </c>
      <c r="AI8" s="13">
        <f>IF('Données projet'!$A$62&gt;35,AI7+AH8-AQ7,IF(A8&lt;'Données projet'!$A$62,$AF$205^A8,IF(A8='Données projet'!$A$62,'Données projet'!$B$62,AI7+AH8-AQ7)))</f>
        <v>3.0229432168223993</v>
      </c>
      <c r="AJ8" s="13">
        <f>AI8*VLOOKUP('Données projet'!$B$10,Paramètres!$A$1:$I$89,3,0)*VLOOKUP('Données projet'!$B$10,Paramètres!$A$1:$I$89,5,0)</f>
        <v>1.8077200436597949</v>
      </c>
      <c r="AK8" s="13">
        <f t="shared" si="35"/>
        <v>0.77759448135197551</v>
      </c>
      <c r="AL8" s="20">
        <f t="shared" si="4"/>
        <v>4.5027561310621662</v>
      </c>
      <c r="AM8" s="59">
        <f t="shared" si="5"/>
        <v>183.29380400750952</v>
      </c>
      <c r="AN8" s="59">
        <f ca="1">AVERAGE(OFFSET($AM$3,0,0,'Données projet'!$E$10+1,1))-AVERAGE(OFFSET($H$3,0,0,'Données projet'!$E$10+1,1))</f>
        <v>310.96303212465733</v>
      </c>
      <c r="AO8" s="59">
        <f t="shared" si="36"/>
        <v>248.17359812749166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9.4117948733333332</v>
      </c>
      <c r="N9" s="13">
        <f>IF('Données projet'!$A$36&gt;35,N8+M9-V8,IF(A9&lt;'Données projet'!$A$36,$K$205^A9,IF(A9='Données projet'!$A$36,'Données projet'!$B$36,N8+M9-V8)))</f>
        <v>7.2427831899311332</v>
      </c>
      <c r="O9" s="13">
        <f>N9*VLOOKUP('Données projet'!$B$9,Paramètres!$A$1:$I$89,3,0)*VLOOKUP('Données projet'!$B$9,Paramètres!$A$1:$I$89,5,0)</f>
        <v>4.3311843475788177</v>
      </c>
      <c r="P9" s="13">
        <f t="shared" si="33"/>
        <v>1.6828977025608831</v>
      </c>
      <c r="Q9" s="20">
        <f t="shared" si="2"/>
        <v>10.474526237326645</v>
      </c>
      <c r="R9" s="59">
        <f t="shared" si="0"/>
        <v>191.94477833358562</v>
      </c>
      <c r="S9" s="59">
        <f ca="1">AVERAGE(OFFSET($R$3,0,0,'Données projet'!$E$9+1,1))-AVERAGE(OFFSET($H$3,0,0,'Données projet'!$E$9+1,1))</f>
        <v>337.99164391065369</v>
      </c>
      <c r="T9" s="59">
        <f t="shared" si="34"/>
        <v>421.45428232119559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5.9083916090909092</v>
      </c>
      <c r="AI9" s="13">
        <f>IF('Données projet'!$A$62&gt;35,AI8+AH9-AQ8,IF(A9&lt;'Données projet'!$A$62,$AF$205^A9,IF(A9='Données projet'!$A$62,'Données projet'!$B$62,AI8+AH9-AQ8)))</f>
        <v>3.7715162852691853</v>
      </c>
      <c r="AJ9" s="13">
        <f>AI9*VLOOKUP('Données projet'!$B$10,Paramètres!$A$1:$I$89,3,0)*VLOOKUP('Données projet'!$B$10,Paramètres!$A$1:$I$89,5,0)</f>
        <v>2.2553667385909728</v>
      </c>
      <c r="AK9" s="13">
        <f t="shared" si="35"/>
        <v>0.9454852486904638</v>
      </c>
      <c r="AL9" s="20">
        <f t="shared" si="4"/>
        <v>5.574817211181835</v>
      </c>
      <c r="AM9" s="59">
        <f t="shared" si="5"/>
        <v>187.0450693074408</v>
      </c>
      <c r="AN9" s="59">
        <f ca="1">AVERAGE(OFFSET($AM$3,0,0,'Données projet'!$E$10+1,1))-AVERAGE(OFFSET($H$3,0,0,'Données projet'!$E$10+1,1))</f>
        <v>310.96303212465733</v>
      </c>
      <c r="AO9" s="59">
        <f t="shared" si="36"/>
        <v>248.17359812749166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9.4117948733333332</v>
      </c>
      <c r="N10" s="13">
        <f>IF('Données projet'!$A$36&gt;35,N9+M10-V9,IF(A10&lt;'Données projet'!$A$36,$K$205^A10,IF(A10='Données projet'!$A$36,'Données projet'!$B$36,N9+M10-V9)))</f>
        <v>10.074489899189926</v>
      </c>
      <c r="O10" s="13">
        <f>N10*VLOOKUP('Données projet'!$B$9,Paramètres!$A$1:$I$89,3,0)*VLOOKUP('Données projet'!$B$9,Paramètres!$A$1:$I$89,5,0)</f>
        <v>6.024544959715576</v>
      </c>
      <c r="P10" s="13">
        <f t="shared" si="33"/>
        <v>2.2526469523748012</v>
      </c>
      <c r="Q10" s="20">
        <f t="shared" si="2"/>
        <v>14.416109246890739</v>
      </c>
      <c r="R10" s="59">
        <f t="shared" si="0"/>
        <v>198.54029018262696</v>
      </c>
      <c r="S10" s="59">
        <f ca="1">AVERAGE(OFFSET($R$3,0,0,'Données projet'!$E$9+1,1))-AVERAGE(OFFSET($H$3,0,0,'Données projet'!$E$9+1,1))</f>
        <v>337.99164391065369</v>
      </c>
      <c r="T10" s="59">
        <f t="shared" si="34"/>
        <v>421.45428232119559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5.9083916090909092</v>
      </c>
      <c r="AI10" s="13">
        <f>IF('Données projet'!$A$62&gt;35,AI9+AH10-AQ9,IF(A10&lt;'Données projet'!$A$62,$AF$205^A10,IF(A10='Données projet'!$A$62,'Données projet'!$B$62,AI9+AH10-AQ9)))</f>
        <v>4.7054589086865963</v>
      </c>
      <c r="AJ10" s="13">
        <f>AI10*VLOOKUP('Données projet'!$B$10,Paramètres!$A$1:$I$89,3,0)*VLOOKUP('Données projet'!$B$10,Paramètres!$A$1:$I$89,5,0)</f>
        <v>2.8138644273945848</v>
      </c>
      <c r="AK10" s="13">
        <f t="shared" si="35"/>
        <v>1.1496253856341716</v>
      </c>
      <c r="AL10" s="20">
        <f t="shared" si="4"/>
        <v>6.9030780910250833</v>
      </c>
      <c r="AM10" s="59">
        <f t="shared" si="5"/>
        <v>191.02725902676133</v>
      </c>
      <c r="AN10" s="59">
        <f ca="1">AVERAGE(OFFSET($AM$3,0,0,'Données projet'!$E$10+1,1))-AVERAGE(OFFSET($H$3,0,0,'Données projet'!$E$10+1,1))</f>
        <v>310.96303212465733</v>
      </c>
      <c r="AO10" s="59">
        <f t="shared" si="36"/>
        <v>248.17359812749166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9.4117948733333332</v>
      </c>
      <c r="N11" s="13">
        <f>IF('Données projet'!$A$36&gt;35,N10+M11-V10,IF(A11&lt;'Données projet'!$A$36,$K$205^A11,IF(A11='Données projet'!$A$36,'Données projet'!$B$36,N10+M11-V10)))</f>
        <v>14.013307325004284</v>
      </c>
      <c r="O11" s="13">
        <f>N11*VLOOKUP('Données projet'!$B$9,Paramètres!$A$1:$I$89,3,0)*VLOOKUP('Données projet'!$B$9,Paramètres!$A$1:$I$89,5,0)</f>
        <v>8.3799577803525622</v>
      </c>
      <c r="P11" s="13">
        <f t="shared" si="33"/>
        <v>3.0152862436746353</v>
      </c>
      <c r="Q11" s="20">
        <f t="shared" si="2"/>
        <v>19.846716675180701</v>
      </c>
      <c r="R11" s="59">
        <f t="shared" si="0"/>
        <v>206.59998954140127</v>
      </c>
      <c r="S11" s="59">
        <f ca="1">AVERAGE(OFFSET($R$3,0,0,'Données projet'!$E$9+1,1))-AVERAGE(OFFSET($H$3,0,0,'Données projet'!$E$9+1,1))</f>
        <v>337.99164391065369</v>
      </c>
      <c r="T11" s="59">
        <f t="shared" si="34"/>
        <v>421.45428232119559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5.9083916090909092</v>
      </c>
      <c r="AI11" s="13">
        <f>IF('Données projet'!$A$62&gt;35,AI10+AH11-AQ10,IF(A11&lt;'Données projet'!$A$62,$AF$205^A11,IF(A11='Données projet'!$A$62,'Données projet'!$B$62,AI10+AH11-AQ10)))</f>
        <v>5.8706742505177196</v>
      </c>
      <c r="AJ11" s="13">
        <f>AI11*VLOOKUP('Données projet'!$B$10,Paramètres!$A$1:$I$89,3,0)*VLOOKUP('Données projet'!$B$10,Paramètres!$A$1:$I$89,5,0)</f>
        <v>3.5106632018095967</v>
      </c>
      <c r="AK11" s="13">
        <f t="shared" si="35"/>
        <v>1.3978415095582308</v>
      </c>
      <c r="AL11" s="20">
        <f t="shared" si="4"/>
        <v>8.5489790389656317</v>
      </c>
      <c r="AM11" s="59">
        <f t="shared" si="5"/>
        <v>195.30225190518618</v>
      </c>
      <c r="AN11" s="59">
        <f ca="1">AVERAGE(OFFSET($AM$3,0,0,'Données projet'!$E$10+1,1))-AVERAGE(OFFSET($H$3,0,0,'Données projet'!$E$10+1,1))</f>
        <v>310.96303212465733</v>
      </c>
      <c r="AO11" s="59">
        <f t="shared" si="36"/>
        <v>248.17359812749166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9.4117948733333332</v>
      </c>
      <c r="N12" s="13">
        <f>IF('Données projet'!$A$36&gt;35,N11+M12-V11,IF(A12&lt;'Données projet'!$A$36,$K$205^A12,IF(A12='Données projet'!$A$36,'Données projet'!$B$36,N11+M12-V11)))</f>
        <v>19.492081896951305</v>
      </c>
      <c r="O12" s="13">
        <f>N12*VLOOKUP('Données projet'!$B$9,Paramètres!$A$1:$I$89,3,0)*VLOOKUP('Données projet'!$B$9,Paramètres!$A$1:$I$89,5,0)</f>
        <v>11.656264974376882</v>
      </c>
      <c r="P12" s="13">
        <f t="shared" si="33"/>
        <v>4.0361189851381347</v>
      </c>
      <c r="Q12" s="20">
        <f t="shared" si="2"/>
        <v>27.330902062821988</v>
      </c>
      <c r="R12" s="59">
        <f t="shared" si="0"/>
        <v>216.68886081537806</v>
      </c>
      <c r="S12" s="59">
        <f ca="1">AVERAGE(OFFSET($R$3,0,0,'Données projet'!$E$9+1,1))-AVERAGE(OFFSET($H$3,0,0,'Données projet'!$E$9+1,1))</f>
        <v>337.99164391065369</v>
      </c>
      <c r="T12" s="59">
        <f t="shared" si="34"/>
        <v>421.45428232119559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5.9083916090909092</v>
      </c>
      <c r="AI12" s="13">
        <f>IF('Données projet'!$A$62&gt;35,AI11+AH12-AQ11,IF(A12&lt;'Données projet'!$A$62,$AF$205^A12,IF(A12='Données projet'!$A$62,'Données projet'!$B$62,AI11+AH12-AQ11)))</f>
        <v>7.3244324994672478</v>
      </c>
      <c r="AJ12" s="13">
        <f>AI12*VLOOKUP('Données projet'!$B$10,Paramètres!$A$1:$I$89,3,0)*VLOOKUP('Données projet'!$B$10,Paramètres!$A$1:$I$89,5,0)</f>
        <v>4.3800106346814145</v>
      </c>
      <c r="AK12" s="13">
        <f t="shared" si="35"/>
        <v>1.6996500862462813</v>
      </c>
      <c r="AL12" s="20">
        <f t="shared" si="4"/>
        <v>10.588742422282403</v>
      </c>
      <c r="AM12" s="59">
        <f t="shared" si="5"/>
        <v>199.94670117483847</v>
      </c>
      <c r="AN12" s="59">
        <f ca="1">AVERAGE(OFFSET($AM$3,0,0,'Données projet'!$E$10+1,1))-AVERAGE(OFFSET($H$3,0,0,'Données projet'!$E$10+1,1))</f>
        <v>310.96303212465733</v>
      </c>
      <c r="AO12" s="59">
        <f t="shared" si="36"/>
        <v>248.17359812749166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9.4117948733333332</v>
      </c>
      <c r="N13" s="13">
        <f>IF('Données projet'!$A$36&gt;35,N12+M13-V12,IF(A13&lt;'Données projet'!$A$36,$K$205^A13,IF(A13='Données projet'!$A$36,'Données projet'!$B$36,N12+M13-V12)))</f>
        <v>27.112889760115255</v>
      </c>
      <c r="O13" s="13">
        <f>N13*VLOOKUP('Données projet'!$B$9,Paramètres!$A$1:$I$89,3,0)*VLOOKUP('Données projet'!$B$9,Paramètres!$A$1:$I$89,5,0)</f>
        <v>16.213508076548923</v>
      </c>
      <c r="P13" s="13">
        <f t="shared" si="33"/>
        <v>5.40255721869379</v>
      </c>
      <c r="Q13" s="20">
        <f t="shared" si="2"/>
        <v>37.647980389214389</v>
      </c>
      <c r="R13" s="59">
        <f t="shared" si="0"/>
        <v>229.58664237425927</v>
      </c>
      <c r="S13" s="59">
        <f ca="1">AVERAGE(OFFSET($R$3,0,0,'Données projet'!$E$9+1,1))-AVERAGE(OFFSET($H$3,0,0,'Données projet'!$E$9+1,1))</f>
        <v>337.99164391065369</v>
      </c>
      <c r="T13" s="59">
        <f t="shared" si="34"/>
        <v>421.45428232119559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5.9083916090909092</v>
      </c>
      <c r="AI13" s="13">
        <f>IF('Données projet'!$A$62&gt;35,AI12+AH13-AQ12,IF(A13&lt;'Données projet'!$A$62,$AF$205^A13,IF(A13='Données projet'!$A$62,'Données projet'!$B$62,AI12+AH13-AQ12)))</f>
        <v>9.1381856921325557</v>
      </c>
      <c r="AJ13" s="13">
        <f>AI13*VLOOKUP('Données projet'!$B$10,Paramètres!$A$1:$I$89,3,0)*VLOOKUP('Données projet'!$B$10,Paramètres!$A$1:$I$89,5,0)</f>
        <v>5.4646350438952682</v>
      </c>
      <c r="AK13" s="13">
        <f t="shared" si="35"/>
        <v>2.0666222858054635</v>
      </c>
      <c r="AL13" s="20">
        <f t="shared" si="4"/>
        <v>13.116939849228773</v>
      </c>
      <c r="AM13" s="59">
        <f t="shared" si="5"/>
        <v>205.05560183427366</v>
      </c>
      <c r="AN13" s="59">
        <f ca="1">AVERAGE(OFFSET($AM$3,0,0,'Données projet'!$E$10+1,1))-AVERAGE(OFFSET($H$3,0,0,'Données projet'!$E$10+1,1))</f>
        <v>310.96303212465733</v>
      </c>
      <c r="AO13" s="59">
        <f t="shared" si="36"/>
        <v>248.17359812749166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9.4117948733333332</v>
      </c>
      <c r="N14" s="13">
        <f>IF('Données projet'!$A$36&gt;35,N13+M14-V13,IF(A14&lt;'Données projet'!$A$36,$K$205^A14,IF(A14='Données projet'!$A$36,'Données projet'!$B$36,N13+M14-V13)))</f>
        <v>37.713200418018907</v>
      </c>
      <c r="O14" s="13">
        <f>N14*VLOOKUP('Données projet'!$B$9,Paramètres!$A$1:$I$89,3,0)*VLOOKUP('Données projet'!$B$9,Paramètres!$A$1:$I$89,5,0)</f>
        <v>22.552493849975306</v>
      </c>
      <c r="P14" s="13">
        <f t="shared" si="33"/>
        <v>7.2316065529127238</v>
      </c>
      <c r="Q14" s="20">
        <f t="shared" si="2"/>
        <v>51.873974868363312</v>
      </c>
      <c r="R14" s="59">
        <f t="shared" si="0"/>
        <v>246.36977347747745</v>
      </c>
      <c r="S14" s="59">
        <f ca="1">AVERAGE(OFFSET($R$3,0,0,'Données projet'!$E$9+1,1))-AVERAGE(OFFSET($H$3,0,0,'Données projet'!$E$9+1,1))</f>
        <v>337.99164391065369</v>
      </c>
      <c r="T14" s="59">
        <f t="shared" si="34"/>
        <v>421.45428232119559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5.9083916090909092</v>
      </c>
      <c r="AI14" s="13">
        <f>IF('Données projet'!$A$62&gt;35,AI13+AH14-AQ13,IF(A14&lt;'Données projet'!$A$62,$AF$205^A14,IF(A14='Données projet'!$A$62,'Données projet'!$B$62,AI13+AH14-AQ13)))</f>
        <v>11.401079571689696</v>
      </c>
      <c r="AJ14" s="13">
        <f>AI14*VLOOKUP('Données projet'!$B$10,Paramètres!$A$1:$I$89,3,0)*VLOOKUP('Données projet'!$B$10,Paramètres!$A$1:$I$89,5,0)</f>
        <v>6.8178455838704384</v>
      </c>
      <c r="AK14" s="13">
        <f t="shared" si="35"/>
        <v>2.5128276147829034</v>
      </c>
      <c r="AL14" s="20">
        <f t="shared" si="4"/>
        <v>16.25092248765457</v>
      </c>
      <c r="AM14" s="59">
        <f t="shared" si="5"/>
        <v>210.74672109676871</v>
      </c>
      <c r="AN14" s="59">
        <f ca="1">AVERAGE(OFFSET($AM$3,0,0,'Données projet'!$E$10+1,1))-AVERAGE(OFFSET($H$3,0,0,'Données projet'!$E$10+1,1))</f>
        <v>310.96303212465733</v>
      </c>
      <c r="AO14" s="59">
        <f t="shared" si="36"/>
        <v>248.17359812749166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9.4117948733333332</v>
      </c>
      <c r="N15" s="13">
        <f>IF('Données projet'!$A$36&gt;35,N14+M15-V14,IF(A15&lt;'Données projet'!$A$36,$K$205^A15,IF(A15='Données projet'!$A$36,'Données projet'!$B$36,N14+M15-V14)))</f>
        <v>52.457908336349</v>
      </c>
      <c r="O15" s="13">
        <f>N15*VLOOKUP('Données projet'!$B$9,Paramètres!$A$1:$I$89,3,0)*VLOOKUP('Données projet'!$B$9,Paramètres!$A$1:$I$89,5,0)</f>
        <v>31.369829185136705</v>
      </c>
      <c r="P15" s="13">
        <f t="shared" si="33"/>
        <v>9.6798851394255454</v>
      </c>
      <c r="Q15" s="20">
        <f t="shared" si="2"/>
        <v>71.494919115279259</v>
      </c>
      <c r="R15" s="59">
        <f t="shared" si="0"/>
        <v>268.52469656801213</v>
      </c>
      <c r="S15" s="59">
        <f ca="1">AVERAGE(OFFSET($R$3,0,0,'Données projet'!$E$9+1,1))-AVERAGE(OFFSET($H$3,0,0,'Données projet'!$E$9+1,1))</f>
        <v>337.99164391065369</v>
      </c>
      <c r="T15" s="59">
        <f t="shared" si="34"/>
        <v>421.45428232119559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5.9083916090909092</v>
      </c>
      <c r="AI15" s="13">
        <f>IF('Données projet'!$A$62&gt;35,AI14+AH15-AQ14,IF(A15&lt;'Données projet'!$A$62,$AF$205^A15,IF(A15='Données projet'!$A$62,'Données projet'!$B$62,AI14+AH15-AQ14)))</f>
        <v>14.224335090050673</v>
      </c>
      <c r="AJ15" s="13">
        <f>AI15*VLOOKUP('Données projet'!$B$10,Paramètres!$A$1:$I$89,3,0)*VLOOKUP('Données projet'!$B$10,Paramètres!$A$1:$I$89,5,0)</f>
        <v>8.5061523838503028</v>
      </c>
      <c r="AK15" s="13">
        <f t="shared" si="35"/>
        <v>3.0553733330880752</v>
      </c>
      <c r="AL15" s="20">
        <f t="shared" si="4"/>
        <v>20.136323957001007</v>
      </c>
      <c r="AM15" s="59">
        <f t="shared" si="5"/>
        <v>217.16610140973387</v>
      </c>
      <c r="AN15" s="59">
        <f ca="1">AVERAGE(OFFSET($AM$3,0,0,'Données projet'!$E$10+1,1))-AVERAGE(OFFSET($H$3,0,0,'Données projet'!$E$10+1,1))</f>
        <v>310.96303212465733</v>
      </c>
      <c r="AO15" s="59">
        <f t="shared" si="36"/>
        <v>248.17359812749166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9.4117948733333332</v>
      </c>
      <c r="N16" s="13">
        <f>IF('Données projet'!$A$36&gt;35,N15+M16-V15,IF(A16&lt;'Données projet'!$A$36,$K$205^A16,IF(A16='Données projet'!$A$36,'Données projet'!$B$36,N15+M16-V15)))</f>
        <v>72.967346088983788</v>
      </c>
      <c r="O16" s="13">
        <f>N16*VLOOKUP('Données projet'!$B$9,Paramètres!$A$1:$I$89,3,0)*VLOOKUP('Données projet'!$B$9,Paramètres!$A$1:$I$89,5,0)</f>
        <v>43.634472961212303</v>
      </c>
      <c r="P16" s="13">
        <f t="shared" si="33"/>
        <v>12.957034599003631</v>
      </c>
      <c r="Q16" s="20">
        <f t="shared" si="2"/>
        <v>98.563542334042737</v>
      </c>
      <c r="R16" s="59">
        <f t="shared" si="0"/>
        <v>298.10454258566153</v>
      </c>
      <c r="S16" s="59">
        <f ca="1">AVERAGE(OFFSET($R$3,0,0,'Données projet'!$E$9+1,1))-AVERAGE(OFFSET($H$3,0,0,'Données projet'!$E$9+1,1))</f>
        <v>337.99164391065369</v>
      </c>
      <c r="T16" s="59">
        <f t="shared" si="34"/>
        <v>421.45428232119559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5.9083916090909092</v>
      </c>
      <c r="AI16" s="13">
        <f>IF('Données projet'!$A$62&gt;35,AI15+AH16-AQ15,IF(A16&lt;'Données projet'!$A$62,$AF$205^A16,IF(A16='Données projet'!$A$62,'Données projet'!$B$62,AI15+AH16-AQ15)))</f>
        <v>17.746714903776464</v>
      </c>
      <c r="AJ16" s="13">
        <f>AI16*VLOOKUP('Données projet'!$B$10,Paramètres!$A$1:$I$89,3,0)*VLOOKUP('Données projet'!$B$10,Paramètres!$A$1:$I$89,5,0)</f>
        <v>10.612535512458328</v>
      </c>
      <c r="AK16" s="13">
        <f t="shared" si="35"/>
        <v>3.7150603366607236</v>
      </c>
      <c r="AL16" s="20">
        <f t="shared" si="4"/>
        <v>24.953896103882347</v>
      </c>
      <c r="AM16" s="59">
        <f t="shared" si="5"/>
        <v>224.49489635550117</v>
      </c>
      <c r="AN16" s="59">
        <f ca="1">AVERAGE(OFFSET($AM$3,0,0,'Données projet'!$E$10+1,1))-AVERAGE(OFFSET($H$3,0,0,'Données projet'!$E$10+1,1))</f>
        <v>310.96303212465733</v>
      </c>
      <c r="AO16" s="59">
        <f t="shared" si="36"/>
        <v>248.17359812749166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9.4117948733333332</v>
      </c>
      <c r="N17" s="13">
        <f>IF('Données projet'!$A$36&gt;35,N16+M17-V16,IF(A17&lt;'Données projet'!$A$36,$K$205^A17,IF(A17='Données projet'!$A$36,'Données projet'!$B$36,N16+M17-V16)))</f>
        <v>101.49534672887984</v>
      </c>
      <c r="O17" s="13">
        <f>N17*VLOOKUP('Données projet'!$B$9,Paramètres!$A$1:$I$89,3,0)*VLOOKUP('Données projet'!$B$9,Paramètres!$A$1:$I$89,5,0)</f>
        <v>60.694217343870143</v>
      </c>
      <c r="P17" s="13">
        <f t="shared" si="33"/>
        <v>17.343671250394635</v>
      </c>
      <c r="Q17" s="20">
        <f t="shared" si="2"/>
        <v>135.91598930167785</v>
      </c>
      <c r="R17" s="59">
        <f t="shared" si="0"/>
        <v>337.94585107395108</v>
      </c>
      <c r="S17" s="59">
        <f ca="1">AVERAGE(OFFSET($R$3,0,0,'Données projet'!$E$9+1,1))-AVERAGE(OFFSET($H$3,0,0,'Données projet'!$E$9+1,1))</f>
        <v>337.99164391065369</v>
      </c>
      <c r="T17" s="59">
        <f t="shared" si="34"/>
        <v>421.45428232119559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5.9083916090909092</v>
      </c>
      <c r="AI17" s="13">
        <f>IF('Données projet'!$A$62&gt;35,AI16+AH17-AQ16,IF(A17&lt;'Données projet'!$A$62,$AF$205^A17,IF(A17='Données projet'!$A$62,'Données projet'!$B$62,AI16+AH17-AQ16)))</f>
        <v>22.141343541338049</v>
      </c>
      <c r="AJ17" s="13">
        <f>AI17*VLOOKUP('Données projet'!$B$10,Paramètres!$A$1:$I$89,3,0)*VLOOKUP('Données projet'!$B$10,Paramètres!$A$1:$I$89,5,0)</f>
        <v>13.240523437720153</v>
      </c>
      <c r="AK17" s="13">
        <f t="shared" si="35"/>
        <v>4.5171806520548161</v>
      </c>
      <c r="AL17" s="20">
        <f t="shared" si="4"/>
        <v>30.928001289691398</v>
      </c>
      <c r="AM17" s="59">
        <f t="shared" si="5"/>
        <v>232.95786306196459</v>
      </c>
      <c r="AN17" s="59">
        <f ca="1">AVERAGE(OFFSET($AM$3,0,0,'Données projet'!$E$10+1,1))-AVERAGE(OFFSET($H$3,0,0,'Données projet'!$E$10+1,1))</f>
        <v>310.96303212465733</v>
      </c>
      <c r="AO17" s="59">
        <f t="shared" si="36"/>
        <v>248.17359812749166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141.17692310000001</v>
      </c>
      <c r="L18" s="12">
        <f>VLOOKUP(A18,'Données projet'!$A$35:$I$55,9,0)</f>
        <v>9.4117948733333332</v>
      </c>
      <c r="M18" s="12">
        <f t="array" ref="M18">INDEX(L:L,MIN(IF(ISNUMBER(L18:L214),ROW(L18:L214),"")))</f>
        <v>9.4117948733333332</v>
      </c>
      <c r="N18" s="13">
        <f>IF('Données projet'!$A$36&gt;35,N17+M18-V17,IF(A18&lt;'Données projet'!$A$36,$K$205^A18,IF(A18='Données projet'!$A$36,'Données projet'!$B$36,N17+M18-V17)))</f>
        <v>141.17692310000001</v>
      </c>
      <c r="O18" s="13">
        <f>N18*VLOOKUP('Données projet'!$B$9,Paramètres!$A$1:$I$89,3,0)*VLOOKUP('Données projet'!$B$9,Paramètres!$A$1:$I$89,5,0)</f>
        <v>84.423800013800005</v>
      </c>
      <c r="P18" s="13">
        <f t="shared" si="33"/>
        <v>23.215414772829035</v>
      </c>
      <c r="Q18" s="20">
        <f t="shared" si="2"/>
        <v>187.47163242004558</v>
      </c>
      <c r="R18" s="59">
        <f t="shared" si="0"/>
        <v>391.9683823529266</v>
      </c>
      <c r="S18" s="59">
        <f ca="1">AVERAGE(OFFSET($R$3,0,0,'Données projet'!$E$9+1,1))-AVERAGE(OFFSET($H$3,0,0,'Données projet'!$E$9+1,1))</f>
        <v>337.99164391065369</v>
      </c>
      <c r="T18" s="59">
        <f t="shared" si="34"/>
        <v>421.45428232119559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49.784615379999998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9.9131546017452212</v>
      </c>
      <c r="AB18" s="21">
        <f>EXP(-LN(2)/2)*AB17+(1-EXP(-LN(2)/2))/(LN(2)/2)*V18*Y18*VLOOKUP('Données projet'!$B$9,Paramètres!$A$1:$I$89,3,0)*0.475*44/12</f>
        <v>14.831482236117779</v>
      </c>
      <c r="AC18" s="22">
        <f t="shared" si="3"/>
        <v>24.744636837862998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5.9083916090909092</v>
      </c>
      <c r="AI18" s="13">
        <f>IF('Données projet'!$A$62&gt;35,AI17+AH18-AQ17,IF(A18&lt;'Données projet'!$A$62,$AF$205^A18,IF(A18='Données projet'!$A$62,'Données projet'!$B$62,AI17+AH18-AQ17)))</f>
        <v>27.624216452095609</v>
      </c>
      <c r="AJ18" s="13">
        <f>AI18*VLOOKUP('Données projet'!$B$10,Paramètres!$A$1:$I$89,3,0)*VLOOKUP('Données projet'!$B$10,Paramètres!$A$1:$I$89,5,0)</f>
        <v>16.519281438353175</v>
      </c>
      <c r="AK18" s="13">
        <f t="shared" si="35"/>
        <v>5.4924871184297643</v>
      </c>
      <c r="AL18" s="20">
        <f t="shared" si="4"/>
        <v>38.337163569730286</v>
      </c>
      <c r="AM18" s="59">
        <f t="shared" si="5"/>
        <v>242.83391350261132</v>
      </c>
      <c r="AN18" s="59">
        <f ca="1">AVERAGE(OFFSET($AM$3,0,0,'Données projet'!$E$10+1,1))-AVERAGE(OFFSET($H$3,0,0,'Données projet'!$E$10+1,1))</f>
        <v>310.96303212465733</v>
      </c>
      <c r="AO18" s="59">
        <f t="shared" si="36"/>
        <v>248.17359812749166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18.463076915999995</v>
      </c>
      <c r="N19" s="13">
        <f>IF('Données projet'!$A$36&gt;35,N18+M19-V18,IF(A19&lt;'Données projet'!$A$36,$K$205^A19,IF(A19='Données projet'!$A$36,'Données projet'!$B$36,N18+M19-V18)))</f>
        <v>109.85538463600003</v>
      </c>
      <c r="O19" s="13">
        <f>N19*VLOOKUP('Données projet'!$B$9,Paramètres!$A$1:$I$89,3,0)*VLOOKUP('Données projet'!$B$9,Paramètres!$A$1:$I$89,5,0)</f>
        <v>65.693520012328023</v>
      </c>
      <c r="P19" s="13">
        <f t="shared" si="33"/>
        <v>18.600086976091379</v>
      </c>
      <c r="Q19" s="20">
        <f t="shared" si="2"/>
        <v>146.81136550483043</v>
      </c>
      <c r="R19" s="59">
        <f t="shared" si="0"/>
        <v>353.75341142694447</v>
      </c>
      <c r="S19" s="59">
        <f ca="1">AVERAGE(OFFSET($R$3,0,0,'Données projet'!$E$9+1,1))-AVERAGE(OFFSET($H$3,0,0,'Données projet'!$E$9+1,1))</f>
        <v>337.99164391065369</v>
      </c>
      <c r="T19" s="59">
        <f t="shared" si="34"/>
        <v>421.45428232119559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9.6420788678503548</v>
      </c>
      <c r="AB19" s="21">
        <f>EXP(-LN(2)/2)*AB18+(1-EXP(-LN(2)/2))/(LN(2)/2)*V19*Y19*VLOOKUP('Données projet'!$B$9,Paramètres!$A$1:$I$89,3,0)*0.475*44/12</f>
        <v>10.487441664206701</v>
      </c>
      <c r="AC19" s="22">
        <f t="shared" si="3"/>
        <v>20.129520532057057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5.9083916090909092</v>
      </c>
      <c r="AI19" s="13">
        <f>IF('Données projet'!$A$62&gt;35,AI18+AH19-AQ18,IF(A19&lt;'Données projet'!$A$62,$AF$205^A19,IF(A19='Données projet'!$A$62,'Données projet'!$B$62,AI18+AH19-AQ18)))</f>
        <v>34.464816155691786</v>
      </c>
      <c r="AJ19" s="13">
        <f>AI19*VLOOKUP('Données projet'!$B$10,Paramètres!$A$1:$I$89,3,0)*VLOOKUP('Données projet'!$B$10,Paramètres!$A$1:$I$89,5,0)</f>
        <v>20.609960061103692</v>
      </c>
      <c r="AK19" s="13">
        <f t="shared" si="35"/>
        <v>6.6783724340079402</v>
      </c>
      <c r="AL19" s="20">
        <f t="shared" si="4"/>
        <v>47.527179095652748</v>
      </c>
      <c r="AM19" s="59">
        <f t="shared" si="5"/>
        <v>254.4692250177668</v>
      </c>
      <c r="AN19" s="59">
        <f ca="1">AVERAGE(OFFSET($AM$3,0,0,'Données projet'!$E$10+1,1))-AVERAGE(OFFSET($H$3,0,0,'Données projet'!$E$10+1,1))</f>
        <v>310.96303212465733</v>
      </c>
      <c r="AO19" s="59">
        <f t="shared" si="36"/>
        <v>248.17359812749166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18.463076915999995</v>
      </c>
      <c r="N20" s="13">
        <f>IF('Données projet'!$A$36&gt;35,N19+M20-V19,IF(A20&lt;'Données projet'!$A$36,$K$205^A20,IF(A20='Données projet'!$A$36,'Données projet'!$B$36,N19+M20-V19)))</f>
        <v>128.31846155200003</v>
      </c>
      <c r="O20" s="13">
        <f>N20*VLOOKUP('Données projet'!$B$9,Paramètres!$A$1:$I$89,3,0)*VLOOKUP('Données projet'!$B$9,Paramètres!$A$1:$I$89,5,0)</f>
        <v>76.73444000809603</v>
      </c>
      <c r="P20" s="13">
        <f t="shared" si="33"/>
        <v>21.336811416403467</v>
      </c>
      <c r="Q20" s="20">
        <f t="shared" si="2"/>
        <v>170.80742956433662</v>
      </c>
      <c r="R20" s="59">
        <f t="shared" si="0"/>
        <v>380.17355388020934</v>
      </c>
      <c r="S20" s="59">
        <f ca="1">AVERAGE(OFFSET($R$3,0,0,'Données projet'!$E$9+1,1))-AVERAGE(OFFSET($H$3,0,0,'Données projet'!$E$9+1,1))</f>
        <v>337.99164391065369</v>
      </c>
      <c r="T20" s="59">
        <f t="shared" si="34"/>
        <v>421.45428232119559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9.3784157141540962</v>
      </c>
      <c r="AB20" s="21">
        <f>EXP(-LN(2)/2)*AB19+(1-EXP(-LN(2)/2))/(LN(2)/2)*V20*Y20*VLOOKUP('Données projet'!$B$9,Paramètres!$A$1:$I$89,3,0)*0.475*44/12</f>
        <v>7.4157411180588895</v>
      </c>
      <c r="AC20" s="22">
        <f t="shared" si="3"/>
        <v>16.794156832212984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5.9083916090909092</v>
      </c>
      <c r="AI20" s="13">
        <f>IF('Données projet'!$A$62&gt;35,AI19+AH20-AQ19,IF(A20&lt;'Données projet'!$A$62,$AF$205^A20,IF(A20='Données projet'!$A$62,'Données projet'!$B$62,AI19+AH20-AQ19)))</f>
        <v>42.999357274277507</v>
      </c>
      <c r="AJ20" s="13">
        <f>AI20*VLOOKUP('Données projet'!$B$10,Paramètres!$A$1:$I$89,3,0)*VLOOKUP('Données projet'!$B$10,Paramètres!$A$1:$I$89,5,0)</f>
        <v>25.713615650017953</v>
      </c>
      <c r="AK20" s="13">
        <f t="shared" si="35"/>
        <v>8.1203027709727085</v>
      </c>
      <c r="AL20" s="20">
        <f t="shared" si="4"/>
        <v>58.927407916558735</v>
      </c>
      <c r="AM20" s="59">
        <f t="shared" si="5"/>
        <v>268.29353223243146</v>
      </c>
      <c r="AN20" s="59">
        <f ca="1">AVERAGE(OFFSET($AM$3,0,0,'Données projet'!$E$10+1,1))-AVERAGE(OFFSET($H$3,0,0,'Données projet'!$E$10+1,1))</f>
        <v>310.96303212465733</v>
      </c>
      <c r="AO20" s="59">
        <f t="shared" si="36"/>
        <v>248.17359812749166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18.463076915999995</v>
      </c>
      <c r="N21" s="13">
        <f>IF('Données projet'!$A$36&gt;35,N20+M21-V20,IF(A21&lt;'Données projet'!$A$36,$K$205^A21,IF(A21='Données projet'!$A$36,'Données projet'!$B$36,N20+M21-V20)))</f>
        <v>146.78153846800004</v>
      </c>
      <c r="O21" s="13">
        <f>N21*VLOOKUP('Données projet'!$B$9,Paramètres!$A$1:$I$89,3,0)*VLOOKUP('Données projet'!$B$9,Paramètres!$A$1:$I$89,5,0)</f>
        <v>87.775360003864037</v>
      </c>
      <c r="P21" s="13">
        <f t="shared" si="33"/>
        <v>24.02791635012526</v>
      </c>
      <c r="Q21" s="20">
        <f t="shared" si="2"/>
        <v>194.72403964986469</v>
      </c>
      <c r="R21" s="59">
        <f t="shared" si="0"/>
        <v>406.49339284186783</v>
      </c>
      <c r="S21" s="59">
        <f ca="1">AVERAGE(OFFSET($R$3,0,0,'Données projet'!$E$9+1,1))-AVERAGE(OFFSET($H$3,0,0,'Données projet'!$E$9+1,1))</f>
        <v>337.99164391065369</v>
      </c>
      <c r="T21" s="59">
        <f t="shared" si="34"/>
        <v>421.45428232119559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9.1219624432611042</v>
      </c>
      <c r="AB21" s="21">
        <f>EXP(-LN(2)/2)*AB20+(1-EXP(-LN(2)/2))/(LN(2)/2)*V21*Y21*VLOOKUP('Données projet'!$B$9,Paramètres!$A$1:$I$89,3,0)*0.475*44/12</f>
        <v>5.2437208321033504</v>
      </c>
      <c r="AC21" s="22">
        <f t="shared" si="3"/>
        <v>14.365683275364454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5.9083916090909092</v>
      </c>
      <c r="AI21" s="13">
        <f>IF('Données projet'!$A$62&gt;35,AI20+AH21-AQ20,IF(A21&lt;'Données projet'!$A$62,$AF$205^A21,IF(A21='Données projet'!$A$62,'Données projet'!$B$62,AI20+AH21-AQ20)))</f>
        <v>53.647311439252029</v>
      </c>
      <c r="AJ21" s="13">
        <f>AI21*VLOOKUP('Données projet'!$B$10,Paramètres!$A$1:$I$89,3,0)*VLOOKUP('Données projet'!$B$10,Paramètres!$A$1:$I$89,5,0)</f>
        <v>32.081092240672717</v>
      </c>
      <c r="AK21" s="13">
        <f t="shared" si="35"/>
        <v>9.8735609227912526</v>
      </c>
      <c r="AL21" s="20">
        <f t="shared" si="4"/>
        <v>73.071020926366415</v>
      </c>
      <c r="AM21" s="59">
        <f t="shared" si="5"/>
        <v>284.84037411836954</v>
      </c>
      <c r="AN21" s="59">
        <f ca="1">AVERAGE(OFFSET($AM$3,0,0,'Données projet'!$E$10+1,1))-AVERAGE(OFFSET($H$3,0,0,'Données projet'!$E$10+1,1))</f>
        <v>310.96303212465733</v>
      </c>
      <c r="AO21" s="59">
        <f t="shared" si="36"/>
        <v>248.17359812749166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18.463076915999995</v>
      </c>
      <c r="N22" s="13">
        <f>IF('Données projet'!$A$36&gt;35,N21+M22-V21,IF(A22&lt;'Données projet'!$A$36,$K$205^A22,IF(A22='Données projet'!$A$36,'Données projet'!$B$36,N21+M22-V21)))</f>
        <v>165.24461538400004</v>
      </c>
      <c r="O22" s="13">
        <f>N22*VLOOKUP('Données projet'!$B$9,Paramètres!$A$1:$I$89,3,0)*VLOOKUP('Données projet'!$B$9,Paramètres!$A$1:$I$89,5,0)</f>
        <v>98.81627999963203</v>
      </c>
      <c r="P22" s="13">
        <f t="shared" si="33"/>
        <v>26.679797439871976</v>
      </c>
      <c r="Q22" s="20">
        <f t="shared" si="2"/>
        <v>218.57233487380279</v>
      </c>
      <c r="R22" s="59">
        <f t="shared" si="0"/>
        <v>432.72442911682629</v>
      </c>
      <c r="S22" s="59">
        <f ca="1">AVERAGE(OFFSET($R$3,0,0,'Données projet'!$E$9+1,1))-AVERAGE(OFFSET($H$3,0,0,'Données projet'!$E$9+1,1))</f>
        <v>337.99164391065369</v>
      </c>
      <c r="T22" s="59">
        <f t="shared" si="34"/>
        <v>421.45428232119559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8.8725219005469729</v>
      </c>
      <c r="AB22" s="21">
        <f>EXP(-LN(2)/2)*AB21+(1-EXP(-LN(2)/2))/(LN(2)/2)*V22*Y22*VLOOKUP('Données projet'!$B$9,Paramètres!$A$1:$I$89,3,0)*0.475*44/12</f>
        <v>3.7078705590294447</v>
      </c>
      <c r="AC22" s="22">
        <f t="shared" si="3"/>
        <v>12.580392459576418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5.9083916090909092</v>
      </c>
      <c r="AI22" s="13">
        <f>IF('Données projet'!$A$62&gt;35,AI21+AH22-AQ21,IF(A22&lt;'Données projet'!$A$62,$AF$205^A22,IF(A22='Données projet'!$A$62,'Données projet'!$B$62,AI21+AH22-AQ21)))</f>
        <v>66.932024269622289</v>
      </c>
      <c r="AJ22" s="13">
        <f>AI22*VLOOKUP('Données projet'!$B$10,Paramètres!$A$1:$I$89,3,0)*VLOOKUP('Données projet'!$B$10,Paramètres!$A$1:$I$89,5,0)</f>
        <v>40.025350513234137</v>
      </c>
      <c r="AK22" s="13">
        <f t="shared" si="35"/>
        <v>12.005365815244433</v>
      </c>
      <c r="AL22" s="20">
        <f t="shared" si="4"/>
        <v>90.620164272100169</v>
      </c>
      <c r="AM22" s="59">
        <f t="shared" si="5"/>
        <v>304.77225851512367</v>
      </c>
      <c r="AN22" s="59">
        <f ca="1">AVERAGE(OFFSET($AM$3,0,0,'Données projet'!$E$10+1,1))-AVERAGE(OFFSET($H$3,0,0,'Données projet'!$E$10+1,1))</f>
        <v>310.96303212465733</v>
      </c>
      <c r="AO22" s="59">
        <f t="shared" si="36"/>
        <v>248.17359812749166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183.70769229999999</v>
      </c>
      <c r="L23" s="12">
        <f>VLOOKUP(A23,'Données projet'!$A$35:$I$55,9,0)</f>
        <v>18.463076915999995</v>
      </c>
      <c r="M23" s="12">
        <f t="array" ref="M23">INDEX(L:L,MIN(IF(ISNUMBER(L23:L219),ROW(L23:L219),"")))</f>
        <v>18.463076915999995</v>
      </c>
      <c r="N23" s="13">
        <f>IF('Données projet'!$A$36&gt;35,N22+M23-V22,IF(A23&lt;'Données projet'!$A$36,$K$205^A23,IF(A23='Données projet'!$A$36,'Données projet'!$B$36,N22+M23-V22)))</f>
        <v>183.70769230000005</v>
      </c>
      <c r="O23" s="13">
        <f>N23*VLOOKUP('Données projet'!$B$9,Paramètres!$A$1:$I$89,3,0)*VLOOKUP('Données projet'!$B$9,Paramètres!$A$1:$I$89,5,0)</f>
        <v>109.85719999540005</v>
      </c>
      <c r="P23" s="13">
        <f t="shared" si="33"/>
        <v>29.29733723444248</v>
      </c>
      <c r="Q23" s="20">
        <f t="shared" si="2"/>
        <v>242.36081900864244</v>
      </c>
      <c r="R23" s="59">
        <f t="shared" si="0"/>
        <v>458.87552189553816</v>
      </c>
      <c r="S23" s="59">
        <f ca="1">AVERAGE(OFFSET($R$3,0,0,'Données projet'!$E$9+1,1))-AVERAGE(OFFSET($H$3,0,0,'Données projet'!$E$9+1,1))</f>
        <v>337.99164391065369</v>
      </c>
      <c r="T23" s="59">
        <f t="shared" si="34"/>
        <v>421.45428232119559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48.723076919999997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18.331682490902061</v>
      </c>
      <c r="AB23" s="21">
        <f>EXP(-LN(2)/2)*AB22+(1-EXP(-LN(2)/2))/(LN(2)/2)*V23*Y23*VLOOKUP('Données projet'!$B$9,Paramètres!$A$1:$I$89,3,0)*0.475*44/12</f>
        <v>17.137096585141077</v>
      </c>
      <c r="AC23" s="22">
        <f t="shared" si="3"/>
        <v>35.468779076043134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5.9083916090909092</v>
      </c>
      <c r="AI23" s="13">
        <f>IF('Données projet'!$A$62&gt;35,AI22+AH23-AQ22,IF(A23&lt;'Données projet'!$A$62,$AF$205^A23,IF(A23='Données projet'!$A$62,'Données projet'!$B$62,AI22+AH23-AQ22)))</f>
        <v>83.506437743896129</v>
      </c>
      <c r="AJ23" s="13">
        <f>AI23*VLOOKUP('Données projet'!$B$10,Paramètres!$A$1:$I$89,3,0)*VLOOKUP('Données projet'!$B$10,Paramètres!$A$1:$I$89,5,0)</f>
        <v>49.936849770849889</v>
      </c>
      <c r="AK23" s="13">
        <f t="shared" si="35"/>
        <v>14.597449642017759</v>
      </c>
      <c r="AL23" s="20">
        <f t="shared" si="4"/>
        <v>112.39723814407783</v>
      </c>
      <c r="AM23" s="59">
        <f t="shared" si="5"/>
        <v>328.91194103097354</v>
      </c>
      <c r="AN23" s="59">
        <f ca="1">AVERAGE(OFFSET($AM$3,0,0,'Données projet'!$E$10+1,1))-AVERAGE(OFFSET($H$3,0,0,'Données projet'!$E$10+1,1))</f>
        <v>310.96303212465733</v>
      </c>
      <c r="AO23" s="59">
        <f t="shared" si="36"/>
        <v>248.17359812749166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19.071794870000005</v>
      </c>
      <c r="N24" s="13">
        <f>IF('Données projet'!$A$36&gt;35,N23+M24-V23,IF(A24&lt;'Données projet'!$A$36,$K$205^A24,IF(A24='Données projet'!$A$36,'Données projet'!$B$36,N23+M24-V23)))</f>
        <v>154.05641025000006</v>
      </c>
      <c r="O24" s="13">
        <f>N24*VLOOKUP('Données projet'!$B$9,Paramètres!$A$1:$I$89,3,0)*VLOOKUP('Données projet'!$B$9,Paramètres!$A$1:$I$89,5,0)</f>
        <v>92.125733329500036</v>
      </c>
      <c r="P24" s="13">
        <f t="shared" si="33"/>
        <v>25.077202058544604</v>
      </c>
      <c r="Q24" s="20">
        <f t="shared" si="2"/>
        <v>204.12844580084439</v>
      </c>
      <c r="R24" s="59">
        <f t="shared" si="0"/>
        <v>422.98597417671874</v>
      </c>
      <c r="S24" s="59">
        <f ca="1">AVERAGE(OFFSET($R$3,0,0,'Données projet'!$E$9+1,1))-AVERAGE(OFFSET($H$3,0,0,'Données projet'!$E$9+1,1))</f>
        <v>337.99164391065369</v>
      </c>
      <c r="T24" s="59">
        <f t="shared" si="34"/>
        <v>421.45428232119559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17.83040166916706</v>
      </c>
      <c r="AB24" s="21">
        <f>EXP(-LN(2)/2)*AB23+(1-EXP(-LN(2)/2))/(LN(2)/2)*V24*Y24*VLOOKUP('Données projet'!$B$9,Paramètres!$A$1:$I$89,3,0)*0.475*44/12</f>
        <v>12.117757205202082</v>
      </c>
      <c r="AC24" s="22">
        <f t="shared" si="3"/>
        <v>29.948158874369142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5.9083916090909092</v>
      </c>
      <c r="AI24" s="13">
        <f>IF('Données projet'!$A$62&gt;35,AI23+AH24-AQ23,IF(A24&lt;'Données projet'!$A$62,$AF$205^A24,IF(A24='Données projet'!$A$62,'Données projet'!$B$62,AI23+AH24-AQ23)))</f>
        <v>104.18518221687953</v>
      </c>
      <c r="AJ24" s="13">
        <f>AI24*VLOOKUP('Données projet'!$B$10,Paramètres!$A$1:$I$89,3,0)*VLOOKUP('Données projet'!$B$10,Paramètres!$A$1:$I$89,5,0)</f>
        <v>62.302738965693962</v>
      </c>
      <c r="AK24" s="13">
        <f t="shared" si="35"/>
        <v>17.749191430774051</v>
      </c>
      <c r="AL24" s="20">
        <f t="shared" si="4"/>
        <v>139.42377877384845</v>
      </c>
      <c r="AM24" s="59">
        <f t="shared" si="5"/>
        <v>358.28130714972281</v>
      </c>
      <c r="AN24" s="59">
        <f ca="1">AVERAGE(OFFSET($AM$3,0,0,'Données projet'!$E$10+1,1))-AVERAGE(OFFSET($H$3,0,0,'Données projet'!$E$10+1,1))</f>
        <v>310.96303212465733</v>
      </c>
      <c r="AO24" s="59">
        <f t="shared" si="36"/>
        <v>248.17359812749166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19.071794870000005</v>
      </c>
      <c r="N25" s="13">
        <f>IF('Données projet'!$A$36&gt;35,N24+M25-V24,IF(A25&lt;'Données projet'!$A$36,$K$205^A25,IF(A25='Données projet'!$A$36,'Données projet'!$B$36,N24+M25-V24)))</f>
        <v>173.12820512000008</v>
      </c>
      <c r="O25" s="13">
        <f>N25*VLOOKUP('Données projet'!$B$9,Paramètres!$A$1:$I$89,3,0)*VLOOKUP('Données projet'!$B$9,Paramètres!$A$1:$I$89,5,0)</f>
        <v>103.53066666176005</v>
      </c>
      <c r="P25" s="13">
        <f t="shared" si="33"/>
        <v>27.80142408804992</v>
      </c>
      <c r="Q25" s="20">
        <f t="shared" si="2"/>
        <v>228.73672472258568</v>
      </c>
      <c r="R25" s="59">
        <f t="shared" si="0"/>
        <v>449.9176386260541</v>
      </c>
      <c r="S25" s="59">
        <f ca="1">AVERAGE(OFFSET($R$3,0,0,'Données projet'!$E$9+1,1))-AVERAGE(OFFSET($H$3,0,0,'Données projet'!$E$9+1,1))</f>
        <v>337.99164391065369</v>
      </c>
      <c r="T25" s="59">
        <f t="shared" si="34"/>
        <v>421.45428232119559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17.342828397863613</v>
      </c>
      <c r="AB25" s="21">
        <f>EXP(-LN(2)/2)*AB24+(1-EXP(-LN(2)/2))/(LN(2)/2)*V25*Y25*VLOOKUP('Données projet'!$B$9,Paramètres!$A$1:$I$89,3,0)*0.475*44/12</f>
        <v>8.5685482925705383</v>
      </c>
      <c r="AC25" s="22">
        <f t="shared" si="3"/>
        <v>25.911376690434153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129.9846154</v>
      </c>
      <c r="AG25" s="12">
        <f>VLOOKUP(A25,'Données projet'!$A$61:$I$81,9,0)</f>
        <v>5.9083916090909092</v>
      </c>
      <c r="AH25" s="12">
        <f t="array" ref="AH25">INDEX(AG:AG,MIN(IF(ISNUMBER(AG25:AG221),ROW(AG25:AG221),"")))</f>
        <v>5.9083916090909092</v>
      </c>
      <c r="AI25" s="13">
        <f>IF('Données projet'!$A$62&gt;35,AI24+AH25-AQ24,IF(A25&lt;'Données projet'!$A$62,$AF$205^A25,IF(A25='Données projet'!$A$62,'Données projet'!$B$62,AI24+AH25-AQ24)))</f>
        <v>129.9846154</v>
      </c>
      <c r="AJ25" s="13">
        <f>AI25*VLOOKUP('Données projet'!$B$10,Paramètres!$A$1:$I$89,3,0)*VLOOKUP('Données projet'!$B$10,Paramètres!$A$1:$I$89,5,0)</f>
        <v>77.73080000920001</v>
      </c>
      <c r="AK25" s="13">
        <f t="shared" si="35"/>
        <v>21.581427178858689</v>
      </c>
      <c r="AL25" s="20">
        <f t="shared" si="4"/>
        <v>172.96879568586891</v>
      </c>
      <c r="AM25" s="59">
        <f t="shared" si="5"/>
        <v>394.14970958933731</v>
      </c>
      <c r="AN25" s="59">
        <f ca="1">AVERAGE(OFFSET($AM$3,0,0,'Données projet'!$E$10+1,1))-AVERAGE(OFFSET($H$3,0,0,'Données projet'!$E$10+1,1))</f>
        <v>310.96303212465733</v>
      </c>
      <c r="AO25" s="59">
        <f t="shared" si="36"/>
        <v>248.17359812749166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52.746153849999999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0.25200000000000006</v>
      </c>
      <c r="AT25" s="16">
        <f>IF(ISNA(VLOOKUP(A25,'Données projet'!$A$61:$I$81,7,0)),0%,VLOOKUP(A25,'Données projet'!$A$61:$I$81,7,0))</f>
        <v>0.44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10.502858639589817</v>
      </c>
      <c r="AW25" s="21">
        <f>EXP(-LN(2)/2)*AW24+(1-EXP(-LN(2)/2))/(LN(2)/2)*AQ25*AT25*VLOOKUP('Données projet'!$B$10,Paramètres!$A$1:$I$89,3,0)*0.475*44/12</f>
        <v>15.713762934163107</v>
      </c>
      <c r="AX25" s="21">
        <f t="shared" si="6"/>
        <v>26.216621573752924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19.071794870000005</v>
      </c>
      <c r="N26" s="13">
        <f>IF('Données projet'!$A$36&gt;35,N25+M26-V25,IF(A26&lt;'Données projet'!$A$36,$K$205^A26,IF(A26='Données projet'!$A$36,'Données projet'!$B$36,N25+M26-V25)))</f>
        <v>192.19999999000009</v>
      </c>
      <c r="O26" s="13">
        <f>N26*VLOOKUP('Données projet'!$B$9,Paramètres!$A$1:$I$89,3,0)*VLOOKUP('Données projet'!$B$9,Paramètres!$A$1:$I$89,5,0)</f>
        <v>114.93559999402007</v>
      </c>
      <c r="P26" s="13">
        <f t="shared" si="33"/>
        <v>30.49086327484099</v>
      </c>
      <c r="Q26" s="20">
        <f t="shared" si="2"/>
        <v>253.28442352659965</v>
      </c>
      <c r="R26" s="59">
        <f t="shared" si="0"/>
        <v>476.76962023614612</v>
      </c>
      <c r="S26" s="59">
        <f ca="1">AVERAGE(OFFSET($R$3,0,0,'Données projet'!$E$9+1,1))-AVERAGE(OFFSET($H$3,0,0,'Données projet'!$E$9+1,1))</f>
        <v>337.99164391065369</v>
      </c>
      <c r="T26" s="59">
        <f t="shared" si="34"/>
        <v>421.45428232119559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16.868587843304326</v>
      </c>
      <c r="AB26" s="21">
        <f>EXP(-LN(2)/2)*AB25+(1-EXP(-LN(2)/2))/(LN(2)/2)*V26*Y26*VLOOKUP('Données projet'!$B$9,Paramètres!$A$1:$I$89,3,0)*0.475*44/12</f>
        <v>6.0588786026010411</v>
      </c>
      <c r="AC26" s="22">
        <f t="shared" si="3"/>
        <v>22.927466445905367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12.69538461</v>
      </c>
      <c r="AI26" s="13">
        <f>IF('Données projet'!$A$62&gt;35,AI25+AH26-AQ25,IF(A26&lt;'Données projet'!$A$62,$AF$205^A26,IF(A26='Données projet'!$A$62,'Données projet'!$B$62,AI25+AH26-AQ25)))</f>
        <v>89.933846159999987</v>
      </c>
      <c r="AJ26" s="13">
        <f>AI26*VLOOKUP('Données projet'!$B$10,Paramètres!$A$1:$I$89,3,0)*VLOOKUP('Données projet'!$B$10,Paramètres!$A$1:$I$89,5,0)</f>
        <v>53.780440003679999</v>
      </c>
      <c r="AK26" s="13">
        <f t="shared" si="35"/>
        <v>15.585894833012437</v>
      </c>
      <c r="AL26" s="20">
        <f t="shared" si="4"/>
        <v>120.81303317390598</v>
      </c>
      <c r="AM26" s="59">
        <f t="shared" si="5"/>
        <v>344.29822988345245</v>
      </c>
      <c r="AN26" s="59">
        <f ca="1">AVERAGE(OFFSET($AM$3,0,0,'Données projet'!$E$10+1,1))-AVERAGE(OFFSET($H$3,0,0,'Données projet'!$E$10+1,1))</f>
        <v>310.96303212465733</v>
      </c>
      <c r="AO26" s="59">
        <f t="shared" si="36"/>
        <v>248.17359812749166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10.215657417768902</v>
      </c>
      <c r="AW26" s="21">
        <f>EXP(-LN(2)/2)*AW25+(1-EXP(-LN(2)/2))/(LN(2)/2)*AQ26*AT26*VLOOKUP('Données projet'!$B$10,Paramètres!$A$1:$I$89,3,0)*0.475*44/12</f>
        <v>11.111308328704554</v>
      </c>
      <c r="AX26" s="21">
        <f t="shared" si="6"/>
        <v>21.326965746473455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19.071794870000005</v>
      </c>
      <c r="N27" s="13">
        <f>IF('Données projet'!$A$36&gt;35,N26+M27-V26,IF(A27&lt;'Données projet'!$A$36,$K$205^A27,IF(A27='Données projet'!$A$36,'Données projet'!$B$36,N26+M27-V26)))</f>
        <v>211.27179486000011</v>
      </c>
      <c r="O27" s="13">
        <f>N27*VLOOKUP('Données projet'!$B$9,Paramètres!$A$1:$I$89,3,0)*VLOOKUP('Données projet'!$B$9,Paramètres!$A$1:$I$89,5,0)</f>
        <v>126.34053332628008</v>
      </c>
      <c r="P27" s="13">
        <f t="shared" si="33"/>
        <v>33.149363944897338</v>
      </c>
      <c r="Q27" s="20">
        <f t="shared" si="2"/>
        <v>277.77823774730069</v>
      </c>
      <c r="R27" s="59">
        <f t="shared" si="0"/>
        <v>503.54894593092047</v>
      </c>
      <c r="S27" s="59">
        <f ca="1">AVERAGE(OFFSET($R$3,0,0,'Données projet'!$E$9+1,1))-AVERAGE(OFFSET($H$3,0,0,'Données projet'!$E$9+1,1))</f>
        <v>337.99164391065369</v>
      </c>
      <c r="T27" s="59">
        <f t="shared" si="34"/>
        <v>421.45428232119559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16.407315421648686</v>
      </c>
      <c r="AB27" s="21">
        <f>EXP(-LN(2)/2)*AB26+(1-EXP(-LN(2)/2))/(LN(2)/2)*V27*Y27*VLOOKUP('Données projet'!$B$9,Paramètres!$A$1:$I$89,3,0)*0.475*44/12</f>
        <v>4.2842741462852691</v>
      </c>
      <c r="AC27" s="22">
        <f t="shared" si="3"/>
        <v>20.691589567933956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12.69538461</v>
      </c>
      <c r="AI27" s="13">
        <f>IF('Données projet'!$A$62&gt;35,AI26+AH27-AQ26,IF(A27&lt;'Données projet'!$A$62,$AF$205^A27,IF(A27='Données projet'!$A$62,'Données projet'!$B$62,AI26+AH27-AQ26)))</f>
        <v>102.62923076999999</v>
      </c>
      <c r="AJ27" s="13">
        <f>AI27*VLOOKUP('Données projet'!$B$10,Paramètres!$A$1:$I$89,3,0)*VLOOKUP('Données projet'!$B$10,Paramètres!$A$1:$I$89,5,0)</f>
        <v>61.372280000460002</v>
      </c>
      <c r="AK27" s="13">
        <f t="shared" si="35"/>
        <v>17.514766499351449</v>
      </c>
      <c r="AL27" s="20">
        <f t="shared" si="4"/>
        <v>137.39493932050493</v>
      </c>
      <c r="AM27" s="59">
        <f t="shared" si="5"/>
        <v>363.16564750412476</v>
      </c>
      <c r="AN27" s="59">
        <f ca="1">AVERAGE(OFFSET($AM$3,0,0,'Données projet'!$E$10+1,1))-AVERAGE(OFFSET($H$3,0,0,'Données projet'!$E$10+1,1))</f>
        <v>310.96303212465733</v>
      </c>
      <c r="AO27" s="59">
        <f t="shared" si="36"/>
        <v>248.17359812749166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9.9363097284619357</v>
      </c>
      <c r="AW27" s="21">
        <f>EXP(-LN(2)/2)*AW26+(1-EXP(-LN(2)/2))/(LN(2)/2)*AQ27*AT27*VLOOKUP('Données projet'!$B$10,Paramètres!$A$1:$I$89,3,0)*0.475*44/12</f>
        <v>7.8568814670815552</v>
      </c>
      <c r="AX27" s="21">
        <f t="shared" si="6"/>
        <v>17.793191195543493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19.071794870000005</v>
      </c>
      <c r="N28" s="13">
        <f>IF('Données projet'!$A$36&gt;35,N27+M28-V27,IF(A28&lt;'Données projet'!$A$36,$K$205^A28,IF(A28='Données projet'!$A$36,'Données projet'!$B$36,N27+M28-V27)))</f>
        <v>230.34358973000013</v>
      </c>
      <c r="O28" s="13">
        <f>N28*VLOOKUP('Données projet'!$B$9,Paramètres!$A$1:$I$89,3,0)*VLOOKUP('Données projet'!$B$9,Paramètres!$A$1:$I$89,5,0)</f>
        <v>137.7454666585401</v>
      </c>
      <c r="P28" s="13">
        <f t="shared" si="33"/>
        <v>35.780036571390568</v>
      </c>
      <c r="Q28" s="20">
        <f t="shared" si="2"/>
        <v>302.22358479212926</v>
      </c>
      <c r="R28" s="59">
        <f t="shared" si="0"/>
        <v>530.26135875846137</v>
      </c>
      <c r="S28" s="59">
        <f ca="1">AVERAGE(OFFSET($R$3,0,0,'Données projet'!$E$9+1,1))-AVERAGE(OFFSET($H$3,0,0,'Données projet'!$E$9+1,1))</f>
        <v>337.99164391065369</v>
      </c>
      <c r="T28" s="59">
        <f t="shared" si="34"/>
        <v>421.45428232119559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15.958656518620485</v>
      </c>
      <c r="AB28" s="21">
        <f>EXP(-LN(2)/2)*AB27+(1-EXP(-LN(2)/2))/(LN(2)/2)*V28*Y28*VLOOKUP('Données projet'!$B$9,Paramètres!$A$1:$I$89,3,0)*0.475*44/12</f>
        <v>3.0294393013005205</v>
      </c>
      <c r="AC28" s="22">
        <f t="shared" si="3"/>
        <v>18.988095819921007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12.69538461</v>
      </c>
      <c r="AI28" s="13">
        <f>IF('Données projet'!$A$62&gt;35,AI27+AH28-AQ27,IF(A28&lt;'Données projet'!$A$62,$AF$205^A28,IF(A28='Données projet'!$A$62,'Données projet'!$B$62,AI27+AH28-AQ27)))</f>
        <v>115.32461538</v>
      </c>
      <c r="AJ28" s="13">
        <f>AI28*VLOOKUP('Données projet'!$B$10,Paramètres!$A$1:$I$89,3,0)*VLOOKUP('Données projet'!$B$10,Paramètres!$A$1:$I$89,5,0)</f>
        <v>68.964119997240005</v>
      </c>
      <c r="AK28" s="13">
        <f t="shared" si="35"/>
        <v>19.415989272630458</v>
      </c>
      <c r="AL28" s="20">
        <f t="shared" si="4"/>
        <v>153.92869031169104</v>
      </c>
      <c r="AM28" s="59">
        <f t="shared" si="5"/>
        <v>381.96646427802318</v>
      </c>
      <c r="AN28" s="59">
        <f ca="1">AVERAGE(OFFSET($AM$3,0,0,'Données projet'!$E$10+1,1))-AVERAGE(OFFSET($H$3,0,0,'Données projet'!$E$10+1,1))</f>
        <v>310.96303212465733</v>
      </c>
      <c r="AO28" s="59">
        <f t="shared" si="36"/>
        <v>248.17359812749166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9.664600816409326</v>
      </c>
      <c r="AW28" s="21">
        <f>EXP(-LN(2)/2)*AW27+(1-EXP(-LN(2)/2))/(LN(2)/2)*AQ28*AT28*VLOOKUP('Données projet'!$B$10,Paramètres!$A$1:$I$89,3,0)*0.475*44/12</f>
        <v>5.5556541643522781</v>
      </c>
      <c r="AX28" s="21">
        <f t="shared" si="6"/>
        <v>15.220254980761604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249.41538460000001</v>
      </c>
      <c r="L29" s="12">
        <f>VLOOKUP(A29,'Données projet'!$A$35:$I$55,9,0)</f>
        <v>19.071794870000005</v>
      </c>
      <c r="M29" s="12">
        <f t="array" ref="M29">INDEX(L:L,MIN(IF(ISNUMBER(L29:L225),ROW(L29:L225),"")))</f>
        <v>19.071794870000005</v>
      </c>
      <c r="N29" s="13">
        <f>IF('Données projet'!$A$36&gt;35,N28+M29-V28,IF(A29&lt;'Données projet'!$A$36,$K$205^A29,IF(A29='Données projet'!$A$36,'Données projet'!$B$36,N28+M29-V28)))</f>
        <v>249.41538460000015</v>
      </c>
      <c r="O29" s="13">
        <f>N29*VLOOKUP('Données projet'!$B$9,Paramètres!$A$1:$I$89,3,0)*VLOOKUP('Données projet'!$B$9,Paramètres!$A$1:$I$89,5,0)</f>
        <v>149.15039999080011</v>
      </c>
      <c r="P29" s="13">
        <f t="shared" si="33"/>
        <v>38.385447189479386</v>
      </c>
      <c r="Q29" s="20">
        <f t="shared" si="2"/>
        <v>326.62493383898675</v>
      </c>
      <c r="R29" s="59">
        <f t="shared" si="0"/>
        <v>556.91164788817696</v>
      </c>
      <c r="S29" s="59">
        <f ca="1">AVERAGE(OFFSET($R$3,0,0,'Données projet'!$E$9+1,1))-AVERAGE(OFFSET($H$3,0,0,'Données projet'!$E$9+1,1))</f>
        <v>337.99164391065369</v>
      </c>
      <c r="T29" s="59">
        <f t="shared" si="34"/>
        <v>421.45428232119559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46.984615380000001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7.6500000000000012E-2</v>
      </c>
      <c r="Y29" s="16">
        <f>IF(ISNA(VLOOKUP(A29,'Données projet'!$A$35:$I$55,7,0)),0%,VLOOKUP(A29,'Données projet'!$A$35:$I$55,7,0))</f>
        <v>0.13</v>
      </c>
      <c r="Z29" s="21">
        <f>EXP(-LN(2)/35)*Z28+(1-EXP(-LN(2)/35))/(LN(2)/35)*V29*W29*VLOOKUP('Données projet'!$B$9,Paramètres!$A$1:$I$89,3,0)*0.475*44/12</f>
        <v>11.740748099198692</v>
      </c>
      <c r="AA29" s="21">
        <f>EXP(-LN(2)/25)*AA28+(1-EXP(-LN(2)/25))/(LN(2)/25)*Calculateur!V29*Calculateur!X29*VLOOKUP('Données projet'!$B$9,Paramètres!$A$1:$I$89,3,0)*0.475*44/12</f>
        <v>18.362364004118948</v>
      </c>
      <c r="AB29" s="21">
        <f>EXP(-LN(2)/2)*AB28+(1-EXP(-LN(2)/2))/(LN(2)/2)*V29*Y29*VLOOKUP('Données projet'!$B$9,Paramètres!$A$1:$I$89,3,0)*0.475*44/12</f>
        <v>6.277710646964799</v>
      </c>
      <c r="AC29" s="22">
        <f t="shared" si="3"/>
        <v>36.380822750282441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12.69538461</v>
      </c>
      <c r="AI29" s="13">
        <f>IF('Données projet'!$A$62&gt;35,AI28+AH29-AQ28,IF(A29&lt;'Données projet'!$A$62,$AF$205^A29,IF(A29='Données projet'!$A$62,'Données projet'!$B$62,AI28+AH29-AQ28)))</f>
        <v>128.01999999</v>
      </c>
      <c r="AJ29" s="13">
        <f>AI29*VLOOKUP('Données projet'!$B$10,Paramètres!$A$1:$I$89,3,0)*VLOOKUP('Données projet'!$B$10,Paramètres!$A$1:$I$89,5,0)</f>
        <v>76.555959994020014</v>
      </c>
      <c r="AK29" s="13">
        <f t="shared" si="35"/>
        <v>21.292953971466602</v>
      </c>
      <c r="AL29" s="20">
        <f t="shared" si="4"/>
        <v>170.42019182322252</v>
      </c>
      <c r="AM29" s="59">
        <f t="shared" si="5"/>
        <v>400.70690587241268</v>
      </c>
      <c r="AN29" s="59">
        <f ca="1">AVERAGE(OFFSET($AM$3,0,0,'Données projet'!$E$10+1,1))-AVERAGE(OFFSET($H$3,0,0,'Données projet'!$E$10+1,1))</f>
        <v>310.96303212465733</v>
      </c>
      <c r="AO29" s="59">
        <f t="shared" si="36"/>
        <v>248.17359812749166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9.4003217988453454</v>
      </c>
      <c r="AW29" s="21">
        <f>EXP(-LN(2)/2)*AW28+(1-EXP(-LN(2)/2))/(LN(2)/2)*AQ29*AT29*VLOOKUP('Données projet'!$B$10,Paramètres!$A$1:$I$89,3,0)*0.475*44/12</f>
        <v>3.9284407335407781</v>
      </c>
      <c r="AX29" s="21">
        <f t="shared" si="6"/>
        <v>13.328762532386124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19.393589746666663</v>
      </c>
      <c r="N30" s="13">
        <f>IF('Données projet'!$A$36&gt;35,N29+M30-V29,IF(A30&lt;'Données projet'!$A$36,$K$205^A30,IF(A30='Données projet'!$A$36,'Données projet'!$B$36,N29+M30-V29)))</f>
        <v>221.82435896666678</v>
      </c>
      <c r="O30" s="13">
        <f>N30*VLOOKUP('Données projet'!$B$9,Paramètres!$A$1:$I$89,3,0)*VLOOKUP('Données projet'!$B$9,Paramètres!$A$1:$I$89,5,0)</f>
        <v>132.65096666206674</v>
      </c>
      <c r="P30" s="13">
        <f t="shared" si="33"/>
        <v>34.608198354222651</v>
      </c>
      <c r="Q30" s="20">
        <f t="shared" si="2"/>
        <v>291.30971240337067</v>
      </c>
      <c r="R30" s="59">
        <f t="shared" si="0"/>
        <v>523.82755527593417</v>
      </c>
      <c r="S30" s="59">
        <f ca="1">AVERAGE(OFFSET($R$3,0,0,'Données projet'!$E$9+1,1))-AVERAGE(OFFSET($H$3,0,0,'Données projet'!$E$9+1,1))</f>
        <v>337.99164391065369</v>
      </c>
      <c r="T30" s="59">
        <f t="shared" si="34"/>
        <v>421.45428232119559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11.510519190122642</v>
      </c>
      <c r="AA30" s="21">
        <f>EXP(-LN(2)/25)*AA29+(1-EXP(-LN(2)/25))/(LN(2)/25)*Calculateur!V30*Calculateur!X30*VLOOKUP('Données projet'!$B$9,Paramètres!$A$1:$I$89,3,0)*0.475*44/12</f>
        <v>17.860244194791559</v>
      </c>
      <c r="AB30" s="21">
        <f>EXP(-LN(2)/2)*AB29+(1-EXP(-LN(2)/2))/(LN(2)/2)*V30*Y30*VLOOKUP('Données projet'!$B$9,Paramètres!$A$1:$I$89,3,0)*0.475*44/12</f>
        <v>4.4390117687957984</v>
      </c>
      <c r="AC30" s="22">
        <f t="shared" si="3"/>
        <v>33.80977515371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140.71538459999999</v>
      </c>
      <c r="AG30" s="12">
        <f>VLOOKUP(A30,'Données projet'!$A$61:$I$81,9,0)</f>
        <v>12.69538461</v>
      </c>
      <c r="AH30" s="12">
        <f t="array" ref="AH30">INDEX(AG:AG,MIN(IF(ISNUMBER(AG30:AG226),ROW(AG30:AG226),"")))</f>
        <v>12.69538461</v>
      </c>
      <c r="AI30" s="13">
        <f>IF('Données projet'!$A$62&gt;35,AI29+AH30-AQ29,IF(A30&lt;'Données projet'!$A$62,$AF$205^A30,IF(A30='Données projet'!$A$62,'Données projet'!$B$62,AI29+AH30-AQ29)))</f>
        <v>140.71538459999999</v>
      </c>
      <c r="AJ30" s="13">
        <f>AI30*VLOOKUP('Données projet'!$B$10,Paramètres!$A$1:$I$89,3,0)*VLOOKUP('Données projet'!$B$10,Paramètres!$A$1:$I$89,5,0)</f>
        <v>84.147799990799996</v>
      </c>
      <c r="AK30" s="13">
        <f t="shared" si="35"/>
        <v>23.148340016777635</v>
      </c>
      <c r="AL30" s="20">
        <f t="shared" si="4"/>
        <v>186.87411051319771</v>
      </c>
      <c r="AM30" s="59">
        <f t="shared" si="5"/>
        <v>419.39195338576121</v>
      </c>
      <c r="AN30" s="59">
        <f ca="1">AVERAGE(OFFSET($AM$3,0,0,'Données projet'!$E$10+1,1))-AVERAGE(OFFSET($H$3,0,0,'Données projet'!$E$10+1,1))</f>
        <v>310.96303212465733</v>
      </c>
      <c r="AO30" s="59">
        <f t="shared" si="36"/>
        <v>248.17359812749166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34.646153849999997</v>
      </c>
      <c r="AR30" s="16">
        <f>IF(ISNA(VLOOKUP(A30,'Données projet'!$A$61:$I$81,5,0)),0%,VLOOKUP(A30,'Données projet'!$A$61:$I$81,5,0)*VLOOKUP('Données projet'!$B$10,Paramètres!$A$1:$I$89,7,0))</f>
        <v>0.315</v>
      </c>
      <c r="AS30" s="16">
        <f>IF(ISNA(VLOOKUP(A30,'Données projet'!$A$61:$I$81,6,0)),0%,VLOOKUP(A30,'Données projet'!$A$61:$I$81,6,0)*VLOOKUP('Données projet'!$B$10,Paramètres!$A$1:$I$89,7,0))</f>
        <v>7.6500000000000012E-2</v>
      </c>
      <c r="AT30" s="16">
        <f>IF(ISNA(VLOOKUP(A30,'Données projet'!$A$61:$I$81,7,0)),0%,VLOOKUP(A30,'Données projet'!$A$61:$I$81,7,0))</f>
        <v>0.13</v>
      </c>
      <c r="AU30" s="21">
        <f>EXP(-LN(2)/35)*AU29+(1-EXP(-LN(2)/35))/(LN(2)/35)*AQ30*AR30*VLOOKUP('Données projet'!$B$10,Paramètres!$A$1:$I$89,3,0)*0.475*44/12</f>
        <v>8.6575523002383434</v>
      </c>
      <c r="AV30" s="21">
        <f>EXP(-LN(2)/25)*AV29+(1-EXP(-LN(2)/25))/(LN(2)/25)*Calculateur!AQ30*Calculateur!AS30*VLOOKUP('Données projet'!$B$10,Paramètres!$A$1:$I$89,3,0)*0.475*44/12</f>
        <v>11.237539386440002</v>
      </c>
      <c r="AW30" s="21">
        <f>EXP(-LN(2)/2)*AW29+(1-EXP(-LN(2)/2))/(LN(2)/2)*AQ30*AT30*VLOOKUP('Données projet'!$B$10,Paramètres!$A$1:$I$89,3,0)*0.475*44/12</f>
        <v>5.8273724948140799</v>
      </c>
      <c r="AX30" s="21">
        <f t="shared" si="6"/>
        <v>25.722464181492427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19.393589746666663</v>
      </c>
      <c r="N31" s="13">
        <f>IF('Données projet'!$A$36&gt;35,N30+M31-V30,IF(A31&lt;'Données projet'!$A$36,$K$205^A31,IF(A31='Données projet'!$A$36,'Données projet'!$B$36,N30+M31-V30)))</f>
        <v>241.21794871333344</v>
      </c>
      <c r="O31" s="13">
        <f>N31*VLOOKUP('Données projet'!$B$9,Paramètres!$A$1:$I$89,3,0)*VLOOKUP('Données projet'!$B$9,Paramètres!$A$1:$I$89,5,0)</f>
        <v>144.24833333057342</v>
      </c>
      <c r="P31" s="13">
        <f t="shared" si="33"/>
        <v>37.268539287115111</v>
      </c>
      <c r="Q31" s="20">
        <f t="shared" si="2"/>
        <v>316.1418864758075</v>
      </c>
      <c r="R31" s="59">
        <f t="shared" si="0"/>
        <v>550.87335589779161</v>
      </c>
      <c r="S31" s="59">
        <f ca="1">AVERAGE(OFFSET($R$3,0,0,'Données projet'!$E$9+1,1))-AVERAGE(OFFSET($H$3,0,0,'Données projet'!$E$9+1,1))</f>
        <v>337.99164391065369</v>
      </c>
      <c r="T31" s="59">
        <f t="shared" si="34"/>
        <v>421.45428232119559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11.284804929527803</v>
      </c>
      <c r="AA31" s="21">
        <f>EXP(-LN(2)/25)*AA30+(1-EXP(-LN(2)/25))/(LN(2)/25)*Calculateur!V31*Calculateur!X31*VLOOKUP('Données projet'!$B$9,Paramètres!$A$1:$I$89,3,0)*0.475*44/12</f>
        <v>17.371854878055561</v>
      </c>
      <c r="AB31" s="21">
        <f>EXP(-LN(2)/2)*AB30+(1-EXP(-LN(2)/2))/(LN(2)/2)*V31*Y31*VLOOKUP('Données projet'!$B$9,Paramètres!$A$1:$I$89,3,0)*0.475*44/12</f>
        <v>3.1388553234823999</v>
      </c>
      <c r="AC31" s="22">
        <f t="shared" si="3"/>
        <v>31.795515131065766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12.971794875000001</v>
      </c>
      <c r="AI31" s="13">
        <f>IF('Données projet'!$A$62&gt;35,AI30+AH31-AQ30,IF(A31&lt;'Données projet'!$A$62,$AF$205^A31,IF(A31='Données projet'!$A$62,'Données projet'!$B$62,AI30+AH31-AQ30)))</f>
        <v>119.041025625</v>
      </c>
      <c r="AJ31" s="13">
        <f>AI31*VLOOKUP('Données projet'!$B$10,Paramètres!$A$1:$I$89,3,0)*VLOOKUP('Données projet'!$B$10,Paramètres!$A$1:$I$89,5,0)</f>
        <v>71.186533323750012</v>
      </c>
      <c r="AK31" s="13">
        <f t="shared" si="35"/>
        <v>19.967826746302769</v>
      </c>
      <c r="AL31" s="20">
        <f t="shared" si="4"/>
        <v>158.76051045534192</v>
      </c>
      <c r="AM31" s="59">
        <f t="shared" si="5"/>
        <v>393.491979877326</v>
      </c>
      <c r="AN31" s="59">
        <f ca="1">AVERAGE(OFFSET($AM$3,0,0,'Données projet'!$E$10+1,1))-AVERAGE(OFFSET($H$3,0,0,'Données projet'!$E$10+1,1))</f>
        <v>310.96303212465733</v>
      </c>
      <c r="AO31" s="59">
        <f t="shared" si="36"/>
        <v>248.17359812749166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8.4877829802161582</v>
      </c>
      <c r="AV31" s="21">
        <f>EXP(-LN(2)/25)*AV30+(1-EXP(-LN(2)/25))/(LN(2)/25)*Calculateur!AQ31*Calculateur!AS31*VLOOKUP('Données projet'!$B$10,Paramètres!$A$1:$I$89,3,0)*0.475*44/12</f>
        <v>10.930248280961287</v>
      </c>
      <c r="AW31" s="21">
        <f>EXP(-LN(2)/2)*AW30+(1-EXP(-LN(2)/2))/(LN(2)/2)*AQ31*AT31*VLOOKUP('Données projet'!$B$10,Paramètres!$A$1:$I$89,3,0)*0.475*44/12</f>
        <v>4.1205746075830056</v>
      </c>
      <c r="AX31" s="21">
        <f t="shared" si="6"/>
        <v>23.538605868760452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19.393589746666663</v>
      </c>
      <c r="N32" s="13">
        <f>IF('Données projet'!$A$36&gt;35,N31+M32-V31,IF(A32&lt;'Données projet'!$A$36,$K$205^A32,IF(A32='Données projet'!$A$36,'Données projet'!$B$36,N31+M32-V31)))</f>
        <v>260.61153846000013</v>
      </c>
      <c r="O32" s="13">
        <f>N32*VLOOKUP('Données projet'!$B$9,Paramètres!$A$1:$I$89,3,0)*VLOOKUP('Données projet'!$B$9,Paramètres!$A$1:$I$89,5,0)</f>
        <v>155.8456999990801</v>
      </c>
      <c r="P32" s="13">
        <f t="shared" si="33"/>
        <v>39.904071626487202</v>
      </c>
      <c r="Q32" s="20">
        <f t="shared" si="2"/>
        <v>340.93085224786302</v>
      </c>
      <c r="R32" s="59">
        <f t="shared" si="0"/>
        <v>577.85874957063879</v>
      </c>
      <c r="S32" s="59">
        <f ca="1">AVERAGE(OFFSET($R$3,0,0,'Données projet'!$E$9+1,1))-AVERAGE(OFFSET($H$3,0,0,'Données projet'!$E$9+1,1))</f>
        <v>337.99164391065369</v>
      </c>
      <c r="T32" s="59">
        <f t="shared" si="34"/>
        <v>421.45428232119559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11.063516787911125</v>
      </c>
      <c r="AA32" s="21">
        <f>EXP(-LN(2)/25)*AA31+(1-EXP(-LN(2)/25))/(LN(2)/25)*Calculateur!V32*Calculateur!X32*VLOOKUP('Données projet'!$B$9,Paramètres!$A$1:$I$89,3,0)*0.475*44/12</f>
        <v>16.896820592868988</v>
      </c>
      <c r="AB32" s="21">
        <f>EXP(-LN(2)/2)*AB31+(1-EXP(-LN(2)/2))/(LN(2)/2)*V32*Y32*VLOOKUP('Données projet'!$B$9,Paramètres!$A$1:$I$89,3,0)*0.475*44/12</f>
        <v>2.2195058843978992</v>
      </c>
      <c r="AC32" s="22">
        <f t="shared" si="3"/>
        <v>30.179843265178011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12.971794875000001</v>
      </c>
      <c r="AI32" s="13">
        <f>IF('Données projet'!$A$62&gt;35,AI31+AH32-AQ31,IF(A32&lt;'Données projet'!$A$62,$AF$205^A32,IF(A32='Données projet'!$A$62,'Données projet'!$B$62,AI31+AH32-AQ31)))</f>
        <v>132.0128205</v>
      </c>
      <c r="AJ32" s="13">
        <f>AI32*VLOOKUP('Données projet'!$B$10,Paramètres!$A$1:$I$89,3,0)*VLOOKUP('Données projet'!$B$10,Paramètres!$A$1:$I$89,5,0)</f>
        <v>78.943666659000002</v>
      </c>
      <c r="AK32" s="13">
        <f t="shared" si="35"/>
        <v>21.878705670179841</v>
      </c>
      <c r="AL32" s="20">
        <f t="shared" si="4"/>
        <v>175.5989651399882</v>
      </c>
      <c r="AM32" s="59">
        <f t="shared" si="5"/>
        <v>412.52686246276403</v>
      </c>
      <c r="AN32" s="59">
        <f ca="1">AVERAGE(OFFSET($AM$3,0,0,'Données projet'!$E$10+1,1))-AVERAGE(OFFSET($H$3,0,0,'Données projet'!$E$10+1,1))</f>
        <v>310.96303212465733</v>
      </c>
      <c r="AO32" s="59">
        <f t="shared" si="36"/>
        <v>248.17359812749166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8.3213427330105478</v>
      </c>
      <c r="AV32" s="21">
        <f>EXP(-LN(2)/25)*AV31+(1-EXP(-LN(2)/25))/(LN(2)/25)*Calculateur!AQ32*Calculateur!AS32*VLOOKUP('Données projet'!$B$10,Paramètres!$A$1:$I$89,3,0)*0.475*44/12</f>
        <v>10.631360066921625</v>
      </c>
      <c r="AW32" s="21">
        <f>EXP(-LN(2)/2)*AW31+(1-EXP(-LN(2)/2))/(LN(2)/2)*AQ32*AT32*VLOOKUP('Données projet'!$B$10,Paramètres!$A$1:$I$89,3,0)*0.475*44/12</f>
        <v>2.9136862474070404</v>
      </c>
      <c r="AX32" s="21">
        <f t="shared" si="6"/>
        <v>21.866389047339212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19.393589746666663</v>
      </c>
      <c r="N33" s="13">
        <f>IF('Données projet'!$A$36&gt;35,N32+M33-V32,IF(A33&lt;'Données projet'!$A$36,$K$205^A33,IF(A33='Données projet'!$A$36,'Données projet'!$B$36,N32+M33-V32)))</f>
        <v>280.00512820666677</v>
      </c>
      <c r="O33" s="13">
        <f>N33*VLOOKUP('Données projet'!$B$9,Paramètres!$A$1:$I$89,3,0)*VLOOKUP('Données projet'!$B$9,Paramètres!$A$1:$I$89,5,0)</f>
        <v>167.44306666758672</v>
      </c>
      <c r="P33" s="13">
        <f t="shared" si="33"/>
        <v>42.516851450013526</v>
      </c>
      <c r="Q33" s="20">
        <f t="shared" si="2"/>
        <v>365.68019072148701</v>
      </c>
      <c r="R33" s="59">
        <f t="shared" si="0"/>
        <v>604.78761565452896</v>
      </c>
      <c r="S33" s="59">
        <f ca="1">AVERAGE(OFFSET($R$3,0,0,'Données projet'!$E$9+1,1))-AVERAGE(OFFSET($H$3,0,0,'Données projet'!$E$9+1,1))</f>
        <v>337.99164391065369</v>
      </c>
      <c r="T33" s="59">
        <f t="shared" si="34"/>
        <v>421.45428232119559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10.846567971779111</v>
      </c>
      <c r="AA33" s="21">
        <f>EXP(-LN(2)/25)*AA32+(1-EXP(-LN(2)/25))/(LN(2)/25)*Calculateur!V33*Calculateur!X33*VLOOKUP('Données projet'!$B$9,Paramètres!$A$1:$I$89,3,0)*0.475*44/12</f>
        <v>16.434776145191808</v>
      </c>
      <c r="AB33" s="21">
        <f>EXP(-LN(2)/2)*AB32+(1-EXP(-LN(2)/2))/(LN(2)/2)*V33*Y33*VLOOKUP('Données projet'!$B$9,Paramètres!$A$1:$I$89,3,0)*0.475*44/12</f>
        <v>1.5694276617412</v>
      </c>
      <c r="AC33" s="22">
        <f t="shared" si="3"/>
        <v>28.850771778712122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12.971794875000001</v>
      </c>
      <c r="AI33" s="13">
        <f>IF('Données projet'!$A$62&gt;35,AI32+AH33-AQ32,IF(A33&lt;'Données projet'!$A$62,$AF$205^A33,IF(A33='Données projet'!$A$62,'Données projet'!$B$62,AI32+AH33-AQ32)))</f>
        <v>144.984615375</v>
      </c>
      <c r="AJ33" s="13">
        <f>AI33*VLOOKUP('Données projet'!$B$10,Paramètres!$A$1:$I$89,3,0)*VLOOKUP('Données projet'!$B$10,Paramètres!$A$1:$I$89,5,0)</f>
        <v>86.700799994250019</v>
      </c>
      <c r="AK33" s="13">
        <f t="shared" si="35"/>
        <v>23.767816193950765</v>
      </c>
      <c r="AL33" s="20">
        <f t="shared" si="4"/>
        <v>192.39950652778302</v>
      </c>
      <c r="AM33" s="59">
        <f t="shared" si="5"/>
        <v>431.506931460825</v>
      </c>
      <c r="AN33" s="59">
        <f ca="1">AVERAGE(OFFSET($AM$3,0,0,'Données projet'!$E$10+1,1))-AVERAGE(OFFSET($H$3,0,0,'Données projet'!$E$10+1,1))</f>
        <v>310.96303212465733</v>
      </c>
      <c r="AO33" s="59">
        <f t="shared" si="36"/>
        <v>248.17359812749166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8.1581662775341126</v>
      </c>
      <c r="AV33" s="21">
        <f>EXP(-LN(2)/25)*AV32+(1-EXP(-LN(2)/25))/(LN(2)/25)*Calculateur!AQ33*Calculateur!AS33*VLOOKUP('Données projet'!$B$10,Paramètres!$A$1:$I$89,3,0)*0.475*44/12</f>
        <v>10.340644966812725</v>
      </c>
      <c r="AW33" s="21">
        <f>EXP(-LN(2)/2)*AW32+(1-EXP(-LN(2)/2))/(LN(2)/2)*AQ33*AT33*VLOOKUP('Données projet'!$B$10,Paramètres!$A$1:$I$89,3,0)*0.475*44/12</f>
        <v>2.0602873037915028</v>
      </c>
      <c r="AX33" s="21">
        <f t="shared" si="6"/>
        <v>20.559098548138344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19.393589746666663</v>
      </c>
      <c r="N34" s="13">
        <f>IF('Données projet'!$A$36&gt;35,N33+M34-V33,IF(A34&lt;'Données projet'!$A$36,$K$205^A34,IF(A34='Données projet'!$A$36,'Données projet'!$B$36,N33+M34-V33)))</f>
        <v>299.3987179533334</v>
      </c>
      <c r="O34" s="13">
        <f>N34*VLOOKUP('Données projet'!$B$9,Paramètres!$A$1:$I$89,3,0)*VLOOKUP('Données projet'!$B$9,Paramètres!$A$1:$I$89,5,0)</f>
        <v>179.04043333609337</v>
      </c>
      <c r="P34" s="13">
        <f t="shared" si="33"/>
        <v>45.108633894926946</v>
      </c>
      <c r="Q34" s="20">
        <f t="shared" si="2"/>
        <v>390.39295876069372</v>
      </c>
      <c r="R34" s="59">
        <f t="shared" si="0"/>
        <v>630.44108197351125</v>
      </c>
      <c r="S34" s="59">
        <f ca="1">AVERAGE(OFFSET($R$3,0,0,'Données projet'!$E$9+1,1))-AVERAGE(OFFSET($H$3,0,0,'Données projet'!$E$9+1,1))</f>
        <v>337.99164391065369</v>
      </c>
      <c r="T34" s="59">
        <f t="shared" si="34"/>
        <v>421.45428232119559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10.633873389605734</v>
      </c>
      <c r="AA34" s="21">
        <f>EXP(-LN(2)/25)*AA33+(1-EXP(-LN(2)/25))/(LN(2)/25)*Calculateur!V34*Calculateur!X34*VLOOKUP('Données projet'!$B$9,Paramètres!$A$1:$I$89,3,0)*0.475*44/12</f>
        <v>15.985366327234223</v>
      </c>
      <c r="AB34" s="21">
        <f>EXP(-LN(2)/2)*AB33+(1-EXP(-LN(2)/2))/(LN(2)/2)*V34*Y34*VLOOKUP('Données projet'!$B$9,Paramètres!$A$1:$I$89,3,0)*0.475*44/12</f>
        <v>1.1097529421989496</v>
      </c>
      <c r="AC34" s="22">
        <f t="shared" si="3"/>
        <v>27.728992659038905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12.971794875000001</v>
      </c>
      <c r="AI34" s="13">
        <f>IF('Données projet'!$A$62&gt;35,AI33+AH34-AQ33,IF(A34&lt;'Données projet'!$A$62,$AF$205^A34,IF(A34='Données projet'!$A$62,'Données projet'!$B$62,AI33+AH34-AQ33)))</f>
        <v>157.95641025</v>
      </c>
      <c r="AJ34" s="13">
        <f>AI34*VLOOKUP('Données projet'!$B$10,Paramètres!$A$1:$I$89,3,0)*VLOOKUP('Données projet'!$B$10,Paramètres!$A$1:$I$89,5,0)</f>
        <v>94.457933329500008</v>
      </c>
      <c r="AK34" s="13">
        <f t="shared" si="35"/>
        <v>25.637327416496603</v>
      </c>
      <c r="AL34" s="20">
        <f t="shared" si="4"/>
        <v>209.16591246594407</v>
      </c>
      <c r="AM34" s="59">
        <f t="shared" si="5"/>
        <v>449.21403567876166</v>
      </c>
      <c r="AN34" s="59">
        <f ca="1">AVERAGE(OFFSET($AM$3,0,0,'Données projet'!$E$10+1,1))-AVERAGE(OFFSET($H$3,0,0,'Données projet'!$E$10+1,1))</f>
        <v>310.96303212465733</v>
      </c>
      <c r="AO34" s="59">
        <f t="shared" si="36"/>
        <v>248.17359812749166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7.9981896128217596</v>
      </c>
      <c r="AV34" s="21">
        <f>EXP(-LN(2)/25)*AV33+(1-EXP(-LN(2)/25))/(LN(2)/25)*Calculateur!AQ34*Calculateur!AS34*VLOOKUP('Données projet'!$B$10,Paramètres!$A$1:$I$89,3,0)*0.475*44/12</f>
        <v>10.057879486404346</v>
      </c>
      <c r="AW34" s="21">
        <f>EXP(-LN(2)/2)*AW33+(1-EXP(-LN(2)/2))/(LN(2)/2)*AQ34*AT34*VLOOKUP('Données projet'!$B$10,Paramètres!$A$1:$I$89,3,0)*0.475*44/12</f>
        <v>1.4568431237035202</v>
      </c>
      <c r="AX34" s="21">
        <f t="shared" si="6"/>
        <v>19.512912222929629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318.79230769999998</v>
      </c>
      <c r="L35" s="12">
        <f>VLOOKUP(A35,'Données projet'!$A$35:$I$55,9,0)</f>
        <v>19.393589746666663</v>
      </c>
      <c r="M35" s="12">
        <f t="array" ref="M35">INDEX(L:L,MIN(IF(ISNUMBER(L35:L231),ROW(L35:L231),"")))</f>
        <v>19.393589746666663</v>
      </c>
      <c r="N35" s="13">
        <f>IF('Données projet'!$A$36&gt;35,N34+M35-V34,IF(A35&lt;'Données projet'!$A$36,$K$205^A35,IF(A35='Données projet'!$A$36,'Données projet'!$B$36,N34+M35-V34)))</f>
        <v>318.79230770000004</v>
      </c>
      <c r="O35" s="13">
        <f>N35*VLOOKUP('Données projet'!$B$9,Paramètres!$A$1:$I$89,3,0)*VLOOKUP('Données projet'!$B$9,Paramètres!$A$1:$I$89,5,0)</f>
        <v>190.63780000460002</v>
      </c>
      <c r="P35" s="13">
        <f t="shared" si="33"/>
        <v>47.680933862393204</v>
      </c>
      <c r="Q35" s="20">
        <f t="shared" ref="Q35:Q66" si="53">(O35+P35)*0.475*44/12</f>
        <v>415.07179481834652</v>
      </c>
      <c r="R35" s="59">
        <f t="shared" si="0"/>
        <v>656.04429729887181</v>
      </c>
      <c r="S35" s="59">
        <f ca="1">AVERAGE(OFFSET($R$3,0,0,'Données projet'!$E$9+1,1))-AVERAGE(OFFSET($H$3,0,0,'Données projet'!$E$9+1,1))</f>
        <v>337.99164391065369</v>
      </c>
      <c r="T35" s="59">
        <f t="shared" si="34"/>
        <v>421.45428232119559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64.523076919999994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7.6500000000000012E-2</v>
      </c>
      <c r="Y35" s="16">
        <f>IF(ISNA(VLOOKUP(A35,'Données projet'!$A$35:$I$55,7,0)),0%,VLOOKUP(A35,'Données projet'!$A$35:$I$55,7,0))</f>
        <v>0.13</v>
      </c>
      <c r="Z35" s="21">
        <f>EXP(-LN(2)/35)*Z34+(1-EXP(-LN(2)/35))/(LN(2)/35)*V35*W35*VLOOKUP('Données projet'!$B$9,Paramètres!$A$1:$I$89,3,0)*0.475*44/12</f>
        <v>26.548695240765738</v>
      </c>
      <c r="AA35" s="21">
        <f>EXP(-LN(2)/25)*AA34+(1-EXP(-LN(2)/25))/(LN(2)/25)*Calculateur!V35*Calculateur!X35*VLOOKUP('Données projet'!$B$9,Paramètres!$A$1:$I$89,3,0)*0.475*44/12</f>
        <v>19.448497812110418</v>
      </c>
      <c r="AB35" s="21">
        <f>EXP(-LN(2)/2)*AB34+(1-EXP(-LN(2)/2))/(LN(2)/2)*V35*Y35*VLOOKUP('Données projet'!$B$9,Paramètres!$A$1:$I$89,3,0)*0.475*44/12</f>
        <v>6.4640182085676638</v>
      </c>
      <c r="AC35" s="22">
        <f t="shared" si="3"/>
        <v>52.461211261443822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12.971794875000001</v>
      </c>
      <c r="AI35" s="13">
        <f>IF('Données projet'!$A$62&gt;35,AI34+AH35-AQ34,IF(A35&lt;'Données projet'!$A$62,$AF$205^A35,IF(A35='Données projet'!$A$62,'Données projet'!$B$62,AI34+AH35-AQ34)))</f>
        <v>170.92820512500001</v>
      </c>
      <c r="AJ35" s="13">
        <f>AI35*VLOOKUP('Données projet'!$B$10,Paramètres!$A$1:$I$89,3,0)*VLOOKUP('Données projet'!$B$10,Paramètres!$A$1:$I$89,5,0)</f>
        <v>102.21506666475001</v>
      </c>
      <c r="AK35" s="13">
        <f t="shared" si="35"/>
        <v>27.489031873049754</v>
      </c>
      <c r="AL35" s="20">
        <f t="shared" si="4"/>
        <v>225.9013049533346</v>
      </c>
      <c r="AM35" s="59">
        <f t="shared" si="5"/>
        <v>466.87380743385995</v>
      </c>
      <c r="AN35" s="59">
        <f ca="1">AVERAGE(OFFSET($AM$3,0,0,'Données projet'!$E$10+1,1))-AVERAGE(OFFSET($H$3,0,0,'Données projet'!$E$10+1,1))</f>
        <v>310.96303212465733</v>
      </c>
      <c r="AO35" s="59">
        <f t="shared" si="36"/>
        <v>248.17359812749166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7.8413499929282855</v>
      </c>
      <c r="AV35" s="21">
        <f>EXP(-LN(2)/25)*AV34+(1-EXP(-LN(2)/25))/(LN(2)/25)*Calculateur!AQ35*Calculateur!AS35*VLOOKUP('Données projet'!$B$10,Paramètres!$A$1:$I$89,3,0)*0.475*44/12</f>
        <v>9.7828462429277252</v>
      </c>
      <c r="AW35" s="21">
        <f>EXP(-LN(2)/2)*AW34+(1-EXP(-LN(2)/2))/(LN(2)/2)*AQ35*AT35*VLOOKUP('Données projet'!$B$10,Paramètres!$A$1:$I$89,3,0)*0.475*44/12</f>
        <v>1.0301436518957514</v>
      </c>
      <c r="AX35" s="21">
        <f t="shared" si="6"/>
        <v>18.654339887751764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18.055769227500001</v>
      </c>
      <c r="N36" s="13">
        <f>IF('Données projet'!$A$36&gt;35,N35+M36-V35,IF(A36&lt;'Données projet'!$A$36,$K$205^A36,IF(A36='Données projet'!$A$36,'Données projet'!$B$36,N35+M36-V35)))</f>
        <v>272.32500000750002</v>
      </c>
      <c r="O36" s="13">
        <f>N36*VLOOKUP('Données projet'!$B$9,Paramètres!$A$1:$I$89,3,0)*VLOOKUP('Données projet'!$B$9,Paramètres!$A$1:$I$89,5,0)</f>
        <v>162.85035000448502</v>
      </c>
      <c r="P36" s="13">
        <f t="shared" si="33"/>
        <v>41.484757611487311</v>
      </c>
      <c r="Q36" s="20">
        <f t="shared" si="53"/>
        <v>355.88364576448515</v>
      </c>
      <c r="R36" s="59">
        <f t="shared" si="0"/>
        <v>597.76449159902586</v>
      </c>
      <c r="S36" s="59">
        <f ca="1">AVERAGE(OFFSET($R$3,0,0,'Données projet'!$E$9+1,1))-AVERAGE(OFFSET($H$3,0,0,'Données projet'!$E$9+1,1))</f>
        <v>337.99164391065369</v>
      </c>
      <c r="T36" s="59">
        <f t="shared" si="34"/>
        <v>421.45428232119559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26.028091520199482</v>
      </c>
      <c r="AA36" s="21">
        <f>EXP(-LN(2)/25)*AA35+(1-EXP(-LN(2)/25))/(LN(2)/25)*Calculateur!V36*Calculateur!X36*VLOOKUP('Données projet'!$B$9,Paramètres!$A$1:$I$89,3,0)*0.475*44/12</f>
        <v>18.916677616686208</v>
      </c>
      <c r="AB36" s="21">
        <f>EXP(-LN(2)/2)*AB35+(1-EXP(-LN(2)/2))/(LN(2)/2)*V36*Y36*VLOOKUP('Données projet'!$B$9,Paramètres!$A$1:$I$89,3,0)*0.475*44/12</f>
        <v>4.570751108991514</v>
      </c>
      <c r="AC36" s="22">
        <f t="shared" si="3"/>
        <v>49.515520245877205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183.9</v>
      </c>
      <c r="AG36" s="12">
        <f>VLOOKUP(A36,'Données projet'!$A$61:$I$81,9,0)</f>
        <v>12.971794875000001</v>
      </c>
      <c r="AH36" s="12">
        <f t="array" ref="AH36">INDEX(AG:AG,MIN(IF(ISNUMBER(AG36:AG232),ROW(AG36:AG232),"")))</f>
        <v>12.971794875000001</v>
      </c>
      <c r="AI36" s="13">
        <f>IF('Données projet'!$A$62&gt;35,AI35+AH36-AQ35,IF(A36&lt;'Données projet'!$A$62,$AF$205^A36,IF(A36='Données projet'!$A$62,'Données projet'!$B$62,AI35+AH36-AQ35)))</f>
        <v>183.9</v>
      </c>
      <c r="AJ36" s="13">
        <f>AI36*VLOOKUP('Données projet'!$B$10,Paramètres!$A$1:$I$89,3,0)*VLOOKUP('Données projet'!$B$10,Paramètres!$A$1:$I$89,5,0)</f>
        <v>109.97220000000002</v>
      </c>
      <c r="AK36" s="13">
        <f t="shared" si="35"/>
        <v>29.324434579377328</v>
      </c>
      <c r="AL36" s="20">
        <f t="shared" si="4"/>
        <v>242.60830522574886</v>
      </c>
      <c r="AM36" s="59">
        <f t="shared" si="5"/>
        <v>484.4891510602896</v>
      </c>
      <c r="AN36" s="59">
        <f ca="1">AVERAGE(OFFSET($AM$3,0,0,'Données projet'!$E$10+1,1))-AVERAGE(OFFSET($H$3,0,0,'Données projet'!$E$10+1,1))</f>
        <v>310.96303212465733</v>
      </c>
      <c r="AO36" s="59">
        <f t="shared" si="36"/>
        <v>248.17359812749166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43.007692310000003</v>
      </c>
      <c r="AR36" s="16">
        <f>IF(ISNA(VLOOKUP(A36,'Données projet'!$A$61:$I$81,5,0)),0%,VLOOKUP(A36,'Données projet'!$A$61:$I$81,5,0)*VLOOKUP('Données projet'!$B$10,Paramètres!$A$1:$I$89,7,0))</f>
        <v>0.315</v>
      </c>
      <c r="AS36" s="16">
        <f>IF(ISNA(VLOOKUP(A36,'Données projet'!$A$61:$I$81,6,0)),0%,VLOOKUP(A36,'Données projet'!$A$61:$I$81,6,0)*VLOOKUP('Données projet'!$B$10,Paramètres!$A$1:$I$89,7,0))</f>
        <v>7.6500000000000012E-2</v>
      </c>
      <c r="AT36" s="16">
        <f>IF(ISNA(VLOOKUP(A36,'Données projet'!$A$61:$I$81,7,0)),0%,VLOOKUP(A36,'Données projet'!$A$61:$I$81,7,0))</f>
        <v>0.13</v>
      </c>
      <c r="AU36" s="21">
        <f>EXP(-LN(2)/35)*AU35+(1-EXP(-LN(2)/35))/(LN(2)/35)*AQ36*AR36*VLOOKUP('Données projet'!$B$10,Paramètres!$A$1:$I$89,3,0)*0.475*44/12</f>
        <v>18.434560793050078</v>
      </c>
      <c r="AV36" s="21">
        <f>EXP(-LN(2)/25)*AV35+(1-EXP(-LN(2)/25))/(LN(2)/25)*Calculateur!AQ36*Calculateur!AS36*VLOOKUP('Données projet'!$B$10,Paramètres!$A$1:$I$89,3,0)*0.475*44/12</f>
        <v>12.115036930048285</v>
      </c>
      <c r="AW36" s="21">
        <f>EXP(-LN(2)/2)*AW35+(1-EXP(-LN(2)/2))/(LN(2)/2)*AQ36*AT36*VLOOKUP('Données projet'!$B$10,Paramètres!$A$1:$I$89,3,0)*0.475*44/12</f>
        <v>4.5139474057862241</v>
      </c>
      <c r="AX36" s="21">
        <f t="shared" si="6"/>
        <v>35.063545128884591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18.055769227500001</v>
      </c>
      <c r="N37" s="13">
        <f>IF('Données projet'!$A$36&gt;35,N36+M37-V36,IF(A37&lt;'Données projet'!$A$36,$K$205^A37,IF(A37='Données projet'!$A$36,'Données projet'!$B$36,N36+M37-V36)))</f>
        <v>290.380769235</v>
      </c>
      <c r="O37" s="13">
        <f>N37*VLOOKUP('Données projet'!$B$9,Paramètres!$A$1:$I$89,3,0)*VLOOKUP('Données projet'!$B$9,Paramètres!$A$1:$I$89,5,0)</f>
        <v>173.64770000253</v>
      </c>
      <c r="P37" s="13">
        <f t="shared" si="33"/>
        <v>43.905974873250393</v>
      </c>
      <c r="Q37" s="20">
        <f t="shared" si="53"/>
        <v>378.90598374198413</v>
      </c>
      <c r="R37" s="59">
        <f t="shared" si="0"/>
        <v>621.67941520409977</v>
      </c>
      <c r="S37" s="59">
        <f ca="1">AVERAGE(OFFSET($R$3,0,0,'Données projet'!$E$9+1,1))-AVERAGE(OFFSET($H$3,0,0,'Données projet'!$E$9+1,1))</f>
        <v>337.99164391065369</v>
      </c>
      <c r="T37" s="59">
        <f t="shared" si="34"/>
        <v>421.45428232119559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25.517696521056614</v>
      </c>
      <c r="AA37" s="21">
        <f>EXP(-LN(2)/25)*AA36+(1-EXP(-LN(2)/25))/(LN(2)/25)*Calculateur!V37*Calculateur!X37*VLOOKUP('Données projet'!$B$9,Paramètres!$A$1:$I$89,3,0)*0.475*44/12</f>
        <v>18.399400072473082</v>
      </c>
      <c r="AB37" s="21">
        <f>EXP(-LN(2)/2)*AB36+(1-EXP(-LN(2)/2))/(LN(2)/2)*V37*Y37*VLOOKUP('Données projet'!$B$9,Paramètres!$A$1:$I$89,3,0)*0.475*44/12</f>
        <v>3.2320091042838324</v>
      </c>
      <c r="AC37" s="22">
        <f t="shared" si="3"/>
        <v>47.149105697813525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12.740384613749999</v>
      </c>
      <c r="AI37" s="13">
        <f>IF('Données projet'!$A$62&gt;35,AI36+AH37-AQ36,IF(A37&lt;'Données projet'!$A$62,$AF$205^A37,IF(A37='Données projet'!$A$62,'Données projet'!$B$62,AI36+AH37-AQ36)))</f>
        <v>153.63269230374999</v>
      </c>
      <c r="AJ37" s="13">
        <f>AI37*VLOOKUP('Données projet'!$B$10,Paramètres!$A$1:$I$89,3,0)*VLOOKUP('Données projet'!$B$10,Paramètres!$A$1:$I$89,5,0)</f>
        <v>91.872349997642502</v>
      </c>
      <c r="AK37" s="13">
        <f t="shared" si="35"/>
        <v>25.016248164471897</v>
      </c>
      <c r="AL37" s="20">
        <f t="shared" si="4"/>
        <v>203.58097513234921</v>
      </c>
      <c r="AM37" s="59">
        <f t="shared" si="5"/>
        <v>446.35440659446476</v>
      </c>
      <c r="AN37" s="59">
        <f ca="1">AVERAGE(OFFSET($AM$3,0,0,'Données projet'!$E$10+1,1))-AVERAGE(OFFSET($H$3,0,0,'Données projet'!$E$10+1,1))</f>
        <v>310.96303212465733</v>
      </c>
      <c r="AO37" s="59">
        <f t="shared" si="36"/>
        <v>248.17359812749166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18.073070299870199</v>
      </c>
      <c r="AV37" s="21">
        <f>EXP(-LN(2)/25)*AV36+(1-EXP(-LN(2)/25))/(LN(2)/25)*Calculateur!AQ37*Calculateur!AS37*VLOOKUP('Données projet'!$B$10,Paramètres!$A$1:$I$89,3,0)*0.475*44/12</f>
        <v>11.783750608094012</v>
      </c>
      <c r="AW37" s="21">
        <f>EXP(-LN(2)/2)*AW36+(1-EXP(-LN(2)/2))/(LN(2)/2)*AQ37*AT37*VLOOKUP('Données projet'!$B$10,Paramètres!$A$1:$I$89,3,0)*0.475*44/12</f>
        <v>3.1918428205508635</v>
      </c>
      <c r="AX37" s="21">
        <f t="shared" si="6"/>
        <v>33.048663728515074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18.055769227500001</v>
      </c>
      <c r="N38" s="13">
        <f>IF('Données projet'!$A$36&gt;35,N37+M38-V37,IF(A38&lt;'Données projet'!$A$36,$K$205^A38,IF(A38='Données projet'!$A$36,'Données projet'!$B$36,N37+M38-V37)))</f>
        <v>308.43653846249998</v>
      </c>
      <c r="O38" s="13">
        <f>N38*VLOOKUP('Données projet'!$B$9,Paramètres!$A$1:$I$89,3,0)*VLOOKUP('Données projet'!$B$9,Paramètres!$A$1:$I$89,5,0)</f>
        <v>184.44505000057501</v>
      </c>
      <c r="P38" s="13">
        <f t="shared" si="33"/>
        <v>46.309719450624691</v>
      </c>
      <c r="Q38" s="20">
        <f t="shared" si="53"/>
        <v>401.89789012750612</v>
      </c>
      <c r="R38" s="59">
        <f t="shared" si="0"/>
        <v>645.54842285208065</v>
      </c>
      <c r="S38" s="59">
        <f ca="1">AVERAGE(OFFSET($R$3,0,0,'Données projet'!$E$9+1,1))-AVERAGE(OFFSET($H$3,0,0,'Données projet'!$E$9+1,1))</f>
        <v>337.99164391065369</v>
      </c>
      <c r="T38" s="59">
        <f t="shared" si="34"/>
        <v>421.45428232119559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25.017310056536729</v>
      </c>
      <c r="AA38" s="21">
        <f>EXP(-LN(2)/25)*AA37+(1-EXP(-LN(2)/25))/(LN(2)/25)*Calculateur!V38*Calculateur!X38*VLOOKUP('Données projet'!$B$9,Paramètres!$A$1:$I$89,3,0)*0.475*44/12</f>
        <v>17.896267509908906</v>
      </c>
      <c r="AB38" s="21">
        <f>EXP(-LN(2)/2)*AB37+(1-EXP(-LN(2)/2))/(LN(2)/2)*V38*Y38*VLOOKUP('Données projet'!$B$9,Paramètres!$A$1:$I$89,3,0)*0.475*44/12</f>
        <v>2.2853755544957575</v>
      </c>
      <c r="AC38" s="22">
        <f t="shared" si="3"/>
        <v>45.198953120941397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12.740384613749999</v>
      </c>
      <c r="AI38" s="13">
        <f>IF('Données projet'!$A$62&gt;35,AI37+AH38-AQ37,IF(A38&lt;'Données projet'!$A$62,$AF$205^A38,IF(A38='Données projet'!$A$62,'Données projet'!$B$62,AI37+AH38-AQ37)))</f>
        <v>166.37307691749999</v>
      </c>
      <c r="AJ38" s="13">
        <f>AI38*VLOOKUP('Données projet'!$B$10,Paramètres!$A$1:$I$89,3,0)*VLOOKUP('Données projet'!$B$10,Paramètres!$A$1:$I$89,5,0)</f>
        <v>99.491099996665</v>
      </c>
      <c r="AK38" s="13">
        <f t="shared" si="35"/>
        <v>26.840723163561655</v>
      </c>
      <c r="AL38" s="20">
        <f t="shared" si="4"/>
        <v>220.02792533739478</v>
      </c>
      <c r="AM38" s="59">
        <f t="shared" si="5"/>
        <v>463.67845806196931</v>
      </c>
      <c r="AN38" s="59">
        <f ca="1">AVERAGE(OFFSET($AM$3,0,0,'Données projet'!$E$10+1,1))-AVERAGE(OFFSET($H$3,0,0,'Données projet'!$E$10+1,1))</f>
        <v>310.96303212465733</v>
      </c>
      <c r="AO38" s="59">
        <f t="shared" si="36"/>
        <v>248.17359812749166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17.71866841477415</v>
      </c>
      <c r="AV38" s="21">
        <f>EXP(-LN(2)/25)*AV37+(1-EXP(-LN(2)/25))/(LN(2)/25)*Calculateur!AQ38*Calculateur!AS38*VLOOKUP('Données projet'!$B$10,Paramètres!$A$1:$I$89,3,0)*0.475*44/12</f>
        <v>11.461523328035168</v>
      </c>
      <c r="AW38" s="21">
        <f>EXP(-LN(2)/2)*AW37+(1-EXP(-LN(2)/2))/(LN(2)/2)*AQ38*AT38*VLOOKUP('Données projet'!$B$10,Paramètres!$A$1:$I$89,3,0)*0.475*44/12</f>
        <v>2.2569737028931125</v>
      </c>
      <c r="AX38" s="21">
        <f t="shared" si="6"/>
        <v>31.437165445702433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18.055769227500001</v>
      </c>
      <c r="N39" s="13">
        <f>IF('Données projet'!$A$36&gt;35,N38+M39-V38,IF(A39&lt;'Données projet'!$A$36,$K$205^A39,IF(A39='Données projet'!$A$36,'Données projet'!$B$36,N38+M39-V38)))</f>
        <v>326.49230768999996</v>
      </c>
      <c r="O39" s="13">
        <f>N39*VLOOKUP('Données projet'!$B$9,Paramètres!$A$1:$I$89,3,0)*VLOOKUP('Données projet'!$B$9,Paramètres!$A$1:$I$89,5,0)</f>
        <v>195.24239999861999</v>
      </c>
      <c r="P39" s="13">
        <f t="shared" si="33"/>
        <v>48.697130704853244</v>
      </c>
      <c r="Q39" s="20">
        <f t="shared" si="53"/>
        <v>424.86134930854922</v>
      </c>
      <c r="R39" s="59">
        <f t="shared" si="0"/>
        <v>669.37376754958359</v>
      </c>
      <c r="S39" s="59">
        <f ca="1">AVERAGE(OFFSET($R$3,0,0,'Données projet'!$E$9+1,1))-AVERAGE(OFFSET($H$3,0,0,'Données projet'!$E$9+1,1))</f>
        <v>337.99164391065369</v>
      </c>
      <c r="T39" s="59">
        <f t="shared" si="34"/>
        <v>421.45428232119559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24.526735865380473</v>
      </c>
      <c r="AA39" s="21">
        <f>EXP(-LN(2)/25)*AA38+(1-EXP(-LN(2)/25))/(LN(2)/25)*Calculateur!V39*Calculateur!X39*VLOOKUP('Données projet'!$B$9,Paramètres!$A$1:$I$89,3,0)*0.475*44/12</f>
        <v>17.406893133726641</v>
      </c>
      <c r="AB39" s="21">
        <f>EXP(-LN(2)/2)*AB38+(1-EXP(-LN(2)/2))/(LN(2)/2)*V39*Y39*VLOOKUP('Données projet'!$B$9,Paramètres!$A$1:$I$89,3,0)*0.475*44/12</f>
        <v>1.6160045521419164</v>
      </c>
      <c r="AC39" s="22">
        <f t="shared" si="3"/>
        <v>43.54963355124903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12.740384613749999</v>
      </c>
      <c r="AI39" s="13">
        <f>IF('Données projet'!$A$62&gt;35,AI38+AH39-AQ38,IF(A39&lt;'Données projet'!$A$62,$AF$205^A39,IF(A39='Données projet'!$A$62,'Données projet'!$B$62,AI38+AH39-AQ38)))</f>
        <v>179.11346153124998</v>
      </c>
      <c r="AJ39" s="13">
        <f>AI39*VLOOKUP('Données projet'!$B$10,Paramètres!$A$1:$I$89,3,0)*VLOOKUP('Données projet'!$B$10,Paramètres!$A$1:$I$89,5,0)</f>
        <v>107.10984999568751</v>
      </c>
      <c r="AK39" s="13">
        <f t="shared" si="35"/>
        <v>28.648991100688143</v>
      </c>
      <c r="AL39" s="20">
        <f t="shared" si="4"/>
        <v>236.44664824285425</v>
      </c>
      <c r="AM39" s="59">
        <f t="shared" si="5"/>
        <v>480.95906648388871</v>
      </c>
      <c r="AN39" s="59">
        <f ca="1">AVERAGE(OFFSET($AM$3,0,0,'Données projet'!$E$10+1,1))-AVERAGE(OFFSET($H$3,0,0,'Données projet'!$E$10+1,1))</f>
        <v>310.96303212465733</v>
      </c>
      <c r="AO39" s="59">
        <f t="shared" si="36"/>
        <v>248.17359812749166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17.371216134481028</v>
      </c>
      <c r="AV39" s="21">
        <f>EXP(-LN(2)/25)*AV38+(1-EXP(-LN(2)/25))/(LN(2)/25)*Calculateur!AQ39*Calculateur!AS39*VLOOKUP('Données projet'!$B$10,Paramètres!$A$1:$I$89,3,0)*0.475*44/12</f>
        <v>11.148107369894731</v>
      </c>
      <c r="AW39" s="21">
        <f>EXP(-LN(2)/2)*AW38+(1-EXP(-LN(2)/2))/(LN(2)/2)*AQ39*AT39*VLOOKUP('Données projet'!$B$10,Paramètres!$A$1:$I$89,3,0)*0.475*44/12</f>
        <v>1.5959214102754322</v>
      </c>
      <c r="AX39" s="21">
        <f t="shared" si="6"/>
        <v>30.115244914651193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18.055769227500001</v>
      </c>
      <c r="N40" s="13">
        <f>IF('Données projet'!$A$36&gt;35,N39+M40-V39,IF(A40&lt;'Données projet'!$A$36,$K$205^A40,IF(A40='Données projet'!$A$36,'Données projet'!$B$36,N39+M40-V39)))</f>
        <v>344.54807691749994</v>
      </c>
      <c r="O40" s="13">
        <f>N40*VLOOKUP('Données projet'!$B$9,Paramètres!$A$1:$I$89,3,0)*VLOOKUP('Données projet'!$B$9,Paramètres!$A$1:$I$89,5,0)</f>
        <v>206.03974999666497</v>
      </c>
      <c r="P40" s="13">
        <f t="shared" si="33"/>
        <v>51.069214861278255</v>
      </c>
      <c r="Q40" s="20">
        <f t="shared" si="53"/>
        <v>447.79811379425104</v>
      </c>
      <c r="R40" s="59">
        <f t="shared" si="0"/>
        <v>693.15746576492211</v>
      </c>
      <c r="S40" s="59">
        <f ca="1">AVERAGE(OFFSET($R$3,0,0,'Données projet'!$E$9+1,1))-AVERAGE(OFFSET($H$3,0,0,'Données projet'!$E$9+1,1))</f>
        <v>337.99164391065369</v>
      </c>
      <c r="T40" s="59">
        <f t="shared" si="34"/>
        <v>421.45428232119559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24.045781534892079</v>
      </c>
      <c r="AA40" s="21">
        <f>EXP(-LN(2)/25)*AA39+(1-EXP(-LN(2)/25))/(LN(2)/25)*Calculateur!V40*Calculateur!X40*VLOOKUP('Données projet'!$B$9,Paramètres!$A$1:$I$89,3,0)*0.475*44/12</f>
        <v>16.93090072559616</v>
      </c>
      <c r="AB40" s="21">
        <f>EXP(-LN(2)/2)*AB39+(1-EXP(-LN(2)/2))/(LN(2)/2)*V40*Y40*VLOOKUP('Données projet'!$B$9,Paramètres!$A$1:$I$89,3,0)*0.475*44/12</f>
        <v>1.142687777247879</v>
      </c>
      <c r="AC40" s="22">
        <f t="shared" si="3"/>
        <v>42.119370037736118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12.740384613749999</v>
      </c>
      <c r="AI40" s="13">
        <f>IF('Données projet'!$A$62&gt;35,AI39+AH40-AQ39,IF(A40&lt;'Données projet'!$A$62,$AF$205^A40,IF(A40='Données projet'!$A$62,'Données projet'!$B$62,AI39+AH40-AQ39)))</f>
        <v>191.85384614499998</v>
      </c>
      <c r="AJ40" s="13">
        <f>AI40*VLOOKUP('Données projet'!$B$10,Paramètres!$A$1:$I$89,3,0)*VLOOKUP('Données projet'!$B$10,Paramètres!$A$1:$I$89,5,0)</f>
        <v>114.72859999471</v>
      </c>
      <c r="AK40" s="13">
        <f t="shared" si="35"/>
        <v>30.442335904847354</v>
      </c>
      <c r="AL40" s="20">
        <f t="shared" si="4"/>
        <v>252.83938002506238</v>
      </c>
      <c r="AM40" s="59">
        <f t="shared" si="5"/>
        <v>498.19873199573351</v>
      </c>
      <c r="AN40" s="59">
        <f ca="1">AVERAGE(OFFSET($AM$3,0,0,'Données projet'!$E$10+1,1))-AVERAGE(OFFSET($H$3,0,0,'Données projet'!$E$10+1,1))</f>
        <v>310.96303212465733</v>
      </c>
      <c r="AO40" s="59">
        <f t="shared" si="36"/>
        <v>248.17359812749166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17.030577181479487</v>
      </c>
      <c r="AV40" s="21">
        <f>EXP(-LN(2)/25)*AV39+(1-EXP(-LN(2)/25))/(LN(2)/25)*Calculateur!AQ40*Calculateur!AS40*VLOOKUP('Données projet'!$B$10,Paramètres!$A$1:$I$89,3,0)*0.475*44/12</f>
        <v>10.843261787611473</v>
      </c>
      <c r="AW40" s="21">
        <f>EXP(-LN(2)/2)*AW39+(1-EXP(-LN(2)/2))/(LN(2)/2)*AQ40*AT40*VLOOKUP('Données projet'!$B$10,Paramètres!$A$1:$I$89,3,0)*0.475*44/12</f>
        <v>1.1284868514465565</v>
      </c>
      <c r="AX40" s="21">
        <f t="shared" si="6"/>
        <v>29.002325820537518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18.055769227500001</v>
      </c>
      <c r="N41" s="13">
        <f>IF('Données projet'!$A$36&gt;35,N40+M41-V40,IF(A41&lt;'Données projet'!$A$36,$K$205^A41,IF(A41='Données projet'!$A$36,'Données projet'!$B$36,N40+M41-V40)))</f>
        <v>362.60384614499992</v>
      </c>
      <c r="O41" s="13">
        <f>N41*VLOOKUP('Données projet'!$B$9,Paramètres!$A$1:$I$89,3,0)*VLOOKUP('Données projet'!$B$9,Paramètres!$A$1:$I$89,5,0)</f>
        <v>216.83709999470997</v>
      </c>
      <c r="P41" s="13">
        <f t="shared" si="33"/>
        <v>53.426866727900425</v>
      </c>
      <c r="Q41" s="20">
        <f t="shared" si="53"/>
        <v>470.70974204187979</v>
      </c>
      <c r="R41" s="59">
        <f t="shared" si="0"/>
        <v>716.90133533543849</v>
      </c>
      <c r="S41" s="59">
        <f ca="1">AVERAGE(OFFSET($R$3,0,0,'Données projet'!$E$9+1,1))-AVERAGE(OFFSET($H$3,0,0,'Données projet'!$E$9+1,1))</f>
        <v>337.99164391065369</v>
      </c>
      <c r="T41" s="59">
        <f t="shared" si="34"/>
        <v>421.45428232119559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23.574258425471388</v>
      </c>
      <c r="AA41" s="21">
        <f>EXP(-LN(2)/25)*AA40+(1-EXP(-LN(2)/25))/(LN(2)/25)*Calculateur!V41*Calculateur!X41*VLOOKUP('Données projet'!$B$9,Paramètres!$A$1:$I$89,3,0)*0.475*44/12</f>
        <v>16.46792435489736</v>
      </c>
      <c r="AB41" s="21">
        <f>EXP(-LN(2)/2)*AB40+(1-EXP(-LN(2)/2))/(LN(2)/2)*V41*Y41*VLOOKUP('Données projet'!$B$9,Paramètres!$A$1:$I$89,3,0)*0.475*44/12</f>
        <v>0.80800227607095831</v>
      </c>
      <c r="AC41" s="22">
        <f t="shared" si="3"/>
        <v>40.850185056439706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12.740384613749999</v>
      </c>
      <c r="AI41" s="13">
        <f>IF('Données projet'!$A$62&gt;35,AI40+AH41-AQ40,IF(A41&lt;'Données projet'!$A$62,$AF$205^A41,IF(A41='Données projet'!$A$62,'Données projet'!$B$62,AI40+AH41-AQ40)))</f>
        <v>204.59423075874997</v>
      </c>
      <c r="AJ41" s="13">
        <f>AI41*VLOOKUP('Données projet'!$B$10,Paramètres!$A$1:$I$89,3,0)*VLOOKUP('Données projet'!$B$10,Paramètres!$A$1:$I$89,5,0)</f>
        <v>122.34734999373249</v>
      </c>
      <c r="AK41" s="13">
        <f t="shared" si="35"/>
        <v>32.22186133542602</v>
      </c>
      <c r="AL41" s="20">
        <f t="shared" si="4"/>
        <v>269.20804306495108</v>
      </c>
      <c r="AM41" s="59">
        <f t="shared" si="5"/>
        <v>515.39963635850984</v>
      </c>
      <c r="AN41" s="59">
        <f ca="1">AVERAGE(OFFSET($AM$3,0,0,'Données projet'!$E$10+1,1))-AVERAGE(OFFSET($H$3,0,0,'Données projet'!$E$10+1,1))</f>
        <v>310.96303212465733</v>
      </c>
      <c r="AO41" s="59">
        <f t="shared" si="36"/>
        <v>248.17359812749166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16.69661795057706</v>
      </c>
      <c r="AV41" s="21">
        <f>EXP(-LN(2)/25)*AV40+(1-EXP(-LN(2)/25))/(LN(2)/25)*Calculateur!AQ41*Calculateur!AS41*VLOOKUP('Données projet'!$B$10,Paramètres!$A$1:$I$89,3,0)*0.475*44/12</f>
        <v>10.546752223806882</v>
      </c>
      <c r="AW41" s="21">
        <f>EXP(-LN(2)/2)*AW40+(1-EXP(-LN(2)/2))/(LN(2)/2)*AQ41*AT41*VLOOKUP('Données projet'!$B$10,Paramètres!$A$1:$I$89,3,0)*0.475*44/12</f>
        <v>0.79796070513771622</v>
      </c>
      <c r="AX41" s="21">
        <f t="shared" si="6"/>
        <v>28.041330879521656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18.055769227500001</v>
      </c>
      <c r="N42" s="13">
        <f>IF('Données projet'!$A$36&gt;35,N41+M42-V41,IF(A42&lt;'Données projet'!$A$36,$K$205^A42,IF(A42='Données projet'!$A$36,'Données projet'!$B$36,N41+M42-V41)))</f>
        <v>380.6596153724999</v>
      </c>
      <c r="O42" s="13">
        <f>N42*VLOOKUP('Données projet'!$B$9,Paramètres!$A$1:$I$89,3,0)*VLOOKUP('Données projet'!$B$9,Paramètres!$A$1:$I$89,5,0)</f>
        <v>227.63444999275495</v>
      </c>
      <c r="P42" s="13">
        <f t="shared" si="33"/>
        <v>55.770886965156727</v>
      </c>
      <c r="Q42" s="20">
        <f t="shared" si="53"/>
        <v>493.59762853502951</v>
      </c>
      <c r="R42" s="59">
        <f t="shared" si="0"/>
        <v>740.60702562513666</v>
      </c>
      <c r="S42" s="59">
        <f ca="1">AVERAGE(OFFSET($R$3,0,0,'Données projet'!$E$9+1,1))-AVERAGE(OFFSET($H$3,0,0,'Données projet'!$E$9+1,1))</f>
        <v>337.99164391065369</v>
      </c>
      <c r="T42" s="59">
        <f t="shared" si="34"/>
        <v>421.45428232119559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23.111981596625739</v>
      </c>
      <c r="AA42" s="21">
        <f>EXP(-LN(2)/25)*AA41+(1-EXP(-LN(2)/25))/(LN(2)/25)*Calculateur!V42*Calculateur!X42*VLOOKUP('Données projet'!$B$9,Paramètres!$A$1:$I$89,3,0)*0.475*44/12</f>
        <v>16.017608097402189</v>
      </c>
      <c r="AB42" s="21">
        <f>EXP(-LN(2)/2)*AB41+(1-EXP(-LN(2)/2))/(LN(2)/2)*V42*Y42*VLOOKUP('Données projet'!$B$9,Paramètres!$A$1:$I$89,3,0)*0.475*44/12</f>
        <v>0.57134388862393948</v>
      </c>
      <c r="AC42" s="22">
        <f t="shared" si="3"/>
        <v>39.700933582651871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12.740384613749999</v>
      </c>
      <c r="AI42" s="13">
        <f>IF('Données projet'!$A$62&gt;35,AI41+AH42-AQ41,IF(A42&lt;'Données projet'!$A$62,$AF$205^A42,IF(A42='Données projet'!$A$62,'Données projet'!$B$62,AI41+AH42-AQ41)))</f>
        <v>217.33461537249997</v>
      </c>
      <c r="AJ42" s="13">
        <f>AI42*VLOOKUP('Données projet'!$B$10,Paramètres!$A$1:$I$89,3,0)*VLOOKUP('Données projet'!$B$10,Paramètres!$A$1:$I$89,5,0)</f>
        <v>129.96609999275498</v>
      </c>
      <c r="AK42" s="13">
        <f t="shared" si="35"/>
        <v>33.988525917108454</v>
      </c>
      <c r="AL42" s="20">
        <f t="shared" si="4"/>
        <v>285.55430679301213</v>
      </c>
      <c r="AM42" s="59">
        <f t="shared" si="5"/>
        <v>532.56370388311927</v>
      </c>
      <c r="AN42" s="59">
        <f ca="1">AVERAGE(OFFSET($AM$3,0,0,'Données projet'!$E$10+1,1))-AVERAGE(OFFSET($H$3,0,0,'Données projet'!$E$10+1,1))</f>
        <v>310.96303212465733</v>
      </c>
      <c r="AO42" s="59">
        <f t="shared" si="36"/>
        <v>248.17359812749166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16.369207456497616</v>
      </c>
      <c r="AV42" s="21">
        <f>EXP(-LN(2)/25)*AV41+(1-EXP(-LN(2)/25))/(LN(2)/25)*Calculateur!AQ42*Calculateur!AS42*VLOOKUP('Données projet'!$B$10,Paramètres!$A$1:$I$89,3,0)*0.475*44/12</f>
        <v>10.258350729617288</v>
      </c>
      <c r="AW42" s="21">
        <f>EXP(-LN(2)/2)*AW41+(1-EXP(-LN(2)/2))/(LN(2)/2)*AQ42*AT42*VLOOKUP('Données projet'!$B$10,Paramètres!$A$1:$I$89,3,0)*0.475*44/12</f>
        <v>0.56424342572327835</v>
      </c>
      <c r="AX42" s="21">
        <f t="shared" si="6"/>
        <v>27.191801611838184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398.71538459999999</v>
      </c>
      <c r="L43" s="12">
        <f>VLOOKUP(A43,'Données projet'!$A$35:$I$55,9,0)</f>
        <v>18.055769227500001</v>
      </c>
      <c r="M43" s="12">
        <f t="array" ref="M43">INDEX(L:L,MIN(IF(ISNUMBER(L43:L239),ROW(L43:L239),"")))</f>
        <v>18.055769227500001</v>
      </c>
      <c r="N43" s="13">
        <f>IF('Données projet'!$A$36&gt;35,N42+M43-V42,IF(A43&lt;'Données projet'!$A$36,$K$205^A43,IF(A43='Données projet'!$A$36,'Données projet'!$B$36,N42+M43-V42)))</f>
        <v>398.71538459999988</v>
      </c>
      <c r="O43" s="13">
        <f>N43*VLOOKUP('Données projet'!$B$9,Paramètres!$A$1:$I$89,3,0)*VLOOKUP('Données projet'!$B$9,Paramètres!$A$1:$I$89,5,0)</f>
        <v>238.43179999079993</v>
      </c>
      <c r="P43" s="13">
        <f t="shared" si="33"/>
        <v>58.101995986261578</v>
      </c>
      <c r="Q43" s="20">
        <f t="shared" si="53"/>
        <v>516.46302799338218</v>
      </c>
      <c r="R43" s="59">
        <f t="shared" si="0"/>
        <v>764.27604181250297</v>
      </c>
      <c r="S43" s="59">
        <f ca="1">AVERAGE(OFFSET($R$3,0,0,'Données projet'!$E$9+1,1))-AVERAGE(OFFSET($H$3,0,0,'Données projet'!$E$9+1,1))</f>
        <v>337.99164391065369</v>
      </c>
      <c r="T43" s="59">
        <f t="shared" si="34"/>
        <v>421.45428232119559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92.661538460000003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7.6500000000000012E-2</v>
      </c>
      <c r="Y43" s="16">
        <f>IF(ISNA(VLOOKUP(A43,'Données projet'!$A$35:$I$55,7,0)),0%,VLOOKUP(A43,'Données projet'!$A$35:$I$55,7,0))</f>
        <v>0.13</v>
      </c>
      <c r="Z43" s="21">
        <f>EXP(-LN(2)/35)*Z42+(1-EXP(-LN(2)/35))/(LN(2)/35)*V43*W43*VLOOKUP('Données projet'!$B$9,Paramètres!$A$1:$I$89,3,0)*0.475*44/12</f>
        <v>45.813493312443882</v>
      </c>
      <c r="AA43" s="21">
        <f>EXP(-LN(2)/25)*AA42+(1-EXP(-LN(2)/25))/(LN(2)/25)*Calculateur!V43*Calculateur!X43*VLOOKUP('Données projet'!$B$9,Paramètres!$A$1:$I$89,3,0)*0.475*44/12</f>
        <v>21.180754738034093</v>
      </c>
      <c r="AB43" s="21">
        <f>EXP(-LN(2)/2)*AB42+(1-EXP(-LN(2)/2))/(LN(2)/2)*V43*Y43*VLOOKUP('Données projet'!$B$9,Paramètres!$A$1:$I$89,3,0)*0.475*44/12</f>
        <v>8.5600455509903437</v>
      </c>
      <c r="AC43" s="22">
        <f t="shared" si="3"/>
        <v>75.554293601468316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12.740384613749999</v>
      </c>
      <c r="AI43" s="13">
        <f>IF('Données projet'!$A$62&gt;35,AI42+AH43-AQ42,IF(A43&lt;'Données projet'!$A$62,$AF$205^A43,IF(A43='Données projet'!$A$62,'Données projet'!$B$62,AI42+AH43-AQ42)))</f>
        <v>230.07499998624996</v>
      </c>
      <c r="AJ43" s="13">
        <f>AI43*VLOOKUP('Données projet'!$B$10,Paramètres!$A$1:$I$89,3,0)*VLOOKUP('Données projet'!$B$10,Paramètres!$A$1:$I$89,5,0)</f>
        <v>137.58484999177747</v>
      </c>
      <c r="AK43" s="13">
        <f t="shared" si="35"/>
        <v>35.743169446849521</v>
      </c>
      <c r="AL43" s="20">
        <f t="shared" si="4"/>
        <v>301.87963385560869</v>
      </c>
      <c r="AM43" s="59">
        <f t="shared" si="5"/>
        <v>549.69264767472953</v>
      </c>
      <c r="AN43" s="59">
        <f ca="1">AVERAGE(OFFSET($AM$3,0,0,'Données projet'!$E$10+1,1))-AVERAGE(OFFSET($H$3,0,0,'Données projet'!$E$10+1,1))</f>
        <v>310.96303212465733</v>
      </c>
      <c r="AO43" s="59">
        <f t="shared" si="36"/>
        <v>248.17359812749166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16.048217282506386</v>
      </c>
      <c r="AV43" s="21">
        <f>EXP(-LN(2)/25)*AV42+(1-EXP(-LN(2)/25))/(LN(2)/25)*Calculateur!AQ43*Calculateur!AS43*VLOOKUP('Données projet'!$B$10,Paramètres!$A$1:$I$89,3,0)*0.475*44/12</f>
        <v>9.9778355894526829</v>
      </c>
      <c r="AW43" s="21">
        <f>EXP(-LN(2)/2)*AW42+(1-EXP(-LN(2)/2))/(LN(2)/2)*AQ43*AT43*VLOOKUP('Données projet'!$B$10,Paramètres!$A$1:$I$89,3,0)*0.475*44/12</f>
        <v>0.39898035256885817</v>
      </c>
      <c r="AX43" s="21">
        <f t="shared" si="6"/>
        <v>26.425033224527926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15.211538457499998</v>
      </c>
      <c r="N44" s="13">
        <f>IF('Données projet'!$A$36&gt;35,N43+M44-V43,IF(A44&lt;'Données projet'!$A$36,$K$205^A44,IF(A44='Données projet'!$A$36,'Données projet'!$B$36,N43+M44-V43)))</f>
        <v>321.26538459749986</v>
      </c>
      <c r="O44" s="13">
        <f>N44*VLOOKUP('Données projet'!$B$9,Paramètres!$A$1:$I$89,3,0)*VLOOKUP('Données projet'!$B$9,Paramètres!$A$1:$I$89,5,0)</f>
        <v>192.11669998930492</v>
      </c>
      <c r="P44" s="13">
        <f t="shared" si="33"/>
        <v>48.007622992813431</v>
      </c>
      <c r="Q44" s="20">
        <f t="shared" si="53"/>
        <v>418.2165291938561</v>
      </c>
      <c r="R44" s="59">
        <f t="shared" si="0"/>
        <v>666.8192187883601</v>
      </c>
      <c r="S44" s="59">
        <f ca="1">AVERAGE(OFFSET($R$3,0,0,'Données projet'!$E$9+1,1))-AVERAGE(OFFSET($H$3,0,0,'Données projet'!$E$9+1,1))</f>
        <v>337.99164391065369</v>
      </c>
      <c r="T44" s="59">
        <f t="shared" si="34"/>
        <v>421.45428232119559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44.915118652058588</v>
      </c>
      <c r="AA44" s="21">
        <f>EXP(-LN(2)/25)*AA43+(1-EXP(-LN(2)/25))/(LN(2)/25)*Calculateur!V44*Calculateur!X44*VLOOKUP('Données projet'!$B$9,Paramètres!$A$1:$I$89,3,0)*0.475*44/12</f>
        <v>20.601565885875068</v>
      </c>
      <c r="AB44" s="21">
        <f>EXP(-LN(2)/2)*AB43+(1-EXP(-LN(2)/2))/(LN(2)/2)*V44*Y44*VLOOKUP('Données projet'!$B$9,Paramètres!$A$1:$I$89,3,0)*0.475*44/12</f>
        <v>6.0528662563710087</v>
      </c>
      <c r="AC44" s="22">
        <f t="shared" si="3"/>
        <v>71.569550794304661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242.81538459999999</v>
      </c>
      <c r="AG44" s="12">
        <f>VLOOKUP(A44,'Données projet'!$A$61:$I$81,9,0)</f>
        <v>12.740384613749999</v>
      </c>
      <c r="AH44" s="12">
        <f t="array" ref="AH44">INDEX(AG:AG,MIN(IF(ISNUMBER(AG44:AG240),ROW(AG44:AG240),"")))</f>
        <v>12.740384613749999</v>
      </c>
      <c r="AI44" s="13">
        <f>IF('Données projet'!$A$62&gt;35,AI43+AH44-AQ43,IF(A44&lt;'Données projet'!$A$62,$AF$205^A44,IF(A44='Données projet'!$A$62,'Données projet'!$B$62,AI43+AH44-AQ43)))</f>
        <v>242.81538459999996</v>
      </c>
      <c r="AJ44" s="13">
        <f>AI44*VLOOKUP('Données projet'!$B$10,Paramètres!$A$1:$I$89,3,0)*VLOOKUP('Données projet'!$B$10,Paramètres!$A$1:$I$89,5,0)</f>
        <v>145.2035999908</v>
      </c>
      <c r="AK44" s="13">
        <f t="shared" si="35"/>
        <v>37.486533461292034</v>
      </c>
      <c r="AL44" s="20">
        <f t="shared" si="4"/>
        <v>318.1853157623936</v>
      </c>
      <c r="AM44" s="59">
        <f t="shared" si="5"/>
        <v>566.78800535689754</v>
      </c>
      <c r="AN44" s="59">
        <f ca="1">AVERAGE(OFFSET($AM$3,0,0,'Données projet'!$E$10+1,1))-AVERAGE(OFFSET($H$3,0,0,'Données projet'!$E$10+1,1))</f>
        <v>310.96303212465733</v>
      </c>
      <c r="AO44" s="59">
        <f t="shared" si="36"/>
        <v>248.17359812749166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58.484615380000001</v>
      </c>
      <c r="AR44" s="16">
        <f>IF(ISNA(VLOOKUP(A44,'Données projet'!$A$61:$I$81,5,0)),0%,VLOOKUP(A44,'Données projet'!$A$61:$I$81,5,0)*VLOOKUP('Données projet'!$B$10,Paramètres!$A$1:$I$89,7,0))</f>
        <v>0.315</v>
      </c>
      <c r="AS44" s="16">
        <f>IF(ISNA(VLOOKUP(A44,'Données projet'!$A$61:$I$81,6,0)),0%,VLOOKUP(A44,'Données projet'!$A$61:$I$81,6,0)*VLOOKUP('Données projet'!$B$10,Paramètres!$A$1:$I$89,7,0))</f>
        <v>7.6500000000000012E-2</v>
      </c>
      <c r="AT44" s="16">
        <f>IF(ISNA(VLOOKUP(A44,'Données projet'!$A$61:$I$81,7,0)),0%,VLOOKUP(A44,'Données projet'!$A$61:$I$81,7,0))</f>
        <v>0.13</v>
      </c>
      <c r="AU44" s="21">
        <f>EXP(-LN(2)/35)*AU43+(1-EXP(-LN(2)/35))/(LN(2)/35)*AQ44*AR44*VLOOKUP('Données projet'!$B$10,Paramètres!$A$1:$I$89,3,0)*0.475*44/12</f>
        <v>30.347946513659323</v>
      </c>
      <c r="AV44" s="21">
        <f>EXP(-LN(2)/25)*AV43+(1-EXP(-LN(2)/25))/(LN(2)/25)*Calculateur!AQ44*Calculateur!AS44*VLOOKUP('Données projet'!$B$10,Paramètres!$A$1:$I$89,3,0)*0.475*44/12</f>
        <v>13.240234024929046</v>
      </c>
      <c r="AW44" s="21">
        <f>EXP(-LN(2)/2)*AW43+(1-EXP(-LN(2)/2))/(LN(2)/2)*AQ44*AT44*VLOOKUP('Données projet'!$B$10,Paramètres!$A$1:$I$89,3,0)*0.475*44/12</f>
        <v>5.429922282995439</v>
      </c>
      <c r="AX44" s="21">
        <f t="shared" si="6"/>
        <v>49.01810282158381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15.211538457499998</v>
      </c>
      <c r="N45" s="13">
        <f>IF('Données projet'!$A$36&gt;35,N44+M45-V44,IF(A45&lt;'Données projet'!$A$36,$K$205^A45,IF(A45='Données projet'!$A$36,'Données projet'!$B$36,N44+M45-V44)))</f>
        <v>336.47692305499987</v>
      </c>
      <c r="O45" s="13">
        <f>N45*VLOOKUP('Données projet'!$B$9,Paramètres!$A$1:$I$89,3,0)*VLOOKUP('Données projet'!$B$9,Paramètres!$A$1:$I$89,5,0)</f>
        <v>201.21319998688995</v>
      </c>
      <c r="P45" s="13">
        <f t="shared" si="33"/>
        <v>50.010698444914567</v>
      </c>
      <c r="Q45" s="20">
        <f t="shared" si="53"/>
        <v>437.54828976872614</v>
      </c>
      <c r="R45" s="59">
        <f t="shared" si="0"/>
        <v>686.92695602936089</v>
      </c>
      <c r="S45" s="59">
        <f ca="1">AVERAGE(OFFSET($R$3,0,0,'Données projet'!$E$9+1,1))-AVERAGE(OFFSET($H$3,0,0,'Données projet'!$E$9+1,1))</f>
        <v>337.99164391065369</v>
      </c>
      <c r="T45" s="59">
        <f t="shared" si="34"/>
        <v>421.45428232119559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44.034360570809014</v>
      </c>
      <c r="AA45" s="21">
        <f>EXP(-LN(2)/25)*AA44+(1-EXP(-LN(2)/25))/(LN(2)/25)*Calculateur!V45*Calculateur!X45*VLOOKUP('Données projet'!$B$9,Paramètres!$A$1:$I$89,3,0)*0.475*44/12</f>
        <v>20.038214983336552</v>
      </c>
      <c r="AB45" s="21">
        <f>EXP(-LN(2)/2)*AB44+(1-EXP(-LN(2)/2))/(LN(2)/2)*V45*Y45*VLOOKUP('Données projet'!$B$9,Paramètres!$A$1:$I$89,3,0)*0.475*44/12</f>
        <v>4.2800227754951718</v>
      </c>
      <c r="AC45" s="22">
        <f t="shared" si="3"/>
        <v>68.352598329640742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11.861538464444449</v>
      </c>
      <c r="AI45" s="13">
        <f>IF('Données projet'!$A$62&gt;35,AI44+AH45-AQ44,IF(A45&lt;'Données projet'!$A$62,$AF$205^A45,IF(A45='Données projet'!$A$62,'Données projet'!$B$62,AI44+AH45-AQ44)))</f>
        <v>196.19230768444439</v>
      </c>
      <c r="AJ45" s="13">
        <f>AI45*VLOOKUP('Données projet'!$B$10,Paramètres!$A$1:$I$89,3,0)*VLOOKUP('Données projet'!$B$10,Paramètres!$A$1:$I$89,5,0)</f>
        <v>117.32299999529775</v>
      </c>
      <c r="AK45" s="13">
        <f t="shared" si="35"/>
        <v>31.049815551257502</v>
      </c>
      <c r="AL45" s="20">
        <f t="shared" si="4"/>
        <v>258.41598707691702</v>
      </c>
      <c r="AM45" s="59">
        <f t="shared" si="5"/>
        <v>507.79465333755172</v>
      </c>
      <c r="AN45" s="59">
        <f ca="1">AVERAGE(OFFSET($AM$3,0,0,'Données projet'!$E$10+1,1))-AVERAGE(OFFSET($H$3,0,0,'Données projet'!$E$10+1,1))</f>
        <v>310.96303212465733</v>
      </c>
      <c r="AO45" s="59">
        <f t="shared" si="36"/>
        <v>248.17359812749166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29.752841792946086</v>
      </c>
      <c r="AV45" s="21">
        <f>EXP(-LN(2)/25)*AV44+(1-EXP(-LN(2)/25))/(LN(2)/25)*Calculateur!AQ45*Calculateur!AS45*VLOOKUP('Données projet'!$B$10,Paramètres!$A$1:$I$89,3,0)*0.475*44/12</f>
        <v>12.878179129243716</v>
      </c>
      <c r="AW45" s="21">
        <f>EXP(-LN(2)/2)*AW44+(1-EXP(-LN(2)/2))/(LN(2)/2)*AQ45*AT45*VLOOKUP('Données projet'!$B$10,Paramètres!$A$1:$I$89,3,0)*0.475*44/12</f>
        <v>3.8395348676220147</v>
      </c>
      <c r="AX45" s="21">
        <f t="shared" si="6"/>
        <v>46.470555789811819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15.211538457499998</v>
      </c>
      <c r="N46" s="13">
        <f>IF('Données projet'!$A$36&gt;35,N45+M46-V45,IF(A46&lt;'Données projet'!$A$36,$K$205^A46,IF(A46='Données projet'!$A$36,'Données projet'!$B$36,N45+M46-V45)))</f>
        <v>351.68846151249988</v>
      </c>
      <c r="O46" s="13">
        <f>N46*VLOOKUP('Données projet'!$B$9,Paramètres!$A$1:$I$89,3,0)*VLOOKUP('Données projet'!$B$9,Paramètres!$A$1:$I$89,5,0)</f>
        <v>210.30969998447497</v>
      </c>
      <c r="P46" s="13">
        <f t="shared" si="33"/>
        <v>52.003257131217822</v>
      </c>
      <c r="Q46" s="20">
        <f t="shared" si="53"/>
        <v>456.861733643165</v>
      </c>
      <c r="R46" s="59">
        <f t="shared" si="0"/>
        <v>707.0029151095971</v>
      </c>
      <c r="S46" s="59">
        <f ca="1">AVERAGE(OFFSET($R$3,0,0,'Données projet'!$E$9+1,1))-AVERAGE(OFFSET($H$3,0,0,'Données projet'!$E$9+1,1))</f>
        <v>337.99164391065369</v>
      </c>
      <c r="T46" s="59">
        <f t="shared" si="34"/>
        <v>421.45428232119559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43.170873618323363</v>
      </c>
      <c r="AA46" s="21">
        <f>EXP(-LN(2)/25)*AA45+(1-EXP(-LN(2)/25))/(LN(2)/25)*Calculateur!V46*Calculateur!X46*VLOOKUP('Données projet'!$B$9,Paramètres!$A$1:$I$89,3,0)*0.475*44/12</f>
        <v>19.490268940853287</v>
      </c>
      <c r="AB46" s="21">
        <f>EXP(-LN(2)/2)*AB45+(1-EXP(-LN(2)/2))/(LN(2)/2)*V46*Y46*VLOOKUP('Données projet'!$B$9,Paramètres!$A$1:$I$89,3,0)*0.475*44/12</f>
        <v>3.0264331281855044</v>
      </c>
      <c r="AC46" s="22">
        <f t="shared" si="3"/>
        <v>65.687575687362155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11.861538464444449</v>
      </c>
      <c r="AI46" s="13">
        <f>IF('Données projet'!$A$62&gt;35,AI45+AH46-AQ45,IF(A46&lt;'Données projet'!$A$62,$AF$205^A46,IF(A46='Données projet'!$A$62,'Données projet'!$B$62,AI45+AH46-AQ45)))</f>
        <v>208.05384614888882</v>
      </c>
      <c r="AJ46" s="13">
        <f>AI46*VLOOKUP('Données projet'!$B$10,Paramètres!$A$1:$I$89,3,0)*VLOOKUP('Données projet'!$B$10,Paramètres!$A$1:$I$89,5,0)</f>
        <v>124.41619999703552</v>
      </c>
      <c r="AK46" s="13">
        <f t="shared" si="35"/>
        <v>32.702828933394834</v>
      </c>
      <c r="AL46" s="20">
        <f t="shared" si="4"/>
        <v>273.64897538716622</v>
      </c>
      <c r="AM46" s="59">
        <f t="shared" si="5"/>
        <v>523.79015685359832</v>
      </c>
      <c r="AN46" s="59">
        <f ca="1">AVERAGE(OFFSET($AM$3,0,0,'Données projet'!$E$10+1,1))-AVERAGE(OFFSET($H$3,0,0,'Données projet'!$E$10+1,1))</f>
        <v>310.96303212465733</v>
      </c>
      <c r="AO46" s="59">
        <f t="shared" si="36"/>
        <v>248.17359812749166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29.169406712827996</v>
      </c>
      <c r="AV46" s="21">
        <f>EXP(-LN(2)/25)*AV45+(1-EXP(-LN(2)/25))/(LN(2)/25)*Calculateur!AQ46*Calculateur!AS46*VLOOKUP('Données projet'!$B$10,Paramètres!$A$1:$I$89,3,0)*0.475*44/12</f>
        <v>12.52602464372054</v>
      </c>
      <c r="AW46" s="21">
        <f>EXP(-LN(2)/2)*AW45+(1-EXP(-LN(2)/2))/(LN(2)/2)*AQ46*AT46*VLOOKUP('Données projet'!$B$10,Paramètres!$A$1:$I$89,3,0)*0.475*44/12</f>
        <v>2.7149611414977199</v>
      </c>
      <c r="AX46" s="21">
        <f t="shared" si="6"/>
        <v>44.410392498046257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15.211538457499998</v>
      </c>
      <c r="N47" s="13">
        <f>IF('Données projet'!$A$36&gt;35,N46+M47-V46,IF(A47&lt;'Données projet'!$A$36,$K$205^A47,IF(A47='Données projet'!$A$36,'Données projet'!$B$36,N46+M47-V46)))</f>
        <v>366.8999999699999</v>
      </c>
      <c r="O47" s="13">
        <f>N47*VLOOKUP('Données projet'!$B$9,Paramètres!$A$1:$I$89,3,0)*VLOOKUP('Données projet'!$B$9,Paramètres!$A$1:$I$89,5,0)</f>
        <v>219.40619998205995</v>
      </c>
      <c r="P47" s="13">
        <f t="shared" si="33"/>
        <v>53.985805926572915</v>
      </c>
      <c r="Q47" s="20">
        <f t="shared" si="53"/>
        <v>476.15774362420217</v>
      </c>
      <c r="R47" s="59">
        <f t="shared" si="0"/>
        <v>727.04821236233965</v>
      </c>
      <c r="S47" s="59">
        <f ca="1">AVERAGE(OFFSET($R$3,0,0,'Données projet'!$E$9+1,1))-AVERAGE(OFFSET($H$3,0,0,'Données projet'!$E$9+1,1))</f>
        <v>337.99164391065369</v>
      </c>
      <c r="T47" s="59">
        <f t="shared" si="34"/>
        <v>421.45428232119559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42.324319118300913</v>
      </c>
      <c r="AA47" s="21">
        <f>EXP(-LN(2)/25)*AA46+(1-EXP(-LN(2)/25))/(LN(2)/25)*Calculateur!V47*Calculateur!X47*VLOOKUP('Données projet'!$B$9,Paramètres!$A$1:$I$89,3,0)*0.475*44/12</f>
        <v>18.957306511716958</v>
      </c>
      <c r="AB47" s="21">
        <f>EXP(-LN(2)/2)*AB46+(1-EXP(-LN(2)/2))/(LN(2)/2)*V47*Y47*VLOOKUP('Données projet'!$B$9,Paramètres!$A$1:$I$89,3,0)*0.475*44/12</f>
        <v>2.1400113877475859</v>
      </c>
      <c r="AC47" s="22">
        <f t="shared" si="3"/>
        <v>63.421637017765455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11.861538464444449</v>
      </c>
      <c r="AI47" s="13">
        <f>IF('Données projet'!$A$62&gt;35,AI46+AH47-AQ46,IF(A47&lt;'Données projet'!$A$62,$AF$205^A47,IF(A47='Données projet'!$A$62,'Données projet'!$B$62,AI46+AH47-AQ46)))</f>
        <v>219.91538461333326</v>
      </c>
      <c r="AJ47" s="13">
        <f>AI47*VLOOKUP('Données projet'!$B$10,Paramètres!$A$1:$I$89,3,0)*VLOOKUP('Données projet'!$B$10,Paramètres!$A$1:$I$89,5,0)</f>
        <v>131.50939999877329</v>
      </c>
      <c r="AK47" s="13">
        <f t="shared" si="35"/>
        <v>34.344902681498482</v>
      </c>
      <c r="AL47" s="20">
        <f t="shared" si="4"/>
        <v>288.86291050147327</v>
      </c>
      <c r="AM47" s="59">
        <f t="shared" si="5"/>
        <v>539.75337923961069</v>
      </c>
      <c r="AN47" s="59">
        <f ca="1">AVERAGE(OFFSET($AM$3,0,0,'Données projet'!$E$10+1,1))-AVERAGE(OFFSET($H$3,0,0,'Données projet'!$E$10+1,1))</f>
        <v>310.96303212465733</v>
      </c>
      <c r="AO47" s="59">
        <f t="shared" si="36"/>
        <v>248.17359812749166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28.59741243877076</v>
      </c>
      <c r="AV47" s="21">
        <f>EXP(-LN(2)/25)*AV46+(1-EXP(-LN(2)/25))/(LN(2)/25)*Calculateur!AQ47*Calculateur!AS47*VLOOKUP('Données projet'!$B$10,Paramètres!$A$1:$I$89,3,0)*0.475*44/12</f>
        <v>12.183499841122995</v>
      </c>
      <c r="AW47" s="21">
        <f>EXP(-LN(2)/2)*AW46+(1-EXP(-LN(2)/2))/(LN(2)/2)*AQ47*AT47*VLOOKUP('Données projet'!$B$10,Paramètres!$A$1:$I$89,3,0)*0.475*44/12</f>
        <v>1.9197674338110078</v>
      </c>
      <c r="AX47" s="21">
        <f t="shared" si="6"/>
        <v>42.700679713704766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15.211538457499998</v>
      </c>
      <c r="N48" s="13">
        <f>IF('Données projet'!$A$36&gt;35,N47+M48-V47,IF(A48&lt;'Données projet'!$A$36,$K$205^A48,IF(A48='Données projet'!$A$36,'Données projet'!$B$36,N47+M48-V47)))</f>
        <v>382.11153842749991</v>
      </c>
      <c r="O48" s="13">
        <f>N48*VLOOKUP('Données projet'!$B$9,Paramètres!$A$1:$I$89,3,0)*VLOOKUP('Données projet'!$B$9,Paramètres!$A$1:$I$89,5,0)</f>
        <v>228.50269997964497</v>
      </c>
      <c r="P48" s="13">
        <f t="shared" si="33"/>
        <v>55.958807298138048</v>
      </c>
      <c r="Q48" s="20">
        <f t="shared" si="53"/>
        <v>495.43712517547209</v>
      </c>
      <c r="R48" s="59">
        <f t="shared" si="0"/>
        <v>747.06388272630625</v>
      </c>
      <c r="S48" s="59">
        <f ca="1">AVERAGE(OFFSET($R$3,0,0,'Données projet'!$E$9+1,1))-AVERAGE(OFFSET($H$3,0,0,'Données projet'!$E$9+1,1))</f>
        <v>337.99164391065369</v>
      </c>
      <c r="T48" s="59">
        <f t="shared" si="34"/>
        <v>421.45428232119559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41.494365035676644</v>
      </c>
      <c r="AA48" s="21">
        <f>EXP(-LN(2)/25)*AA47+(1-EXP(-LN(2)/25))/(LN(2)/25)*Calculateur!V48*Calculateur!X48*VLOOKUP('Données projet'!$B$9,Paramètres!$A$1:$I$89,3,0)*0.475*44/12</f>
        <v>18.438917968232637</v>
      </c>
      <c r="AB48" s="21">
        <f>EXP(-LN(2)/2)*AB47+(1-EXP(-LN(2)/2))/(LN(2)/2)*V48*Y48*VLOOKUP('Données projet'!$B$9,Paramètres!$A$1:$I$89,3,0)*0.475*44/12</f>
        <v>1.5132165640927522</v>
      </c>
      <c r="AC48" s="22">
        <f t="shared" si="3"/>
        <v>61.446499568002032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11.861538464444449</v>
      </c>
      <c r="AI48" s="13">
        <f>IF('Données projet'!$A$62&gt;35,AI47+AH48-AQ47,IF(A48&lt;'Données projet'!$A$62,$AF$205^A48,IF(A48='Données projet'!$A$62,'Données projet'!$B$62,AI47+AH48-AQ47)))</f>
        <v>231.7769230777777</v>
      </c>
      <c r="AJ48" s="13">
        <f>AI48*VLOOKUP('Données projet'!$B$10,Paramètres!$A$1:$I$89,3,0)*VLOOKUP('Données projet'!$B$10,Paramètres!$A$1:$I$89,5,0)</f>
        <v>138.60260000051107</v>
      </c>
      <c r="AK48" s="13">
        <f t="shared" si="35"/>
        <v>35.976694117055409</v>
      </c>
      <c r="AL48" s="20">
        <f t="shared" si="4"/>
        <v>304.05893725476164</v>
      </c>
      <c r="AM48" s="59">
        <f t="shared" si="5"/>
        <v>555.68569480559574</v>
      </c>
      <c r="AN48" s="59">
        <f ca="1">AVERAGE(OFFSET($AM$3,0,0,'Données projet'!$E$10+1,1))-AVERAGE(OFFSET($H$3,0,0,'Données projet'!$E$10+1,1))</f>
        <v>310.96303212465733</v>
      </c>
      <c r="AO48" s="59">
        <f t="shared" si="36"/>
        <v>248.17359812749166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28.03663462354573</v>
      </c>
      <c r="AV48" s="21">
        <f>EXP(-LN(2)/25)*AV47+(1-EXP(-LN(2)/25))/(LN(2)/25)*Calculateur!AQ48*Calculateur!AS48*VLOOKUP('Données projet'!$B$10,Paramètres!$A$1:$I$89,3,0)*0.475*44/12</f>
        <v>11.850341397265076</v>
      </c>
      <c r="AW48" s="21">
        <f>EXP(-LN(2)/2)*AW47+(1-EXP(-LN(2)/2))/(LN(2)/2)*AQ48*AT48*VLOOKUP('Données projet'!$B$10,Paramètres!$A$1:$I$89,3,0)*0.475*44/12</f>
        <v>1.3574805707488602</v>
      </c>
      <c r="AX48" s="21">
        <f t="shared" si="6"/>
        <v>41.244456591559668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15.211538457499998</v>
      </c>
      <c r="N49" s="13">
        <f>IF('Données projet'!$A$36&gt;35,N48+M49-V48,IF(A49&lt;'Données projet'!$A$36,$K$205^A49,IF(A49='Données projet'!$A$36,'Données projet'!$B$36,N48+M49-V48)))</f>
        <v>397.32307688499992</v>
      </c>
      <c r="O49" s="13">
        <f>N49*VLOOKUP('Données projet'!$B$9,Paramètres!$A$1:$I$89,3,0)*VLOOKUP('Données projet'!$B$9,Paramètres!$A$1:$I$89,5,0)</f>
        <v>237.59919997722997</v>
      </c>
      <c r="P49" s="13">
        <f t="shared" si="33"/>
        <v>57.922684807914578</v>
      </c>
      <c r="Q49" s="20">
        <f t="shared" si="53"/>
        <v>514.70061600079339</v>
      </c>
      <c r="R49" s="59">
        <f t="shared" si="0"/>
        <v>767.05088939951906</v>
      </c>
      <c r="S49" s="59">
        <f ca="1">AVERAGE(OFFSET($R$3,0,0,'Données projet'!$E$9+1,1))-AVERAGE(OFFSET($H$3,0,0,'Données projet'!$E$9+1,1))</f>
        <v>337.99164391065369</v>
      </c>
      <c r="T49" s="59">
        <f t="shared" si="34"/>
        <v>421.45428232119559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40.680685846390631</v>
      </c>
      <c r="AA49" s="21">
        <f>EXP(-LN(2)/25)*AA48+(1-EXP(-LN(2)/25))/(LN(2)/25)*Calculateur!V49*Calculateur!X49*VLOOKUP('Données projet'!$B$9,Paramètres!$A$1:$I$89,3,0)*0.475*44/12</f>
        <v>17.934704786730762</v>
      </c>
      <c r="AB49" s="21">
        <f>EXP(-LN(2)/2)*AB48+(1-EXP(-LN(2)/2))/(LN(2)/2)*V49*Y49*VLOOKUP('Données projet'!$B$9,Paramètres!$A$1:$I$89,3,0)*0.475*44/12</f>
        <v>1.070005693873793</v>
      </c>
      <c r="AC49" s="22">
        <f t="shared" si="3"/>
        <v>59.685396326995189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11.861538464444449</v>
      </c>
      <c r="AI49" s="13">
        <f>IF('Données projet'!$A$62&gt;35,AI48+AH49-AQ48,IF(A49&lt;'Données projet'!$A$62,$AF$205^A49,IF(A49='Données projet'!$A$62,'Données projet'!$B$62,AI48+AH49-AQ48)))</f>
        <v>243.63846154222213</v>
      </c>
      <c r="AJ49" s="13">
        <f>AI49*VLOOKUP('Données projet'!$B$10,Paramètres!$A$1:$I$89,3,0)*VLOOKUP('Données projet'!$B$10,Paramètres!$A$1:$I$89,5,0)</f>
        <v>145.69580000224886</v>
      </c>
      <c r="AK49" s="13">
        <f t="shared" si="35"/>
        <v>37.598789482503271</v>
      </c>
      <c r="AL49" s="20">
        <f t="shared" si="4"/>
        <v>319.23807668594327</v>
      </c>
      <c r="AM49" s="59">
        <f t="shared" si="5"/>
        <v>571.58835008466895</v>
      </c>
      <c r="AN49" s="59">
        <f ca="1">AVERAGE(OFFSET($AM$3,0,0,'Données projet'!$E$10+1,1))-AVERAGE(OFFSET($H$3,0,0,'Données projet'!$E$10+1,1))</f>
        <v>310.96303212465733</v>
      </c>
      <c r="AO49" s="59">
        <f t="shared" si="36"/>
        <v>248.17359812749166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27.48685331923657</v>
      </c>
      <c r="AV49" s="21">
        <f>EXP(-LN(2)/25)*AV48+(1-EXP(-LN(2)/25))/(LN(2)/25)*Calculateur!AQ49*Calculateur!AS49*VLOOKUP('Données projet'!$B$10,Paramètres!$A$1:$I$89,3,0)*0.475*44/12</f>
        <v>11.526293188574494</v>
      </c>
      <c r="AW49" s="21">
        <f>EXP(-LN(2)/2)*AW48+(1-EXP(-LN(2)/2))/(LN(2)/2)*AQ49*AT49*VLOOKUP('Données projet'!$B$10,Paramètres!$A$1:$I$89,3,0)*0.475*44/12</f>
        <v>0.959883716905504</v>
      </c>
      <c r="AX49" s="21">
        <f t="shared" si="6"/>
        <v>39.973030224716567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15.211538457499998</v>
      </c>
      <c r="N50" s="13">
        <f>IF('Données projet'!$A$36&gt;35,N49+M50-V49,IF(A50&lt;'Données projet'!$A$36,$K$205^A50,IF(A50='Données projet'!$A$36,'Données projet'!$B$36,N49+M50-V49)))</f>
        <v>412.53461534249993</v>
      </c>
      <c r="O50" s="13">
        <f>N50*VLOOKUP('Données projet'!$B$9,Paramètres!$A$1:$I$89,3,0)*VLOOKUP('Données projet'!$B$9,Paramètres!$A$1:$I$89,5,0)</f>
        <v>246.69569997481497</v>
      </c>
      <c r="P50" s="13">
        <f t="shared" si="33"/>
        <v>59.877827748923082</v>
      </c>
      <c r="Q50" s="20">
        <f t="shared" si="53"/>
        <v>533.94889411884367</v>
      </c>
      <c r="R50" s="59">
        <f t="shared" si="0"/>
        <v>787.01013198303906</v>
      </c>
      <c r="S50" s="59">
        <f ca="1">AVERAGE(OFFSET($R$3,0,0,'Données projet'!$E$9+1,1))-AVERAGE(OFFSET($H$3,0,0,'Données projet'!$E$9+1,1))</f>
        <v>337.99164391065369</v>
      </c>
      <c r="T50" s="59">
        <f t="shared" si="34"/>
        <v>421.45428232119559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39.882962409711219</v>
      </c>
      <c r="AA50" s="21">
        <f>EXP(-LN(2)/25)*AA49+(1-EXP(-LN(2)/25))/(LN(2)/25)*Calculateur!V50*Calculateur!X50*VLOOKUP('Données projet'!$B$9,Paramètres!$A$1:$I$89,3,0)*0.475*44/12</f>
        <v>17.444279341192477</v>
      </c>
      <c r="AB50" s="21">
        <f>EXP(-LN(2)/2)*AB49+(1-EXP(-LN(2)/2))/(LN(2)/2)*V50*Y50*VLOOKUP('Données projet'!$B$9,Paramètres!$A$1:$I$89,3,0)*0.475*44/12</f>
        <v>0.75660828204637609</v>
      </c>
      <c r="AC50" s="22">
        <f t="shared" si="3"/>
        <v>58.083850032950075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11.861538464444449</v>
      </c>
      <c r="AI50" s="13">
        <f>IF('Données projet'!$A$62&gt;35,AI49+AH50-AQ49,IF(A50&lt;'Données projet'!$A$62,$AF$205^A50,IF(A50='Données projet'!$A$62,'Données projet'!$B$62,AI49+AH50-AQ49)))</f>
        <v>255.50000000666657</v>
      </c>
      <c r="AJ50" s="13">
        <f>AI50*VLOOKUP('Données projet'!$B$10,Paramètres!$A$1:$I$89,3,0)*VLOOKUP('Données projet'!$B$10,Paramètres!$A$1:$I$89,5,0)</f>
        <v>152.78900000398662</v>
      </c>
      <c r="AK50" s="13">
        <f t="shared" si="35"/>
        <v>39.21171471283639</v>
      </c>
      <c r="AL50" s="20">
        <f t="shared" si="4"/>
        <v>334.40124479846673</v>
      </c>
      <c r="AM50" s="59">
        <f t="shared" si="5"/>
        <v>587.46248266266207</v>
      </c>
      <c r="AN50" s="59">
        <f ca="1">AVERAGE(OFFSET($AM$3,0,0,'Données projet'!$E$10+1,1))-AVERAGE(OFFSET($H$3,0,0,'Données projet'!$E$10+1,1))</f>
        <v>310.96303212465733</v>
      </c>
      <c r="AO50" s="59">
        <f t="shared" si="36"/>
        <v>248.17359812749166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26.947852890971426</v>
      </c>
      <c r="AV50" s="21">
        <f>EXP(-LN(2)/25)*AV49+(1-EXP(-LN(2)/25))/(LN(2)/25)*Calculateur!AQ50*Calculateur!AS50*VLOOKUP('Données projet'!$B$10,Paramètres!$A$1:$I$89,3,0)*0.475*44/12</f>
        <v>11.211106095191509</v>
      </c>
      <c r="AW50" s="21">
        <f>EXP(-LN(2)/2)*AW49+(1-EXP(-LN(2)/2))/(LN(2)/2)*AQ50*AT50*VLOOKUP('Données projet'!$B$10,Paramètres!$A$1:$I$89,3,0)*0.475*44/12</f>
        <v>0.67874028537443021</v>
      </c>
      <c r="AX50" s="21">
        <f t="shared" si="6"/>
        <v>38.837699271537367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</v>
      </c>
      <c r="L51" s="12">
        <f>VLOOKUP(A51,'Données projet'!$A$35:$I$55,9,0)</f>
        <v>15.211538457499998</v>
      </c>
      <c r="M51" s="12">
        <f t="array" ref="M51">INDEX(L:L,MIN(IF(ISNUMBER(L51:L247),ROW(L51:L247),"")))</f>
        <v>15.211538457499998</v>
      </c>
      <c r="N51" s="13">
        <f>IF('Données projet'!$A$36&gt;35,N50+M51-V50,IF(A51&lt;'Données projet'!$A$36,$K$205^A51,IF(A51='Données projet'!$A$36,'Données projet'!$B$36,N50+M51-V50)))</f>
        <v>427.74615379999995</v>
      </c>
      <c r="O51" s="13">
        <f>N51*VLOOKUP('Données projet'!$B$9,Paramètres!$A$1:$I$89,3,0)*VLOOKUP('Données projet'!$B$9,Paramètres!$A$1:$I$89,5,0)</f>
        <v>255.7921999724</v>
      </c>
      <c r="P51" s="13">
        <f t="shared" si="33"/>
        <v>61.824595078351074</v>
      </c>
      <c r="Q51" s="20">
        <f t="shared" si="53"/>
        <v>553.18258471339152</v>
      </c>
      <c r="R51" s="59">
        <f t="shared" si="0"/>
        <v>806.94245339905922</v>
      </c>
      <c r="S51" s="59">
        <f ca="1">AVERAGE(OFFSET($R$3,0,0,'Données projet'!$E$9+1,1))-AVERAGE(OFFSET($H$3,0,0,'Données projet'!$E$9+1,1))</f>
        <v>337.99164391065369</v>
      </c>
      <c r="T51" s="59">
        <f t="shared" si="34"/>
        <v>421.45428232119559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83.969230769999996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7.6500000000000012E-2</v>
      </c>
      <c r="Y51" s="16">
        <f>IF(ISNA(VLOOKUP(A51,'Données projet'!$A$35:$I$55,7,0)),0%,VLOOKUP(A51,'Données projet'!$A$35:$I$55,7,0))</f>
        <v>0.13</v>
      </c>
      <c r="Z51" s="21">
        <f>EXP(-LN(2)/35)*Z50+(1-EXP(-LN(2)/35))/(LN(2)/35)*V51*W51*VLOOKUP('Données projet'!$B$9,Paramètres!$A$1:$I$89,3,0)*0.475*44/12</f>
        <v>60.083528579246618</v>
      </c>
      <c r="AA51" s="21">
        <f>EXP(-LN(2)/25)*AA50+(1-EXP(-LN(2)/25))/(LN(2)/25)*Calculateur!V51*Calculateur!X51*VLOOKUP('Données projet'!$B$9,Paramètres!$A$1:$I$89,3,0)*0.475*44/12</f>
        <v>22.042986191488168</v>
      </c>
      <c r="AB51" s="21">
        <f>EXP(-LN(2)/2)*AB50+(1-EXP(-LN(2)/2))/(LN(2)/2)*V51*Y51*VLOOKUP('Données projet'!$B$9,Paramètres!$A$1:$I$89,3,0)*0.475*44/12</f>
        <v>7.9259526073643469</v>
      </c>
      <c r="AC51" s="22">
        <f t="shared" si="3"/>
        <v>90.052467378099138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11.861538464444449</v>
      </c>
      <c r="AI51" s="13">
        <f>IF('Données projet'!$A$62&gt;35,AI50+AH51-AQ50,IF(A51&lt;'Données projet'!$A$62,$AF$205^A51,IF(A51='Données projet'!$A$62,'Données projet'!$B$62,AI50+AH51-AQ50)))</f>
        <v>267.36153847111103</v>
      </c>
      <c r="AJ51" s="13">
        <f>AI51*VLOOKUP('Données projet'!$B$10,Paramètres!$A$1:$I$89,3,0)*VLOOKUP('Données projet'!$B$10,Paramètres!$A$1:$I$89,5,0)</f>
        <v>159.8822000057244</v>
      </c>
      <c r="AK51" s="13">
        <f t="shared" si="35"/>
        <v>40.815944150332982</v>
      </c>
      <c r="AL51" s="20">
        <f t="shared" si="4"/>
        <v>349.54926773846654</v>
      </c>
      <c r="AM51" s="59">
        <f t="shared" si="5"/>
        <v>603.30913642413429</v>
      </c>
      <c r="AN51" s="59">
        <f ca="1">AVERAGE(OFFSET($AM$3,0,0,'Données projet'!$E$10+1,1))-AVERAGE(OFFSET($H$3,0,0,'Données projet'!$E$10+1,1))</f>
        <v>310.96303212465733</v>
      </c>
      <c r="AO51" s="59">
        <f t="shared" si="36"/>
        <v>248.17359812749166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26.419421932346765</v>
      </c>
      <c r="AV51" s="21">
        <f>EXP(-LN(2)/25)*AV50+(1-EXP(-LN(2)/25))/(LN(2)/25)*Calculateur!AQ51*Calculateur!AS51*VLOOKUP('Données projet'!$B$10,Paramètres!$A$1:$I$89,3,0)*0.475*44/12</f>
        <v>10.904537809452052</v>
      </c>
      <c r="AW51" s="21">
        <f>EXP(-LN(2)/2)*AW50+(1-EXP(-LN(2)/2))/(LN(2)/2)*AQ51*AT51*VLOOKUP('Données projet'!$B$10,Paramètres!$A$1:$I$89,3,0)*0.475*44/12</f>
        <v>0.47994185845275206</v>
      </c>
      <c r="AX51" s="21">
        <f t="shared" si="6"/>
        <v>37.803901600251571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12.837500008749998</v>
      </c>
      <c r="N52" s="13">
        <f>IF('Données projet'!$A$36&gt;35,N51+M52-V51,IF(A52&lt;'Données projet'!$A$36,$K$205^A52,IF(A52='Données projet'!$A$36,'Données projet'!$B$36,N51+M52-V51)))</f>
        <v>356.61442303874992</v>
      </c>
      <c r="O52" s="13">
        <f>N52*VLOOKUP('Données projet'!$B$9,Paramètres!$A$1:$I$89,3,0)*VLOOKUP('Données projet'!$B$9,Paramètres!$A$1:$I$89,5,0)</f>
        <v>213.25542497717245</v>
      </c>
      <c r="P52" s="13">
        <f t="shared" si="33"/>
        <v>52.646339802891589</v>
      </c>
      <c r="Q52" s="20">
        <f t="shared" si="53"/>
        <v>463.11224032527815</v>
      </c>
      <c r="R52" s="59">
        <f t="shared" si="0"/>
        <v>717.55862014957006</v>
      </c>
      <c r="S52" s="59">
        <f ca="1">AVERAGE(OFFSET($R$3,0,0,'Données projet'!$E$9+1,1))-AVERAGE(OFFSET($H$3,0,0,'Données projet'!$E$9+1,1))</f>
        <v>337.99164391065369</v>
      </c>
      <c r="T52" s="59">
        <f t="shared" si="34"/>
        <v>421.45428232119559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58.905327231141399</v>
      </c>
      <c r="AA52" s="21">
        <f>EXP(-LN(2)/25)*AA51+(1-EXP(-LN(2)/25))/(LN(2)/25)*Calculateur!V52*Calculateur!X52*VLOOKUP('Données projet'!$B$9,Paramètres!$A$1:$I$89,3,0)*0.475*44/12</f>
        <v>21.44021957489166</v>
      </c>
      <c r="AB52" s="21">
        <f>EXP(-LN(2)/2)*AB51+(1-EXP(-LN(2)/2))/(LN(2)/2)*V52*Y52*VLOOKUP('Données projet'!$B$9,Paramètres!$A$1:$I$89,3,0)*0.475*44/12</f>
        <v>5.6044948360305273</v>
      </c>
      <c r="AC52" s="22">
        <f t="shared" si="3"/>
        <v>85.950041642063582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11.861538464444449</v>
      </c>
      <c r="AI52" s="13">
        <f>IF('Données projet'!$A$62&gt;35,AI51+AH52-AQ51,IF(A52&lt;'Données projet'!$A$62,$AF$205^A52,IF(A52='Données projet'!$A$62,'Données projet'!$B$62,AI51+AH52-AQ51)))</f>
        <v>279.22307693555547</v>
      </c>
      <c r="AJ52" s="13">
        <f>AI52*VLOOKUP('Données projet'!$B$10,Paramètres!$A$1:$I$89,3,0)*VLOOKUP('Données projet'!$B$10,Paramètres!$A$1:$I$89,5,0)</f>
        <v>166.97540000746218</v>
      </c>
      <c r="AK52" s="13">
        <f t="shared" si="35"/>
        <v>42.411907669089963</v>
      </c>
      <c r="AL52" s="20">
        <f t="shared" si="4"/>
        <v>364.68289420332832</v>
      </c>
      <c r="AM52" s="59">
        <f t="shared" si="5"/>
        <v>619.12927402762034</v>
      </c>
      <c r="AN52" s="59">
        <f ca="1">AVERAGE(OFFSET($AM$3,0,0,'Données projet'!$E$10+1,1))-AVERAGE(OFFSET($H$3,0,0,'Données projet'!$E$10+1,1))</f>
        <v>310.96303212465733</v>
      </c>
      <c r="AO52" s="59">
        <f t="shared" si="36"/>
        <v>248.17359812749166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25.901353182509673</v>
      </c>
      <c r="AV52" s="21">
        <f>EXP(-LN(2)/25)*AV51+(1-EXP(-LN(2)/25))/(LN(2)/25)*Calculateur!AQ52*Calculateur!AS52*VLOOKUP('Données projet'!$B$10,Paramètres!$A$1:$I$89,3,0)*0.475*44/12</f>
        <v>10.606352649607864</v>
      </c>
      <c r="AW52" s="21">
        <f>EXP(-LN(2)/2)*AW51+(1-EXP(-LN(2)/2))/(LN(2)/2)*AQ52*AT52*VLOOKUP('Données projet'!$B$10,Paramètres!$A$1:$I$89,3,0)*0.475*44/12</f>
        <v>0.33937014268721516</v>
      </c>
      <c r="AX52" s="21">
        <f t="shared" si="6"/>
        <v>36.847075974804753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12.837500008749998</v>
      </c>
      <c r="N53" s="13">
        <f>IF('Données projet'!$A$36&gt;35,N52+M53-V52,IF(A53&lt;'Données projet'!$A$36,$K$205^A53,IF(A53='Données projet'!$A$36,'Données projet'!$B$36,N52+M53-V52)))</f>
        <v>369.45192304749992</v>
      </c>
      <c r="O53" s="13">
        <f>N53*VLOOKUP('Données projet'!$B$9,Paramètres!$A$1:$I$89,3,0)*VLOOKUP('Données projet'!$B$9,Paramètres!$A$1:$I$89,5,0)</f>
        <v>220.93224998240498</v>
      </c>
      <c r="P53" s="13">
        <f t="shared" si="33"/>
        <v>54.317455756196637</v>
      </c>
      <c r="Q53" s="20">
        <f t="shared" si="53"/>
        <v>479.39323749473118</v>
      </c>
      <c r="R53" s="59">
        <f t="shared" si="0"/>
        <v>734.51421902420134</v>
      </c>
      <c r="S53" s="59">
        <f ca="1">AVERAGE(OFFSET($R$3,0,0,'Données projet'!$E$9+1,1))-AVERAGE(OFFSET($H$3,0,0,'Données projet'!$E$9+1,1))</f>
        <v>337.99164391065369</v>
      </c>
      <c r="T53" s="59">
        <f t="shared" si="34"/>
        <v>421.45428232119559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57.750229692840662</v>
      </c>
      <c r="AA53" s="21">
        <f>EXP(-LN(2)/25)*AA52+(1-EXP(-LN(2)/25))/(LN(2)/25)*Calculateur!V53*Calculateur!X53*VLOOKUP('Données projet'!$B$9,Paramètres!$A$1:$I$89,3,0)*0.475*44/12</f>
        <v>20.853935643124103</v>
      </c>
      <c r="AB53" s="21">
        <f>EXP(-LN(2)/2)*AB52+(1-EXP(-LN(2)/2))/(LN(2)/2)*V53*Y53*VLOOKUP('Données projet'!$B$9,Paramètres!$A$1:$I$89,3,0)*0.475*44/12</f>
        <v>3.9629763036821739</v>
      </c>
      <c r="AC53" s="22">
        <f t="shared" si="3"/>
        <v>82.567141639646934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291.08461540000002</v>
      </c>
      <c r="AG53" s="12">
        <f>VLOOKUP(A53,'Données projet'!$A$61:$I$81,9,0)</f>
        <v>11.861538464444449</v>
      </c>
      <c r="AH53" s="12">
        <f t="array" ref="AH53">INDEX(AG:AG,MIN(IF(ISNUMBER(AG53:AG249),ROW(AG53:AG249),"")))</f>
        <v>11.861538464444449</v>
      </c>
      <c r="AI53" s="13">
        <f>IF('Données projet'!$A$62&gt;35,AI52+AH53-AQ52,IF(A53&lt;'Données projet'!$A$62,$AF$205^A53,IF(A53='Données projet'!$A$62,'Données projet'!$B$62,AI52+AH53-AQ52)))</f>
        <v>291.0846153999999</v>
      </c>
      <c r="AJ53" s="13">
        <f>AI53*VLOOKUP('Données projet'!$B$10,Paramètres!$A$1:$I$89,3,0)*VLOOKUP('Données projet'!$B$10,Paramètres!$A$1:$I$89,5,0)</f>
        <v>174.06860000919997</v>
      </c>
      <c r="AK53" s="13">
        <f t="shared" si="35"/>
        <v>43.999996554808654</v>
      </c>
      <c r="AL53" s="20">
        <f t="shared" si="4"/>
        <v>379.80280568231501</v>
      </c>
      <c r="AM53" s="59">
        <f t="shared" si="5"/>
        <v>634.92378721178511</v>
      </c>
      <c r="AN53" s="59">
        <f ca="1">AVERAGE(OFFSET($AM$3,0,0,'Données projet'!$E$10+1,1))-AVERAGE(OFFSET($H$3,0,0,'Données projet'!$E$10+1,1))</f>
        <v>310.96303212465733</v>
      </c>
      <c r="AO53" s="59">
        <f t="shared" si="36"/>
        <v>248.17359812749166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55.292307690000001</v>
      </c>
      <c r="AR53" s="16">
        <f>IF(ISNA(VLOOKUP(A53,'Données projet'!$A$61:$I$81,5,0)),0%,VLOOKUP(A53,'Données projet'!$A$61:$I$81,5,0)*VLOOKUP('Données projet'!$B$10,Paramètres!$A$1:$I$89,7,0))</f>
        <v>0.315</v>
      </c>
      <c r="AS53" s="16">
        <f>IF(ISNA(VLOOKUP(A53,'Données projet'!$A$61:$I$81,6,0)),0%,VLOOKUP(A53,'Données projet'!$A$61:$I$81,6,0)*VLOOKUP('Données projet'!$B$10,Paramètres!$A$1:$I$89,7,0))</f>
        <v>7.6500000000000012E-2</v>
      </c>
      <c r="AT53" s="16">
        <f>IF(ISNA(VLOOKUP(A53,'Données projet'!$A$61:$I$81,7,0)),0%,VLOOKUP(A53,'Données projet'!$A$61:$I$81,7,0))</f>
        <v>0.13</v>
      </c>
      <c r="AU53" s="21">
        <f>EXP(-LN(2)/35)*AU52+(1-EXP(-LN(2)/35))/(LN(2)/35)*AQ53*AR53*VLOOKUP('Données projet'!$B$10,Paramètres!$A$1:$I$89,3,0)*0.475*44/12</f>
        <v>39.210158792247945</v>
      </c>
      <c r="AV53" s="21">
        <f>EXP(-LN(2)/25)*AV52+(1-EXP(-LN(2)/25))/(LN(2)/25)*Calculateur!AQ53*Calculateur!AS53*VLOOKUP('Données projet'!$B$10,Paramètres!$A$1:$I$89,3,0)*0.475*44/12</f>
        <v>13.658597556727974</v>
      </c>
      <c r="AW53" s="21">
        <f>EXP(-LN(2)/2)*AW52+(1-EXP(-LN(2)/2))/(LN(2)/2)*AQ53*AT53*VLOOKUP('Données projet'!$B$10,Paramètres!$A$1:$I$89,3,0)*0.475*44/12</f>
        <v>5.1067854102861556</v>
      </c>
      <c r="AX53" s="21">
        <f t="shared" si="6"/>
        <v>57.975541759262079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12.837500008749998</v>
      </c>
      <c r="N54" s="13">
        <f>IF('Données projet'!$A$36&gt;35,N53+M54-V53,IF(A54&lt;'Données projet'!$A$36,$K$205^A54,IF(A54='Données projet'!$A$36,'Données projet'!$B$36,N53+M54-V53)))</f>
        <v>382.28942305624992</v>
      </c>
      <c r="O54" s="13">
        <f>N54*VLOOKUP('Données projet'!$B$9,Paramètres!$A$1:$I$89,3,0)*VLOOKUP('Données projet'!$B$9,Paramètres!$A$1:$I$89,5,0)</f>
        <v>228.60907498763746</v>
      </c>
      <c r="P54" s="13">
        <f t="shared" si="33"/>
        <v>55.981824931147017</v>
      </c>
      <c r="Q54" s="20">
        <f t="shared" si="53"/>
        <v>495.66248402521632</v>
      </c>
      <c r="R54" s="59">
        <f t="shared" si="0"/>
        <v>751.44636442846308</v>
      </c>
      <c r="S54" s="59">
        <f ca="1">AVERAGE(OFFSET($R$3,0,0,'Données projet'!$E$9+1,1))-AVERAGE(OFFSET($H$3,0,0,'Données projet'!$E$9+1,1))</f>
        <v>337.99164391065369</v>
      </c>
      <c r="T54" s="59">
        <f t="shared" si="34"/>
        <v>421.45428232119559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56.617782912726071</v>
      </c>
      <c r="AA54" s="21">
        <f>EXP(-LN(2)/25)*AA53+(1-EXP(-LN(2)/25))/(LN(2)/25)*Calculateur!V54*Calculateur!X54*VLOOKUP('Données projet'!$B$9,Paramètres!$A$1:$I$89,3,0)*0.475*44/12</f>
        <v>20.283683676302061</v>
      </c>
      <c r="AB54" s="21">
        <f>EXP(-LN(2)/2)*AB53+(1-EXP(-LN(2)/2))/(LN(2)/2)*V54*Y54*VLOOKUP('Données projet'!$B$9,Paramètres!$A$1:$I$89,3,0)*0.475*44/12</f>
        <v>2.8022474180152641</v>
      </c>
      <c r="AC54" s="22">
        <f t="shared" si="3"/>
        <v>79.703714007043402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10.663076919</v>
      </c>
      <c r="AI54" s="13">
        <f>IF('Données projet'!$A$62&gt;35,AI53+AH54-AQ53,IF(A54&lt;'Données projet'!$A$62,$AF$205^A54,IF(A54='Données projet'!$A$62,'Données projet'!$B$62,AI53+AH54-AQ53)))</f>
        <v>246.45538462899989</v>
      </c>
      <c r="AJ54" s="13">
        <f>AI54*VLOOKUP('Données projet'!$B$10,Paramètres!$A$1:$I$89,3,0)*VLOOKUP('Données projet'!$B$10,Paramètres!$A$1:$I$89,5,0)</f>
        <v>147.38032000814195</v>
      </c>
      <c r="AK54" s="13">
        <f t="shared" si="35"/>
        <v>37.98264485641171</v>
      </c>
      <c r="AL54" s="20">
        <f t="shared" si="4"/>
        <v>322.84049713909758</v>
      </c>
      <c r="AM54" s="59">
        <f t="shared" si="5"/>
        <v>578.6243775423444</v>
      </c>
      <c r="AN54" s="59">
        <f ca="1">AVERAGE(OFFSET($AM$3,0,0,'Données projet'!$E$10+1,1))-AVERAGE(OFFSET($H$3,0,0,'Données projet'!$E$10+1,1))</f>
        <v>310.96303212465733</v>
      </c>
      <c r="AO54" s="59">
        <f t="shared" si="36"/>
        <v>248.17359812749166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38.441271494167331</v>
      </c>
      <c r="AV54" s="21">
        <f>EXP(-LN(2)/25)*AV53+(1-EXP(-LN(2)/25))/(LN(2)/25)*Calculateur!AQ54*Calculateur!AS54*VLOOKUP('Données projet'!$B$10,Paramètres!$A$1:$I$89,3,0)*0.475*44/12</f>
        <v>13.285102488264819</v>
      </c>
      <c r="AW54" s="21">
        <f>EXP(-LN(2)/2)*AW53+(1-EXP(-LN(2)/2))/(LN(2)/2)*AQ54*AT54*VLOOKUP('Données projet'!$B$10,Paramètres!$A$1:$I$89,3,0)*0.475*44/12</f>
        <v>3.6110425936778663</v>
      </c>
      <c r="AX54" s="21">
        <f t="shared" si="6"/>
        <v>55.337416576110016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12.837500008749998</v>
      </c>
      <c r="N55" s="13">
        <f>IF('Données projet'!$A$36&gt;35,N54+M55-V54,IF(A55&lt;'Données projet'!$A$36,$K$205^A55,IF(A55='Données projet'!$A$36,'Données projet'!$B$36,N54+M55-V54)))</f>
        <v>395.12692306499991</v>
      </c>
      <c r="O55" s="13">
        <f>N55*VLOOKUP('Données projet'!$B$9,Paramètres!$A$1:$I$89,3,0)*VLOOKUP('Données projet'!$B$9,Paramètres!$A$1:$I$89,5,0)</f>
        <v>236.28589999286996</v>
      </c>
      <c r="P55" s="13">
        <f t="shared" si="33"/>
        <v>57.639699862860908</v>
      </c>
      <c r="Q55" s="20">
        <f t="shared" si="53"/>
        <v>511.92041974873126</v>
      </c>
      <c r="R55" s="59">
        <f t="shared" si="0"/>
        <v>768.35569921231468</v>
      </c>
      <c r="S55" s="59">
        <f ca="1">AVERAGE(OFFSET($R$3,0,0,'Données projet'!$E$9+1,1))-AVERAGE(OFFSET($H$3,0,0,'Données projet'!$E$9+1,1))</f>
        <v>337.99164391065369</v>
      </c>
      <c r="T55" s="59">
        <f t="shared" si="34"/>
        <v>421.45428232119559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55.507542723245194</v>
      </c>
      <c r="AA55" s="21">
        <f>EXP(-LN(2)/25)*AA54+(1-EXP(-LN(2)/25))/(LN(2)/25)*Calculateur!V55*Calculateur!X55*VLOOKUP('Données projet'!$B$9,Paramètres!$A$1:$I$89,3,0)*0.475*44/12</f>
        <v>19.729025279501016</v>
      </c>
      <c r="AB55" s="21">
        <f>EXP(-LN(2)/2)*AB54+(1-EXP(-LN(2)/2))/(LN(2)/2)*V55*Y55*VLOOKUP('Données projet'!$B$9,Paramètres!$A$1:$I$89,3,0)*0.475*44/12</f>
        <v>1.9814881518410872</v>
      </c>
      <c r="AC55" s="22">
        <f t="shared" si="3"/>
        <v>77.218056154587302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10.663076919</v>
      </c>
      <c r="AI55" s="13">
        <f>IF('Données projet'!$A$62&gt;35,AI54+AH55-AQ54,IF(A55&lt;'Données projet'!$A$62,$AF$205^A55,IF(A55='Données projet'!$A$62,'Données projet'!$B$62,AI54+AH55-AQ54)))</f>
        <v>257.11846154799991</v>
      </c>
      <c r="AJ55" s="13">
        <f>AI55*VLOOKUP('Données projet'!$B$10,Paramètres!$A$1:$I$89,3,0)*VLOOKUP('Données projet'!$B$10,Paramètres!$A$1:$I$89,5,0)</f>
        <v>153.75684000570396</v>
      </c>
      <c r="AK55" s="13">
        <f t="shared" si="35"/>
        <v>39.431107960775321</v>
      </c>
      <c r="AL55" s="20">
        <f t="shared" si="4"/>
        <v>336.46900937495138</v>
      </c>
      <c r="AM55" s="59">
        <f t="shared" si="5"/>
        <v>592.90428883853474</v>
      </c>
      <c r="AN55" s="59">
        <f ca="1">AVERAGE(OFFSET($AM$3,0,0,'Données projet'!$E$10+1,1))-AVERAGE(OFFSET($H$3,0,0,'Données projet'!$E$10+1,1))</f>
        <v>310.96303212465733</v>
      </c>
      <c r="AO55" s="59">
        <f t="shared" si="36"/>
        <v>248.17359812749166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37.687461607027139</v>
      </c>
      <c r="AV55" s="21">
        <f>EXP(-LN(2)/25)*AV54+(1-EXP(-LN(2)/25))/(LN(2)/25)*Calculateur!AQ55*Calculateur!AS55*VLOOKUP('Données projet'!$B$10,Paramètres!$A$1:$I$89,3,0)*0.475*44/12</f>
        <v>12.921820662090042</v>
      </c>
      <c r="AW55" s="21">
        <f>EXP(-LN(2)/2)*AW54+(1-EXP(-LN(2)/2))/(LN(2)/2)*AQ55*AT55*VLOOKUP('Données projet'!$B$10,Paramètres!$A$1:$I$89,3,0)*0.475*44/12</f>
        <v>2.5533927051430783</v>
      </c>
      <c r="AX55" s="21">
        <f t="shared" si="6"/>
        <v>53.162674974260256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12.837500008749998</v>
      </c>
      <c r="N56" s="13">
        <f>IF('Données projet'!$A$36&gt;35,N55+M56-V55,IF(A56&lt;'Données projet'!$A$36,$K$205^A56,IF(A56='Données projet'!$A$36,'Données projet'!$B$36,N55+M56-V55)))</f>
        <v>407.96442307374991</v>
      </c>
      <c r="O56" s="13">
        <f>N56*VLOOKUP('Données projet'!$B$9,Paramètres!$A$1:$I$89,3,0)*VLOOKUP('Données projet'!$B$9,Paramètres!$A$1:$I$89,5,0)</f>
        <v>243.96272499810246</v>
      </c>
      <c r="P56" s="13">
        <f t="shared" si="33"/>
        <v>59.29131574543775</v>
      </c>
      <c r="Q56" s="20">
        <f t="shared" si="53"/>
        <v>528.16745429499917</v>
      </c>
      <c r="R56" s="59">
        <f t="shared" si="0"/>
        <v>785.24283250153235</v>
      </c>
      <c r="S56" s="59">
        <f ca="1">AVERAGE(OFFSET($R$3,0,0,'Données projet'!$E$9+1,1))-AVERAGE(OFFSET($H$3,0,0,'Données projet'!$E$9+1,1))</f>
        <v>337.99164391065369</v>
      </c>
      <c r="T56" s="59">
        <f t="shared" si="34"/>
        <v>421.45428232119559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54.419073666700392</v>
      </c>
      <c r="AA56" s="21">
        <f>EXP(-LN(2)/25)*AA55+(1-EXP(-LN(2)/25))/(LN(2)/25)*Calculateur!V56*Calculateur!X56*VLOOKUP('Données projet'!$B$9,Paramètres!$A$1:$I$89,3,0)*0.475*44/12</f>
        <v>19.189534045728713</v>
      </c>
      <c r="AB56" s="21">
        <f>EXP(-LN(2)/2)*AB55+(1-EXP(-LN(2)/2))/(LN(2)/2)*V56*Y56*VLOOKUP('Données projet'!$B$9,Paramètres!$A$1:$I$89,3,0)*0.475*44/12</f>
        <v>1.4011237090076323</v>
      </c>
      <c r="AC56" s="22">
        <f t="shared" si="3"/>
        <v>75.00973142143674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10.663076919</v>
      </c>
      <c r="AI56" s="13">
        <f>IF('Données projet'!$A$62&gt;35,AI55+AH56-AQ55,IF(A56&lt;'Données projet'!$A$62,$AF$205^A56,IF(A56='Données projet'!$A$62,'Données projet'!$B$62,AI55+AH56-AQ55)))</f>
        <v>267.7815384669999</v>
      </c>
      <c r="AJ56" s="13">
        <f>AI56*VLOOKUP('Données projet'!$B$10,Paramètres!$A$1:$I$89,3,0)*VLOOKUP('Données projet'!$B$10,Paramètres!$A$1:$I$89,5,0)</f>
        <v>160.13336000326595</v>
      </c>
      <c r="AK56" s="13">
        <f t="shared" si="35"/>
        <v>40.872593668978823</v>
      </c>
      <c r="AL56" s="20">
        <f t="shared" si="4"/>
        <v>350.08536931249296</v>
      </c>
      <c r="AM56" s="59">
        <f t="shared" si="5"/>
        <v>607.16074751902624</v>
      </c>
      <c r="AN56" s="59">
        <f ca="1">AVERAGE(OFFSET($AM$3,0,0,'Données projet'!$E$10+1,1))-AVERAGE(OFFSET($H$3,0,0,'Données projet'!$E$10+1,1))</f>
        <v>310.96303212465733</v>
      </c>
      <c r="AO56" s="59">
        <f t="shared" si="36"/>
        <v>248.17359812749166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36.948433471995131</v>
      </c>
      <c r="AV56" s="21">
        <f>EXP(-LN(2)/25)*AV55+(1-EXP(-LN(2)/25))/(LN(2)/25)*Calculateur!AQ56*Calculateur!AS56*VLOOKUP('Données projet'!$B$10,Paramètres!$A$1:$I$89,3,0)*0.475*44/12</f>
        <v>12.568472796556174</v>
      </c>
      <c r="AW56" s="21">
        <f>EXP(-LN(2)/2)*AW55+(1-EXP(-LN(2)/2))/(LN(2)/2)*AQ56*AT56*VLOOKUP('Données projet'!$B$10,Paramètres!$A$1:$I$89,3,0)*0.475*44/12</f>
        <v>1.8055212968389334</v>
      </c>
      <c r="AX56" s="21">
        <f t="shared" si="6"/>
        <v>51.322427565390235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12.837500008749998</v>
      </c>
      <c r="N57" s="13">
        <f>IF('Données projet'!$A$36&gt;35,N56+M57-V56,IF(A57&lt;'Données projet'!$A$36,$K$205^A57,IF(A57='Données projet'!$A$36,'Données projet'!$B$36,N56+M57-V56)))</f>
        <v>420.80192308249991</v>
      </c>
      <c r="O57" s="13">
        <f>N57*VLOOKUP('Données projet'!$B$9,Paramètres!$A$1:$I$89,3,0)*VLOOKUP('Données projet'!$B$9,Paramètres!$A$1:$I$89,5,0)</f>
        <v>251.63955000333499</v>
      </c>
      <c r="P57" s="13">
        <f t="shared" si="33"/>
        <v>60.936892130526239</v>
      </c>
      <c r="Q57" s="20">
        <f t="shared" si="53"/>
        <v>544.40397004980832</v>
      </c>
      <c r="R57" s="59">
        <f t="shared" si="0"/>
        <v>802.10834271714771</v>
      </c>
      <c r="S57" s="59">
        <f ca="1">AVERAGE(OFFSET($R$3,0,0,'Données projet'!$E$9+1,1))-AVERAGE(OFFSET($H$3,0,0,'Données projet'!$E$9+1,1))</f>
        <v>337.99164391065369</v>
      </c>
      <c r="T57" s="59">
        <f t="shared" si="34"/>
        <v>421.45428232119559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53.351948824453864</v>
      </c>
      <c r="AA57" s="21">
        <f>EXP(-LN(2)/25)*AA56+(1-EXP(-LN(2)/25))/(LN(2)/25)*Calculateur!V57*Calculateur!X57*VLOOKUP('Données projet'!$B$9,Paramètres!$A$1:$I$89,3,0)*0.475*44/12</f>
        <v>18.664795228114524</v>
      </c>
      <c r="AB57" s="21">
        <f>EXP(-LN(2)/2)*AB56+(1-EXP(-LN(2)/2))/(LN(2)/2)*V57*Y57*VLOOKUP('Données projet'!$B$9,Paramètres!$A$1:$I$89,3,0)*0.475*44/12</f>
        <v>0.99074407592054381</v>
      </c>
      <c r="AC57" s="22">
        <f t="shared" si="3"/>
        <v>73.00748812848893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10.663076919</v>
      </c>
      <c r="AI57" s="13">
        <f>IF('Données projet'!$A$62&gt;35,AI56+AH57-AQ56,IF(A57&lt;'Données projet'!$A$62,$AF$205^A57,IF(A57='Données projet'!$A$62,'Données projet'!$B$62,AI56+AH57-AQ56)))</f>
        <v>278.4446153859999</v>
      </c>
      <c r="AJ57" s="13">
        <f>AI57*VLOOKUP('Données projet'!$B$10,Paramètres!$A$1:$I$89,3,0)*VLOOKUP('Données projet'!$B$10,Paramètres!$A$1:$I$89,5,0)</f>
        <v>166.50988000082796</v>
      </c>
      <c r="AK57" s="13">
        <f t="shared" si="35"/>
        <v>42.307411610962831</v>
      </c>
      <c r="AL57" s="20">
        <f t="shared" si="4"/>
        <v>363.69011622386893</v>
      </c>
      <c r="AM57" s="59">
        <f t="shared" si="5"/>
        <v>621.39448889120831</v>
      </c>
      <c r="AN57" s="59">
        <f ca="1">AVERAGE(OFFSET($AM$3,0,0,'Données projet'!$E$10+1,1))-AVERAGE(OFFSET($H$3,0,0,'Données projet'!$E$10+1,1))</f>
        <v>310.96303212465733</v>
      </c>
      <c r="AO57" s="59">
        <f t="shared" si="36"/>
        <v>248.17359812749166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36.223897227928447</v>
      </c>
      <c r="AV57" s="21">
        <f>EXP(-LN(2)/25)*AV56+(1-EXP(-LN(2)/25))/(LN(2)/25)*Calculateur!AQ57*Calculateur!AS57*VLOOKUP('Données projet'!$B$10,Paramètres!$A$1:$I$89,3,0)*0.475*44/12</f>
        <v>12.224787246987086</v>
      </c>
      <c r="AW57" s="21">
        <f>EXP(-LN(2)/2)*AW56+(1-EXP(-LN(2)/2))/(LN(2)/2)*AQ57*AT57*VLOOKUP('Données projet'!$B$10,Paramètres!$A$1:$I$89,3,0)*0.475*44/12</f>
        <v>1.2766963525715394</v>
      </c>
      <c r="AX57" s="21">
        <f t="shared" si="6"/>
        <v>49.725380827487072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12.837500008749998</v>
      </c>
      <c r="N58" s="13">
        <f>IF('Données projet'!$A$36&gt;35,N57+M58-V57,IF(A58&lt;'Données projet'!$A$36,$K$205^A58,IF(A58='Données projet'!$A$36,'Données projet'!$B$36,N57+M58-V57)))</f>
        <v>433.63942309124991</v>
      </c>
      <c r="O58" s="13">
        <f>N58*VLOOKUP('Données projet'!$B$9,Paramètres!$A$1:$I$89,3,0)*VLOOKUP('Données projet'!$B$9,Paramètres!$A$1:$I$89,5,0)</f>
        <v>259.31637500856749</v>
      </c>
      <c r="P58" s="13">
        <f t="shared" si="33"/>
        <v>62.576634412795471</v>
      </c>
      <c r="Q58" s="20">
        <f t="shared" si="53"/>
        <v>560.63032474220711</v>
      </c>
      <c r="R58" s="59">
        <f t="shared" si="0"/>
        <v>818.95278022267848</v>
      </c>
      <c r="S58" s="59">
        <f ca="1">AVERAGE(OFFSET($R$3,0,0,'Données projet'!$E$9+1,1))-AVERAGE(OFFSET($H$3,0,0,'Données projet'!$E$9+1,1))</f>
        <v>337.99164391065369</v>
      </c>
      <c r="T58" s="59">
        <f t="shared" si="34"/>
        <v>421.45428232119559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52.305749649481903</v>
      </c>
      <c r="AA58" s="21">
        <f>EXP(-LN(2)/25)*AA57+(1-EXP(-LN(2)/25))/(LN(2)/25)*Calculateur!V58*Calculateur!X58*VLOOKUP('Données projet'!$B$9,Paramètres!$A$1:$I$89,3,0)*0.475*44/12</f>
        <v>18.154405421062812</v>
      </c>
      <c r="AB58" s="21">
        <f>EXP(-LN(2)/2)*AB57+(1-EXP(-LN(2)/2))/(LN(2)/2)*V58*Y58*VLOOKUP('Données projet'!$B$9,Paramètres!$A$1:$I$89,3,0)*0.475*44/12</f>
        <v>0.70056185450381625</v>
      </c>
      <c r="AC58" s="22">
        <f t="shared" si="3"/>
        <v>71.160716925048533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10.663076919</v>
      </c>
      <c r="AI58" s="13">
        <f>IF('Données projet'!$A$62&gt;35,AI57+AH58-AQ57,IF(A58&lt;'Données projet'!$A$62,$AF$205^A58,IF(A58='Données projet'!$A$62,'Données projet'!$B$62,AI57+AH58-AQ57)))</f>
        <v>289.10769230499989</v>
      </c>
      <c r="AJ58" s="13">
        <f>AI58*VLOOKUP('Données projet'!$B$10,Paramètres!$A$1:$I$89,3,0)*VLOOKUP('Données projet'!$B$10,Paramètres!$A$1:$I$89,5,0)</f>
        <v>172.88639999838992</v>
      </c>
      <c r="AK58" s="13">
        <f t="shared" si="35"/>
        <v>43.735846358954454</v>
      </c>
      <c r="AL58" s="20">
        <f t="shared" si="4"/>
        <v>377.28374573904148</v>
      </c>
      <c r="AM58" s="59">
        <f t="shared" si="5"/>
        <v>635.60620121951285</v>
      </c>
      <c r="AN58" s="59">
        <f ca="1">AVERAGE(OFFSET($AM$3,0,0,'Données projet'!$E$10+1,1))-AVERAGE(OFFSET($H$3,0,0,'Données projet'!$E$10+1,1))</f>
        <v>310.96303212465733</v>
      </c>
      <c r="AO58" s="59">
        <f t="shared" si="36"/>
        <v>248.17359812749166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35.513568697684441</v>
      </c>
      <c r="AV58" s="21">
        <f>EXP(-LN(2)/25)*AV57+(1-EXP(-LN(2)/25))/(LN(2)/25)*Calculateur!AQ58*Calculateur!AS58*VLOOKUP('Données projet'!$B$10,Paramètres!$A$1:$I$89,3,0)*0.475*44/12</f>
        <v>11.890499796844603</v>
      </c>
      <c r="AW58" s="21">
        <f>EXP(-LN(2)/2)*AW57+(1-EXP(-LN(2)/2))/(LN(2)/2)*AQ58*AT58*VLOOKUP('Données projet'!$B$10,Paramètres!$A$1:$I$89,3,0)*0.475*44/12</f>
        <v>0.9027606484194669</v>
      </c>
      <c r="AX58" s="21">
        <f t="shared" si="6"/>
        <v>48.306829142948509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446.47692310000002</v>
      </c>
      <c r="L59" s="12">
        <f>VLOOKUP(A59,'Données projet'!$A$35:$I$55,9,0)</f>
        <v>12.837500008749998</v>
      </c>
      <c r="M59" s="12">
        <f t="array" ref="M59">INDEX(L:L,MIN(IF(ISNUMBER(L59:L255),ROW(L59:L255),"")))</f>
        <v>12.837500008749998</v>
      </c>
      <c r="N59" s="13">
        <f>IF('Données projet'!$A$36&gt;35,N58+M59-V58,IF(A59&lt;'Données projet'!$A$36,$K$205^A59,IF(A59='Données projet'!$A$36,'Données projet'!$B$36,N58+M59-V58)))</f>
        <v>446.47692309999991</v>
      </c>
      <c r="O59" s="13">
        <f>N59*VLOOKUP('Données projet'!$B$9,Paramètres!$A$1:$I$89,3,0)*VLOOKUP('Données projet'!$B$9,Paramètres!$A$1:$I$89,5,0)</f>
        <v>266.99320001379994</v>
      </c>
      <c r="P59" s="13">
        <f t="shared" si="33"/>
        <v>64.210735134558121</v>
      </c>
      <c r="Q59" s="20">
        <f t="shared" si="53"/>
        <v>576.84685371672356</v>
      </c>
      <c r="R59" s="59">
        <f t="shared" si="0"/>
        <v>835.77666965534536</v>
      </c>
      <c r="S59" s="59">
        <f ca="1">AVERAGE(OFFSET($R$3,0,0,'Données projet'!$E$9+1,1))-AVERAGE(OFFSET($H$3,0,0,'Données projet'!$E$9+1,1))</f>
        <v>337.99164391065369</v>
      </c>
      <c r="T59" s="59">
        <f t="shared" si="34"/>
        <v>421.45428232119559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446.47692310000002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7.6500000000000012E-2</v>
      </c>
      <c r="Y59" s="16">
        <f>IF(ISNA(VLOOKUP(A59,'Données projet'!$A$35:$I$55,7,0)),0%,VLOOKUP(A59,'Données projet'!$A$35:$I$55,7,0))</f>
        <v>0.13</v>
      </c>
      <c r="Z59" s="21">
        <f>EXP(-LN(2)/35)*Z58+(1-EXP(-LN(2)/35))/(LN(2)/35)*V59*W59*VLOOKUP('Données projet'!$B$9,Paramètres!$A$1:$I$89,3,0)*0.475*44/12</f>
        <v>162.84792783165821</v>
      </c>
      <c r="AA59" s="21">
        <f>EXP(-LN(2)/25)*AA58+(1-EXP(-LN(2)/25))/(LN(2)/25)*Calculateur!V59*Calculateur!X59*VLOOKUP('Données projet'!$B$9,Paramètres!$A$1:$I$89,3,0)*0.475*44/12</f>
        <v>44.646340912712397</v>
      </c>
      <c r="AB59" s="21">
        <f>EXP(-LN(2)/2)*AB58+(1-EXP(-LN(2)/2))/(LN(2)/2)*V59*Y59*VLOOKUP('Données projet'!$B$9,Paramètres!$A$1:$I$89,3,0)*0.475*44/12</f>
        <v>39.794154193784117</v>
      </c>
      <c r="AC59" s="22">
        <f t="shared" si="3"/>
        <v>247.28842293815472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10.663076919</v>
      </c>
      <c r="AI59" s="13">
        <f>IF('Données projet'!$A$62&gt;35,AI58+AH59-AQ58,IF(A59&lt;'Données projet'!$A$62,$AF$205^A59,IF(A59='Données projet'!$A$62,'Données projet'!$B$62,AI58+AH59-AQ58)))</f>
        <v>299.77076922399988</v>
      </c>
      <c r="AJ59" s="13">
        <f>AI59*VLOOKUP('Données projet'!$B$10,Paramètres!$A$1:$I$89,3,0)*VLOOKUP('Données projet'!$B$10,Paramètres!$A$1:$I$89,5,0)</f>
        <v>179.26291999595193</v>
      </c>
      <c r="AK59" s="13">
        <f t="shared" si="35"/>
        <v>45.158160304141759</v>
      </c>
      <c r="AL59" s="20">
        <f t="shared" si="4"/>
        <v>390.86671485599658</v>
      </c>
      <c r="AM59" s="59">
        <f t="shared" si="5"/>
        <v>649.79653079461832</v>
      </c>
      <c r="AN59" s="59">
        <f ca="1">AVERAGE(OFFSET($AM$3,0,0,'Données projet'!$E$10+1,1))-AVERAGE(OFFSET($H$3,0,0,'Données projet'!$E$10+1,1))</f>
        <v>310.96303212465733</v>
      </c>
      <c r="AO59" s="59">
        <f t="shared" si="36"/>
        <v>248.17359812749166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34.817169276660898</v>
      </c>
      <c r="AV59" s="21">
        <f>EXP(-LN(2)/25)*AV58+(1-EXP(-LN(2)/25))/(LN(2)/25)*Calculateur!AQ59*Calculateur!AS59*VLOOKUP('Données projet'!$B$10,Paramètres!$A$1:$I$89,3,0)*0.475*44/12</f>
        <v>11.565353454605679</v>
      </c>
      <c r="AW59" s="21">
        <f>EXP(-LN(2)/2)*AW58+(1-EXP(-LN(2)/2))/(LN(2)/2)*AQ59*AT59*VLOOKUP('Données projet'!$B$10,Paramètres!$A$1:$I$89,3,0)*0.475*44/12</f>
        <v>0.63834817628576979</v>
      </c>
      <c r="AX59" s="21">
        <f t="shared" si="6"/>
        <v>47.020870907552343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-6.7984728957526396E-14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337.99164391065369</v>
      </c>
      <c r="T60" s="59">
        <f t="shared" si="34"/>
        <v>421.45428232119559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159.65457929430761</v>
      </c>
      <c r="AA60" s="21">
        <f>EXP(-LN(2)/25)*AA59+(1-EXP(-LN(2)/25))/(LN(2)/25)*Calculateur!V60*Calculateur!X60*VLOOKUP('Données projet'!$B$9,Paramètres!$A$1:$I$89,3,0)*0.475*44/12</f>
        <v>43.425484372605247</v>
      </c>
      <c r="AB60" s="21">
        <f>EXP(-LN(2)/2)*AB59+(1-EXP(-LN(2)/2))/(LN(2)/2)*V60*Y60*VLOOKUP('Données projet'!$B$9,Paramètres!$A$1:$I$89,3,0)*0.475*44/12</f>
        <v>28.138716282007838</v>
      </c>
      <c r="AC60" s="22">
        <f t="shared" si="3"/>
        <v>231.21877994892068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10.663076919</v>
      </c>
      <c r="AI60" s="13">
        <f>IF('Données projet'!$A$62&gt;35,AI59+AH60-AQ59,IF(A60&lt;'Données projet'!$A$62,$AF$205^A60,IF(A60='Données projet'!$A$62,'Données projet'!$B$62,AI59+AH60-AQ59)))</f>
        <v>310.43384614299987</v>
      </c>
      <c r="AJ60" s="13">
        <f>AI60*VLOOKUP('Données projet'!$B$10,Paramètres!$A$1:$I$89,3,0)*VLOOKUP('Données projet'!$B$10,Paramètres!$A$1:$I$89,5,0)</f>
        <v>185.63943999351395</v>
      </c>
      <c r="AK60" s="13">
        <f t="shared" si="35"/>
        <v>46.574596112544484</v>
      </c>
      <c r="AL60" s="20">
        <f t="shared" si="4"/>
        <v>404.43944621805167</v>
      </c>
      <c r="AM60" s="59">
        <f t="shared" si="5"/>
        <v>663.96608626872944</v>
      </c>
      <c r="AN60" s="59">
        <f ca="1">AVERAGE(OFFSET($AM$3,0,0,'Données projet'!$E$10+1,1))-AVERAGE(OFFSET($H$3,0,0,'Données projet'!$E$10+1,1))</f>
        <v>310.96303212465733</v>
      </c>
      <c r="AO60" s="59">
        <f t="shared" si="36"/>
        <v>248.17359812749166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34.134425823521916</v>
      </c>
      <c r="AV60" s="21">
        <f>EXP(-LN(2)/25)*AV59+(1-EXP(-LN(2)/25))/(LN(2)/25)*Calculateur!AQ60*Calculateur!AS60*VLOOKUP('Données projet'!$B$10,Paramètres!$A$1:$I$89,3,0)*0.475*44/12</f>
        <v>11.249098256193982</v>
      </c>
      <c r="AW60" s="21">
        <f>EXP(-LN(2)/2)*AW59+(1-EXP(-LN(2)/2))/(LN(2)/2)*AQ60*AT60*VLOOKUP('Données projet'!$B$10,Paramètres!$A$1:$I$89,3,0)*0.475*44/12</f>
        <v>0.45138032420973351</v>
      </c>
      <c r="AX60" s="21">
        <f t="shared" si="6"/>
        <v>45.834904403925634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-6.7984728957526396E-14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337.99164391065369</v>
      </c>
      <c r="T61" s="59">
        <f t="shared" si="34"/>
        <v>421.45428232119559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156.52385037402416</v>
      </c>
      <c r="AA61" s="21">
        <f>EXP(-LN(2)/25)*AA60+(1-EXP(-LN(2)/25))/(LN(2)/25)*Calculateur!V61*Calculateur!X61*VLOOKUP('Données projet'!$B$9,Paramètres!$A$1:$I$89,3,0)*0.475*44/12</f>
        <v>42.238012218789386</v>
      </c>
      <c r="AB61" s="21">
        <f>EXP(-LN(2)/2)*AB60+(1-EXP(-LN(2)/2))/(LN(2)/2)*V61*Y61*VLOOKUP('Données projet'!$B$9,Paramètres!$A$1:$I$89,3,0)*0.475*44/12</f>
        <v>19.897077096892058</v>
      </c>
      <c r="AC61" s="22">
        <f t="shared" si="3"/>
        <v>218.65893968970559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10.663076919</v>
      </c>
      <c r="AI61" s="13">
        <f>IF('Données projet'!$A$62&gt;35,AI60+AH61-AQ60,IF(A61&lt;'Données projet'!$A$62,$AF$205^A61,IF(A61='Données projet'!$A$62,'Données projet'!$B$62,AI60+AH61-AQ60)))</f>
        <v>321.09692306199986</v>
      </c>
      <c r="AJ61" s="13">
        <f>AI61*VLOOKUP('Données projet'!$B$10,Paramètres!$A$1:$I$89,3,0)*VLOOKUP('Données projet'!$B$10,Paramètres!$A$1:$I$89,5,0)</f>
        <v>192.01595999107593</v>
      </c>
      <c r="AK61" s="13">
        <f t="shared" si="35"/>
        <v>47.98537883397848</v>
      </c>
      <c r="AL61" s="20">
        <f t="shared" si="4"/>
        <v>418.00233178696976</v>
      </c>
      <c r="AM61" s="59">
        <f t="shared" si="5"/>
        <v>678.11544238565818</v>
      </c>
      <c r="AN61" s="59">
        <f ca="1">AVERAGE(OFFSET($AM$3,0,0,'Données projet'!$E$10+1,1))-AVERAGE(OFFSET($H$3,0,0,'Données projet'!$E$10+1,1))</f>
        <v>310.96303212465733</v>
      </c>
      <c r="AO61" s="59">
        <f t="shared" si="36"/>
        <v>248.17359812749166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33.465070553066603</v>
      </c>
      <c r="AV61" s="21">
        <f>EXP(-LN(2)/25)*AV60+(1-EXP(-LN(2)/25))/(LN(2)/25)*Calculateur!AQ61*Calculateur!AS61*VLOOKUP('Données projet'!$B$10,Paramètres!$A$1:$I$89,3,0)*0.475*44/12</f>
        <v>10.94149107281399</v>
      </c>
      <c r="AW61" s="21">
        <f>EXP(-LN(2)/2)*AW60+(1-EXP(-LN(2)/2))/(LN(2)/2)*AQ61*AT61*VLOOKUP('Données projet'!$B$10,Paramètres!$A$1:$I$89,3,0)*0.475*44/12</f>
        <v>0.31917408814288495</v>
      </c>
      <c r="AX61" s="21">
        <f t="shared" si="6"/>
        <v>44.725735714023479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-6.7984728957526396E-14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337.99164391065369</v>
      </c>
      <c r="T62" s="59">
        <f t="shared" si="34"/>
        <v>421.45428232119559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153.4545131383114</v>
      </c>
      <c r="AA62" s="21">
        <f>EXP(-LN(2)/25)*AA61+(1-EXP(-LN(2)/25))/(LN(2)/25)*Calculateur!V62*Calculateur!X62*VLOOKUP('Données projet'!$B$9,Paramètres!$A$1:$I$89,3,0)*0.475*44/12</f>
        <v>41.083011553466065</v>
      </c>
      <c r="AB62" s="21">
        <f>EXP(-LN(2)/2)*AB61+(1-EXP(-LN(2)/2))/(LN(2)/2)*V62*Y62*VLOOKUP('Données projet'!$B$9,Paramètres!$A$1:$I$89,3,0)*0.475*44/12</f>
        <v>14.069358141003919</v>
      </c>
      <c r="AC62" s="22">
        <f t="shared" si="3"/>
        <v>208.60688283278139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10.663076919</v>
      </c>
      <c r="AI62" s="13">
        <f>IF('Données projet'!$A$62&gt;35,AI61+AH62-AQ61,IF(A62&lt;'Données projet'!$A$62,$AF$205^A62,IF(A62='Données projet'!$A$62,'Données projet'!$B$62,AI61+AH62-AQ61)))</f>
        <v>331.75999998099985</v>
      </c>
      <c r="AJ62" s="13">
        <f>AI62*VLOOKUP('Données projet'!$B$10,Paramètres!$A$1:$I$89,3,0)*VLOOKUP('Données projet'!$B$10,Paramètres!$A$1:$I$89,5,0)</f>
        <v>198.39247998863792</v>
      </c>
      <c r="AK62" s="13">
        <f t="shared" si="35"/>
        <v>49.390717723010837</v>
      </c>
      <c r="AL62" s="20">
        <f t="shared" si="4"/>
        <v>431.55573601445491</v>
      </c>
      <c r="AM62" s="59">
        <f t="shared" si="5"/>
        <v>692.24514320829769</v>
      </c>
      <c r="AN62" s="59">
        <f ca="1">AVERAGE(OFFSET($AM$3,0,0,'Données projet'!$E$10+1,1))-AVERAGE(OFFSET($H$3,0,0,'Données projet'!$E$10+1,1))</f>
        <v>310.96303212465733</v>
      </c>
      <c r="AO62" s="59">
        <f t="shared" si="36"/>
        <v>248.17359812749166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32.808840931198517</v>
      </c>
      <c r="AV62" s="21">
        <f>EXP(-LN(2)/25)*AV61+(1-EXP(-LN(2)/25))/(LN(2)/25)*Calculateur!AQ62*Calculateur!AS62*VLOOKUP('Données projet'!$B$10,Paramètres!$A$1:$I$89,3,0)*0.475*44/12</f>
        <v>10.642295424039883</v>
      </c>
      <c r="AW62" s="21">
        <f>EXP(-LN(2)/2)*AW61+(1-EXP(-LN(2)/2))/(LN(2)/2)*AQ62*AT62*VLOOKUP('Données projet'!$B$10,Paramètres!$A$1:$I$89,3,0)*0.475*44/12</f>
        <v>0.22569016210486678</v>
      </c>
      <c r="AX62" s="21">
        <f t="shared" si="6"/>
        <v>43.676826517343272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-6.7984728957526396E-14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337.99164391065369</v>
      </c>
      <c r="T63" s="59">
        <f t="shared" si="34"/>
        <v>421.45428232119559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150.4453637336801</v>
      </c>
      <c r="AA63" s="21">
        <f>EXP(-LN(2)/25)*AA62+(1-EXP(-LN(2)/25))/(LN(2)/25)*Calculateur!V63*Calculateur!X63*VLOOKUP('Données projet'!$B$9,Paramètres!$A$1:$I$89,3,0)*0.475*44/12</f>
        <v>39.959594442074852</v>
      </c>
      <c r="AB63" s="21">
        <f>EXP(-LN(2)/2)*AB62+(1-EXP(-LN(2)/2))/(LN(2)/2)*V63*Y63*VLOOKUP('Données projet'!$B$9,Paramètres!$A$1:$I$89,3,0)*0.475*44/12</f>
        <v>9.9485385484460291</v>
      </c>
      <c r="AC63" s="22">
        <f t="shared" si="3"/>
        <v>200.35349672420099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342.42307690000001</v>
      </c>
      <c r="AG63" s="12">
        <f>VLOOKUP(A63,'Données projet'!$A$61:$I$81,9,0)</f>
        <v>10.663076919</v>
      </c>
      <c r="AH63" s="12">
        <f t="array" ref="AH63">INDEX(AG:AG,MIN(IF(ISNUMBER(AG63:AG259),ROW(AG63:AG259),"")))</f>
        <v>10.663076919</v>
      </c>
      <c r="AI63" s="13">
        <f>IF('Données projet'!$A$62&gt;35,AI62+AH63-AQ62,IF(A63&lt;'Données projet'!$A$62,$AF$205^A63,IF(A63='Données projet'!$A$62,'Données projet'!$B$62,AI62+AH63-AQ62)))</f>
        <v>342.42307689999984</v>
      </c>
      <c r="AJ63" s="13">
        <f>AI63*VLOOKUP('Données projet'!$B$10,Paramètres!$A$1:$I$89,3,0)*VLOOKUP('Données projet'!$B$10,Paramètres!$A$1:$I$89,5,0)</f>
        <v>204.76899998619993</v>
      </c>
      <c r="AK63" s="13">
        <f t="shared" si="35"/>
        <v>50.790807819229485</v>
      </c>
      <c r="AL63" s="20">
        <f t="shared" si="4"/>
        <v>445.09999859445628</v>
      </c>
      <c r="AM63" s="59">
        <f t="shared" si="5"/>
        <v>706.35570492593376</v>
      </c>
      <c r="AN63" s="59">
        <f ca="1">AVERAGE(OFFSET($AM$3,0,0,'Données projet'!$E$10+1,1))-AVERAGE(OFFSET($H$3,0,0,'Données projet'!$E$10+1,1))</f>
        <v>310.96303212465733</v>
      </c>
      <c r="AO63" s="59">
        <f t="shared" si="36"/>
        <v>248.17359812749166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54.261538459999997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7.6500000000000012E-2</v>
      </c>
      <c r="AT63" s="16">
        <f>IF(ISNA(VLOOKUP(A63,'Données projet'!$A$61:$I$81,7,0)),0%,VLOOKUP(A63,'Données projet'!$A$61:$I$81,7,0))</f>
        <v>0.13</v>
      </c>
      <c r="AU63" s="21">
        <f>EXP(-LN(2)/35)*AU62+(1-EXP(-LN(2)/35))/(LN(2)/35)*AQ63*AR63*VLOOKUP('Données projet'!$B$10,Paramètres!$A$1:$I$89,3,0)*0.475*44/12</f>
        <v>45.724621205473859</v>
      </c>
      <c r="AV63" s="21">
        <f>EXP(-LN(2)/25)*AV62+(1-EXP(-LN(2)/25))/(LN(2)/25)*Calculateur!AQ63*Calculateur!AS63*VLOOKUP('Données projet'!$B$10,Paramètres!$A$1:$I$89,3,0)*0.475*44/12</f>
        <v>13.631250155301084</v>
      </c>
      <c r="AW63" s="21">
        <f>EXP(-LN(2)/2)*AW62+(1-EXP(-LN(2)/2))/(LN(2)/2)*AQ63*AT63*VLOOKUP('Données projet'!$B$10,Paramètres!$A$1:$I$89,3,0)*0.475*44/12</f>
        <v>4.9356734867335383</v>
      </c>
      <c r="AX63" s="21">
        <f t="shared" si="6"/>
        <v>64.291544847508476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-6.7984728957526396E-14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337.99164391065369</v>
      </c>
      <c r="T64" s="59">
        <f t="shared" si="34"/>
        <v>421.45428232119559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147.4952219134737</v>
      </c>
      <c r="AA64" s="21">
        <f>EXP(-LN(2)/25)*AA63+(1-EXP(-LN(2)/25))/(LN(2)/25)*Calculateur!V64*Calculateur!X64*VLOOKUP('Données projet'!$B$9,Paramètres!$A$1:$I$89,3,0)*0.475*44/12</f>
        <v>38.866897230672571</v>
      </c>
      <c r="AB64" s="21">
        <f>EXP(-LN(2)/2)*AB63+(1-EXP(-LN(2)/2))/(LN(2)/2)*V64*Y64*VLOOKUP('Données projet'!$B$9,Paramètres!$A$1:$I$89,3,0)*0.475*44/12</f>
        <v>7.0346790705019595</v>
      </c>
      <c r="AC64" s="22">
        <f t="shared" si="3"/>
        <v>193.39679821464824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9.1830769260000018</v>
      </c>
      <c r="AI64" s="13">
        <f>IF('Données projet'!$A$62&gt;35,AI63+AH64-AQ63,IF(A64&lt;'Données projet'!$A$62,$AF$205^A64,IF(A64='Données projet'!$A$62,'Données projet'!$B$62,AI63+AH64-AQ63)))</f>
        <v>297.34461536599986</v>
      </c>
      <c r="AJ64" s="13">
        <f>AI64*VLOOKUP('Données projet'!$B$10,Paramètres!$A$1:$I$89,3,0)*VLOOKUP('Données projet'!$B$10,Paramètres!$A$1:$I$89,5,0)</f>
        <v>177.81207998886791</v>
      </c>
      <c r="AK64" s="13">
        <f t="shared" si="35"/>
        <v>44.835068350586702</v>
      </c>
      <c r="AL64" s="20">
        <f t="shared" si="4"/>
        <v>387.7771166912168</v>
      </c>
      <c r="AM64" s="59">
        <f t="shared" si="5"/>
        <v>649.58929813634609</v>
      </c>
      <c r="AN64" s="59">
        <f ca="1">AVERAGE(OFFSET($AM$3,0,0,'Données projet'!$E$10+1,1))-AVERAGE(OFFSET($H$3,0,0,'Données projet'!$E$10+1,1))</f>
        <v>310.96303212465733</v>
      </c>
      <c r="AO64" s="59">
        <f t="shared" si="36"/>
        <v>248.17359812749166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44.827989272899615</v>
      </c>
      <c r="AV64" s="21">
        <f>EXP(-LN(2)/25)*AV63+(1-EXP(-LN(2)/25))/(LN(2)/25)*Calculateur!AQ64*Calculateur!AS64*VLOOKUP('Données projet'!$B$10,Paramètres!$A$1:$I$89,3,0)*0.475*44/12</f>
        <v>13.258502902968084</v>
      </c>
      <c r="AW64" s="21">
        <f>EXP(-LN(2)/2)*AW63+(1-EXP(-LN(2)/2))/(LN(2)/2)*AQ64*AT64*VLOOKUP('Données projet'!$B$10,Paramètres!$A$1:$I$89,3,0)*0.475*44/12</f>
        <v>3.4900481921919364</v>
      </c>
      <c r="AX64" s="21">
        <f t="shared" si="6"/>
        <v>61.576540368059632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-6.7984728957526396E-14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337.99164391065369</v>
      </c>
      <c r="T65" s="59">
        <f t="shared" si="34"/>
        <v>421.45428232119559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144.60293057495272</v>
      </c>
      <c r="AA65" s="21">
        <f>EXP(-LN(2)/25)*AA64+(1-EXP(-LN(2)/25))/(LN(2)/25)*Calculateur!V65*Calculateur!X65*VLOOKUP('Données projet'!$B$9,Paramètres!$A$1:$I$89,3,0)*0.475*44/12</f>
        <v>37.804079881978538</v>
      </c>
      <c r="AB65" s="21">
        <f>EXP(-LN(2)/2)*AB64+(1-EXP(-LN(2)/2))/(LN(2)/2)*V65*Y65*VLOOKUP('Données projet'!$B$9,Paramètres!$A$1:$I$89,3,0)*0.475*44/12</f>
        <v>4.9742692742230146</v>
      </c>
      <c r="AC65" s="22">
        <f t="shared" si="3"/>
        <v>187.38127973115428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9.1830769260000018</v>
      </c>
      <c r="AI65" s="13">
        <f>IF('Données projet'!$A$62&gt;35,AI64+AH65-AQ64,IF(A65&lt;'Données projet'!$A$62,$AF$205^A65,IF(A65='Données projet'!$A$62,'Données projet'!$B$62,AI64+AH65-AQ64)))</f>
        <v>306.52769229199987</v>
      </c>
      <c r="AJ65" s="13">
        <f>AI65*VLOOKUP('Données projet'!$B$10,Paramètres!$A$1:$I$89,3,0)*VLOOKUP('Données projet'!$B$10,Paramètres!$A$1:$I$89,5,0)</f>
        <v>183.30355999061592</v>
      </c>
      <c r="AK65" s="13">
        <f t="shared" si="35"/>
        <v>46.056387639410666</v>
      </c>
      <c r="AL65" s="20">
        <f t="shared" si="4"/>
        <v>399.46857545562966</v>
      </c>
      <c r="AM65" s="59">
        <f t="shared" si="5"/>
        <v>661.82757841528098</v>
      </c>
      <c r="AN65" s="59">
        <f ca="1">AVERAGE(OFFSET($AM$3,0,0,'Données projet'!$E$10+1,1))-AVERAGE(OFFSET($H$3,0,0,'Données projet'!$E$10+1,1))</f>
        <v>310.96303212465733</v>
      </c>
      <c r="AO65" s="59">
        <f t="shared" si="36"/>
        <v>248.17359812749166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43.948939745631677</v>
      </c>
      <c r="AV65" s="21">
        <f>EXP(-LN(2)/25)*AV64+(1-EXP(-LN(2)/25))/(LN(2)/25)*Calculateur!AQ65*Calculateur!AS65*VLOOKUP('Données projet'!$B$10,Paramètres!$A$1:$I$89,3,0)*0.475*44/12</f>
        <v>12.895948443852058</v>
      </c>
      <c r="AW65" s="21">
        <f>EXP(-LN(2)/2)*AW64+(1-EXP(-LN(2)/2))/(LN(2)/2)*AQ65*AT65*VLOOKUP('Données projet'!$B$10,Paramètres!$A$1:$I$89,3,0)*0.475*44/12</f>
        <v>2.4678367433667696</v>
      </c>
      <c r="AX65" s="21">
        <f t="shared" si="6"/>
        <v>59.3127249328505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-6.7984728957526396E-14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337.99164391065369</v>
      </c>
      <c r="T66" s="59">
        <f t="shared" si="34"/>
        <v>421.45428232119559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141.76735530545662</v>
      </c>
      <c r="AA66" s="21">
        <f>EXP(-LN(2)/25)*AA65+(1-EXP(-LN(2)/25))/(LN(2)/25)*Calculateur!V66*Calculateur!X66*VLOOKUP('Données projet'!$B$9,Paramètres!$A$1:$I$89,3,0)*0.475*44/12</f>
        <v>36.770325329575677</v>
      </c>
      <c r="AB66" s="21">
        <f>EXP(-LN(2)/2)*AB65+(1-EXP(-LN(2)/2))/(LN(2)/2)*V66*Y66*VLOOKUP('Données projet'!$B$9,Paramètres!$A$1:$I$89,3,0)*0.475*44/12</f>
        <v>3.5173395352509798</v>
      </c>
      <c r="AC66" s="22">
        <f t="shared" si="3"/>
        <v>182.05502017028329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9.1830769260000018</v>
      </c>
      <c r="AI66" s="13">
        <f>IF('Données projet'!$A$62&gt;35,AI65+AH66-AQ65,IF(A66&lt;'Données projet'!$A$62,$AF$205^A66,IF(A66='Données projet'!$A$62,'Données projet'!$B$62,AI65+AH66-AQ65)))</f>
        <v>315.71076921799988</v>
      </c>
      <c r="AJ66" s="13">
        <f>AI66*VLOOKUP('Données projet'!$B$10,Paramètres!$A$1:$I$89,3,0)*VLOOKUP('Données projet'!$B$10,Paramètres!$A$1:$I$89,5,0)</f>
        <v>188.79503999236394</v>
      </c>
      <c r="AK66" s="13">
        <f t="shared" si="35"/>
        <v>47.273454741367395</v>
      </c>
      <c r="AL66" s="20">
        <f t="shared" si="4"/>
        <v>411.15262832791541</v>
      </c>
      <c r="AM66" s="59">
        <f t="shared" si="5"/>
        <v>674.04896667132152</v>
      </c>
      <c r="AN66" s="59">
        <f ca="1">AVERAGE(OFFSET($AM$3,0,0,'Données projet'!$E$10+1,1))-AVERAGE(OFFSET($H$3,0,0,'Données projet'!$E$10+1,1))</f>
        <v>310.96303212465733</v>
      </c>
      <c r="AO66" s="59">
        <f t="shared" si="36"/>
        <v>248.17359812749166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43.087127843426188</v>
      </c>
      <c r="AV66" s="21">
        <f>EXP(-LN(2)/25)*AV65+(1-EXP(-LN(2)/25))/(LN(2)/25)*Calculateur!AQ66*Calculateur!AS66*VLOOKUP('Données projet'!$B$10,Paramètres!$A$1:$I$89,3,0)*0.475*44/12</f>
        <v>12.543308055486468</v>
      </c>
      <c r="AW66" s="21">
        <f>EXP(-LN(2)/2)*AW65+(1-EXP(-LN(2)/2))/(LN(2)/2)*AQ66*AT66*VLOOKUP('Données projet'!$B$10,Paramètres!$A$1:$I$89,3,0)*0.475*44/12</f>
        <v>1.7450240960959684</v>
      </c>
      <c r="AX66" s="21">
        <f t="shared" si="6"/>
        <v>57.375459995008626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-6.7984728957526396E-14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337.99164391065369</v>
      </c>
      <c r="T67" s="59">
        <f t="shared" si="34"/>
        <v>421.45428232119559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138.98738393746518</v>
      </c>
      <c r="AA67" s="21">
        <f>EXP(-LN(2)/25)*AA66+(1-EXP(-LN(2)/25))/(LN(2)/25)*Calculateur!V67*Calculateur!X67*VLOOKUP('Données projet'!$B$9,Paramètres!$A$1:$I$89,3,0)*0.475*44/12</f>
        <v>35.76483884977106</v>
      </c>
      <c r="AB67" s="21">
        <f>EXP(-LN(2)/2)*AB66+(1-EXP(-LN(2)/2))/(LN(2)/2)*V67*Y67*VLOOKUP('Données projet'!$B$9,Paramètres!$A$1:$I$89,3,0)*0.475*44/12</f>
        <v>2.4871346371115073</v>
      </c>
      <c r="AC67" s="22">
        <f t="shared" si="3"/>
        <v>177.23935742434773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9.1830769260000018</v>
      </c>
      <c r="AI67" s="13">
        <f>IF('Données projet'!$A$62&gt;35,AI66+AH67-AQ66,IF(A67&lt;'Données projet'!$A$62,$AF$205^A67,IF(A67='Données projet'!$A$62,'Données projet'!$B$62,AI66+AH67-AQ66)))</f>
        <v>324.89384614399989</v>
      </c>
      <c r="AJ67" s="13">
        <f>AI67*VLOOKUP('Données projet'!$B$10,Paramètres!$A$1:$I$89,3,0)*VLOOKUP('Données projet'!$B$10,Paramètres!$A$1:$I$89,5,0)</f>
        <v>194.28651999411196</v>
      </c>
      <c r="AK67" s="13">
        <f t="shared" si="35"/>
        <v>48.486407542449726</v>
      </c>
      <c r="AL67" s="20">
        <f t="shared" si="4"/>
        <v>422.82951545951158</v>
      </c>
      <c r="AM67" s="59">
        <f t="shared" si="5"/>
        <v>686.25386761906634</v>
      </c>
      <c r="AN67" s="59">
        <f ca="1">AVERAGE(OFFSET($AM$3,0,0,'Données projet'!$E$10+1,1))-AVERAGE(OFFSET($H$3,0,0,'Données projet'!$E$10+1,1))</f>
        <v>310.96303212465733</v>
      </c>
      <c r="AO67" s="59">
        <f t="shared" si="36"/>
        <v>248.17359812749166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42.242215546969597</v>
      </c>
      <c r="AV67" s="21">
        <f>EXP(-LN(2)/25)*AV66+(1-EXP(-LN(2)/25))/(LN(2)/25)*Calculateur!AQ67*Calculateur!AS67*VLOOKUP('Données projet'!$B$10,Paramètres!$A$1:$I$89,3,0)*0.475*44/12</f>
        <v>12.200310637085288</v>
      </c>
      <c r="AW67" s="21">
        <f>EXP(-LN(2)/2)*AW66+(1-EXP(-LN(2)/2))/(LN(2)/2)*AQ67*AT67*VLOOKUP('Données projet'!$B$10,Paramètres!$A$1:$I$89,3,0)*0.475*44/12</f>
        <v>1.2339183716833848</v>
      </c>
      <c r="AX67" s="21">
        <f t="shared" si="6"/>
        <v>55.676444555738271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-6.7984728957526396E-14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337.99164391065369</v>
      </c>
      <c r="T68" s="59">
        <f t="shared" si="34"/>
        <v>421.45428232119559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136.26192611238497</v>
      </c>
      <c r="AA68" s="21">
        <f>EXP(-LN(2)/25)*AA67+(1-EXP(-LN(2)/25))/(LN(2)/25)*Calculateur!V68*Calculateur!X68*VLOOKUP('Données projet'!$B$9,Paramètres!$A$1:$I$89,3,0)*0.475*44/12</f>
        <v>34.786847450632933</v>
      </c>
      <c r="AB68" s="21">
        <f>EXP(-LN(2)/2)*AB67+(1-EXP(-LN(2)/2))/(LN(2)/2)*V68*Y68*VLOOKUP('Données projet'!$B$9,Paramètres!$A$1:$I$89,3,0)*0.475*44/12</f>
        <v>1.7586697676254899</v>
      </c>
      <c r="AC68" s="22">
        <f t="shared" ref="AC68:AC131" si="57">SUM(Z68:AB68)</f>
        <v>172.80744333064339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9.1830769260000018</v>
      </c>
      <c r="AI68" s="13">
        <f>IF('Données projet'!$A$62&gt;35,AI67+AH68-AQ67,IF(A68&lt;'Données projet'!$A$62,$AF$205^A68,IF(A68='Données projet'!$A$62,'Données projet'!$B$62,AI67+AH68-AQ67)))</f>
        <v>334.07692306999991</v>
      </c>
      <c r="AJ68" s="13">
        <f>AI68*VLOOKUP('Données projet'!$B$10,Paramètres!$A$1:$I$89,3,0)*VLOOKUP('Données projet'!$B$10,Paramètres!$A$1:$I$89,5,0)</f>
        <v>199.77799999585997</v>
      </c>
      <c r="AK68" s="13">
        <f t="shared" si="35"/>
        <v>49.695375690582843</v>
      </c>
      <c r="AL68" s="20">
        <f t="shared" ref="AL68:AL131" si="58">(AJ68+AK68)*0.475*44/12</f>
        <v>434.49946265388786</v>
      </c>
      <c r="AM68" s="59">
        <f t="shared" ref="AM68:AM131" si="59">AL68+(AD68+AE68)*44/12</f>
        <v>698.44266877034306</v>
      </c>
      <c r="AN68" s="59">
        <f ca="1">AVERAGE(OFFSET($AM$3,0,0,'Données projet'!$E$10+1,1))-AVERAGE(OFFSET($H$3,0,0,'Données projet'!$E$10+1,1))</f>
        <v>310.96303212465733</v>
      </c>
      <c r="AO68" s="59">
        <f t="shared" si="36"/>
        <v>248.17359812749166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41.4138714653009</v>
      </c>
      <c r="AV68" s="21">
        <f>EXP(-LN(2)/25)*AV67+(1-EXP(-LN(2)/25))/(LN(2)/25)*Calculateur!AQ68*Calculateur!AS68*VLOOKUP('Données projet'!$B$10,Paramètres!$A$1:$I$89,3,0)*0.475*44/12</f>
        <v>11.866692501127739</v>
      </c>
      <c r="AW68" s="21">
        <f>EXP(-LN(2)/2)*AW67+(1-EXP(-LN(2)/2))/(LN(2)/2)*AQ68*AT68*VLOOKUP('Données projet'!$B$10,Paramètres!$A$1:$I$89,3,0)*0.475*44/12</f>
        <v>0.87251204804798421</v>
      </c>
      <c r="AX68" s="21">
        <f t="shared" ref="AX68:AX131" si="60">SUM(AU68:AW68)</f>
        <v>54.153076014476625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-6.7984728957526396E-14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337.99164391065369</v>
      </c>
      <c r="T69" s="59">
        <f t="shared" ref="T69:T132" si="88">$T$3</f>
        <v>421.45428232119559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133.58991285288946</v>
      </c>
      <c r="AA69" s="21">
        <f>EXP(-LN(2)/25)*AA68+(1-EXP(-LN(2)/25))/(LN(2)/25)*Calculateur!V69*Calculateur!X69*VLOOKUP('Données projet'!$B$9,Paramètres!$A$1:$I$89,3,0)*0.475*44/12</f>
        <v>33.835599277734573</v>
      </c>
      <c r="AB69" s="21">
        <f>EXP(-LN(2)/2)*AB68+(1-EXP(-LN(2)/2))/(LN(2)/2)*V69*Y69*VLOOKUP('Données projet'!$B$9,Paramètres!$A$1:$I$89,3,0)*0.475*44/12</f>
        <v>1.2435673185557536</v>
      </c>
      <c r="AC69" s="22">
        <f t="shared" si="57"/>
        <v>168.6690794491798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9.1830769260000018</v>
      </c>
      <c r="AI69" s="13">
        <f>IF('Données projet'!$A$62&gt;35,AI68+AH69-AQ68,IF(A69&lt;'Données projet'!$A$62,$AF$205^A69,IF(A69='Données projet'!$A$62,'Données projet'!$B$62,AI68+AH69-AQ68)))</f>
        <v>343.25999999599992</v>
      </c>
      <c r="AJ69" s="13">
        <f>AI69*VLOOKUP('Données projet'!$B$10,Paramètres!$A$1:$I$89,3,0)*VLOOKUP('Données projet'!$B$10,Paramètres!$A$1:$I$89,5,0)</f>
        <v>205.26947999760796</v>
      </c>
      <c r="AK69" s="13">
        <f t="shared" ref="AK69:AK132" si="89">EXP(-1.0587+0.8836*LN(AJ69)+0.284)</f>
        <v>50.900481300555839</v>
      </c>
      <c r="AL69" s="20">
        <f t="shared" si="58"/>
        <v>446.16268259430194</v>
      </c>
      <c r="AM69" s="59">
        <f t="shared" si="59"/>
        <v>710.61574171148902</v>
      </c>
      <c r="AN69" s="59">
        <f ca="1">AVERAGE(OFFSET($AM$3,0,0,'Données projet'!$E$10+1,1))-AVERAGE(OFFSET($H$3,0,0,'Données projet'!$E$10+1,1))</f>
        <v>310.96303212465733</v>
      </c>
      <c r="AO69" s="59">
        <f t="shared" ref="AO69:AO132" si="90">$AO$3</f>
        <v>248.17359812749166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40.601770705833729</v>
      </c>
      <c r="AV69" s="21">
        <f>EXP(-LN(2)/25)*AV68+(1-EXP(-LN(2)/25))/(LN(2)/25)*Calculateur!AQ69*Calculateur!AS69*VLOOKUP('Données projet'!$B$10,Paramètres!$A$1:$I$89,3,0)*0.475*44/12</f>
        <v>11.542197170642163</v>
      </c>
      <c r="AW69" s="21">
        <f>EXP(-LN(2)/2)*AW68+(1-EXP(-LN(2)/2))/(LN(2)/2)*AQ69*AT69*VLOOKUP('Données projet'!$B$10,Paramètres!$A$1:$I$89,3,0)*0.475*44/12</f>
        <v>0.6169591858416924</v>
      </c>
      <c r="AX69" s="21">
        <f t="shared" si="60"/>
        <v>52.760927062317585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-6.7984728957526396E-14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337.99164391065369</v>
      </c>
      <c r="T70" s="59">
        <f t="shared" si="88"/>
        <v>421.45428232119559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130.97029614364547</v>
      </c>
      <c r="AA70" s="21">
        <f>EXP(-LN(2)/25)*AA69+(1-EXP(-LN(2)/25))/(LN(2)/25)*Calculateur!V70*Calculateur!X70*VLOOKUP('Données projet'!$B$9,Paramètres!$A$1:$I$89,3,0)*0.475*44/12</f>
        <v>32.910363036148091</v>
      </c>
      <c r="AB70" s="21">
        <f>EXP(-LN(2)/2)*AB69+(1-EXP(-LN(2)/2))/(LN(2)/2)*V70*Y70*VLOOKUP('Données projet'!$B$9,Paramètres!$A$1:$I$89,3,0)*0.475*44/12</f>
        <v>0.87933488381274494</v>
      </c>
      <c r="AC70" s="22">
        <f t="shared" si="57"/>
        <v>164.75999406360629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9.1830769260000018</v>
      </c>
      <c r="AI70" s="13">
        <f>IF('Données projet'!$A$62&gt;35,AI69+AH70-AQ69,IF(A70&lt;'Données projet'!$A$62,$AF$205^A70,IF(A70='Données projet'!$A$62,'Données projet'!$B$62,AI69+AH70-AQ69)))</f>
        <v>352.44307692199993</v>
      </c>
      <c r="AJ70" s="13">
        <f>AI70*VLOOKUP('Données projet'!$B$10,Paramètres!$A$1:$I$89,3,0)*VLOOKUP('Données projet'!$B$10,Paramètres!$A$1:$I$89,5,0)</f>
        <v>210.76095999935598</v>
      </c>
      <c r="AK70" s="13">
        <f t="shared" si="89"/>
        <v>52.10183958139757</v>
      </c>
      <c r="AL70" s="20">
        <f t="shared" si="58"/>
        <v>457.81937593647899</v>
      </c>
      <c r="AM70" s="59">
        <f t="shared" si="59"/>
        <v>722.77344324469595</v>
      </c>
      <c r="AN70" s="59">
        <f ca="1">AVERAGE(OFFSET($AM$3,0,0,'Données projet'!$E$10+1,1))-AVERAGE(OFFSET($H$3,0,0,'Données projet'!$E$10+1,1))</f>
        <v>310.96303212465733</v>
      </c>
      <c r="AO70" s="59">
        <f t="shared" si="90"/>
        <v>248.17359812749166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39.805594746927156</v>
      </c>
      <c r="AV70" s="21">
        <f>EXP(-LN(2)/25)*AV69+(1-EXP(-LN(2)/25))/(LN(2)/25)*Calculateur!AQ70*Calculateur!AS70*VLOOKUP('Données projet'!$B$10,Paramètres!$A$1:$I$89,3,0)*0.475*44/12</f>
        <v>11.226575182033184</v>
      </c>
      <c r="AW70" s="21">
        <f>EXP(-LN(2)/2)*AW69+(1-EXP(-LN(2)/2))/(LN(2)/2)*AQ70*AT70*VLOOKUP('Données projet'!$B$10,Paramètres!$A$1:$I$89,3,0)*0.475*44/12</f>
        <v>0.43625602402399211</v>
      </c>
      <c r="AX70" s="21">
        <f t="shared" si="60"/>
        <v>51.468425952984333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-6.7984728957526396E-14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337.99164391065369</v>
      </c>
      <c r="T71" s="59">
        <f t="shared" si="88"/>
        <v>421.45428232119559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128.40204852026133</v>
      </c>
      <c r="AA71" s="21">
        <f>EXP(-LN(2)/25)*AA70+(1-EXP(-LN(2)/25))/(LN(2)/25)*Calculateur!V71*Calculateur!X71*VLOOKUP('Données projet'!$B$9,Paramètres!$A$1:$I$89,3,0)*0.475*44/12</f>
        <v>32.010427428243844</v>
      </c>
      <c r="AB71" s="21">
        <f>EXP(-LN(2)/2)*AB70+(1-EXP(-LN(2)/2))/(LN(2)/2)*V71*Y71*VLOOKUP('Données projet'!$B$9,Paramètres!$A$1:$I$89,3,0)*0.475*44/12</f>
        <v>0.62178365927787682</v>
      </c>
      <c r="AC71" s="22">
        <f t="shared" si="57"/>
        <v>161.03425960778304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9.1830769260000018</v>
      </c>
      <c r="AI71" s="13">
        <f>IF('Données projet'!$A$62&gt;35,AI70+AH71-AQ70,IF(A71&lt;'Données projet'!$A$62,$AF$205^A71,IF(A71='Données projet'!$A$62,'Données projet'!$B$62,AI70+AH71-AQ70)))</f>
        <v>361.62615384799994</v>
      </c>
      <c r="AJ71" s="13">
        <f>AI71*VLOOKUP('Données projet'!$B$10,Paramètres!$A$1:$I$89,3,0)*VLOOKUP('Données projet'!$B$10,Paramètres!$A$1:$I$89,5,0)</f>
        <v>216.25244000110399</v>
      </c>
      <c r="AK71" s="13">
        <f t="shared" si="89"/>
        <v>53.29955939652622</v>
      </c>
      <c r="AL71" s="20">
        <f t="shared" si="58"/>
        <v>469.46973228420592</v>
      </c>
      <c r="AM71" s="59">
        <f t="shared" si="59"/>
        <v>734.91611641142481</v>
      </c>
      <c r="AN71" s="59">
        <f ca="1">AVERAGE(OFFSET($AM$3,0,0,'Données projet'!$E$10+1,1))-AVERAGE(OFFSET($H$3,0,0,'Données projet'!$E$10+1,1))</f>
        <v>310.96303212465733</v>
      </c>
      <c r="AO71" s="59">
        <f t="shared" si="90"/>
        <v>248.17359812749166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39.025031312955356</v>
      </c>
      <c r="AV71" s="21">
        <f>EXP(-LN(2)/25)*AV70+(1-EXP(-LN(2)/25))/(LN(2)/25)*Calculateur!AQ71*Calculateur!AS71*VLOOKUP('Données projet'!$B$10,Paramètres!$A$1:$I$89,3,0)*0.475*44/12</f>
        <v>10.919583893300556</v>
      </c>
      <c r="AW71" s="21">
        <f>EXP(-LN(2)/2)*AW70+(1-EXP(-LN(2)/2))/(LN(2)/2)*AQ71*AT71*VLOOKUP('Données projet'!$B$10,Paramètres!$A$1:$I$89,3,0)*0.475*44/12</f>
        <v>0.3084795929208462</v>
      </c>
      <c r="AX71" s="21">
        <f t="shared" si="60"/>
        <v>50.253094799176758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-6.7984728957526396E-14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337.99164391065369</v>
      </c>
      <c r="T72" s="59">
        <f t="shared" si="88"/>
        <v>421.45428232119559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125.8841626662954</v>
      </c>
      <c r="AA72" s="21">
        <f>EXP(-LN(2)/25)*AA71+(1-EXP(-LN(2)/25))/(LN(2)/25)*Calculateur!V72*Calculateur!X72*VLOOKUP('Données projet'!$B$9,Paramètres!$A$1:$I$89,3,0)*0.475*44/12</f>
        <v>31.135100606863297</v>
      </c>
      <c r="AB72" s="21">
        <f>EXP(-LN(2)/2)*AB71+(1-EXP(-LN(2)/2))/(LN(2)/2)*V72*Y72*VLOOKUP('Données projet'!$B$9,Paramètres!$A$1:$I$89,3,0)*0.475*44/12</f>
        <v>0.43966744190637247</v>
      </c>
      <c r="AC72" s="22">
        <f t="shared" si="57"/>
        <v>157.45893071506507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9.1830769260000018</v>
      </c>
      <c r="AI72" s="13">
        <f>IF('Données projet'!$A$62&gt;35,AI71+AH72-AQ71,IF(A72&lt;'Données projet'!$A$62,$AF$205^A72,IF(A72='Données projet'!$A$62,'Données projet'!$B$62,AI71+AH72-AQ71)))</f>
        <v>370.80923077399996</v>
      </c>
      <c r="AJ72" s="13">
        <f>AI72*VLOOKUP('Données projet'!$B$10,Paramètres!$A$1:$I$89,3,0)*VLOOKUP('Données projet'!$B$10,Paramètres!$A$1:$I$89,5,0)</f>
        <v>221.74392000285201</v>
      </c>
      <c r="AK72" s="13">
        <f t="shared" si="89"/>
        <v>54.493743765400303</v>
      </c>
      <c r="AL72" s="20">
        <f t="shared" si="58"/>
        <v>481.11393106303944</v>
      </c>
      <c r="AM72" s="59">
        <f t="shared" si="59"/>
        <v>747.044091413106</v>
      </c>
      <c r="AN72" s="59">
        <f ca="1">AVERAGE(OFFSET($AM$3,0,0,'Données projet'!$E$10+1,1))-AVERAGE(OFFSET($H$3,0,0,'Données projet'!$E$10+1,1))</f>
        <v>310.96303212465733</v>
      </c>
      <c r="AO72" s="59">
        <f t="shared" si="90"/>
        <v>248.17359812749166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38.259774251827061</v>
      </c>
      <c r="AV72" s="21">
        <f>EXP(-LN(2)/25)*AV71+(1-EXP(-LN(2)/25))/(LN(2)/25)*Calculateur!AQ72*Calculateur!AS72*VLOOKUP('Données projet'!$B$10,Paramètres!$A$1:$I$89,3,0)*0.475*44/12</f>
        <v>10.620987297502293</v>
      </c>
      <c r="AW72" s="21">
        <f>EXP(-LN(2)/2)*AW71+(1-EXP(-LN(2)/2))/(LN(2)/2)*AQ72*AT72*VLOOKUP('Données projet'!$B$10,Paramètres!$A$1:$I$89,3,0)*0.475*44/12</f>
        <v>0.21812801201199605</v>
      </c>
      <c r="AX72" s="21">
        <f t="shared" si="60"/>
        <v>49.098889561341345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-6.7984728957526396E-14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337.99164391065369</v>
      </c>
      <c r="T73" s="59">
        <f t="shared" si="88"/>
        <v>421.45428232119559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123.415651018167</v>
      </c>
      <c r="AA73" s="21">
        <f>EXP(-LN(2)/25)*AA72+(1-EXP(-LN(2)/25))/(LN(2)/25)*Calculateur!V73*Calculateur!X73*VLOOKUP('Données projet'!$B$9,Paramètres!$A$1:$I$89,3,0)*0.475*44/12</f>
        <v>30.283709643444841</v>
      </c>
      <c r="AB73" s="21">
        <f>EXP(-LN(2)/2)*AB72+(1-EXP(-LN(2)/2))/(LN(2)/2)*V73*Y73*VLOOKUP('Données projet'!$B$9,Paramètres!$A$1:$I$89,3,0)*0.475*44/12</f>
        <v>0.31089182963893841</v>
      </c>
      <c r="AC73" s="22">
        <f t="shared" si="57"/>
        <v>154.01025249125078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379.99230770000003</v>
      </c>
      <c r="AG73" s="12">
        <f>VLOOKUP(A73,'Données projet'!$A$61:$I$81,9,0)</f>
        <v>9.1830769260000018</v>
      </c>
      <c r="AH73" s="12">
        <f t="array" ref="AH73">INDEX(AG:AG,MIN(IF(ISNUMBER(AG73:AG269),ROW(AG73:AG269),"")))</f>
        <v>9.1830769260000018</v>
      </c>
      <c r="AI73" s="13">
        <f>IF('Données projet'!$A$62&gt;35,AI72+AH73-AQ72,IF(A73&lt;'Données projet'!$A$62,$AF$205^A73,IF(A73='Données projet'!$A$62,'Données projet'!$B$62,AI72+AH73-AQ72)))</f>
        <v>379.99230769999997</v>
      </c>
      <c r="AJ73" s="13">
        <f>AI73*VLOOKUP('Données projet'!$B$10,Paramètres!$A$1:$I$89,3,0)*VLOOKUP('Données projet'!$B$10,Paramètres!$A$1:$I$89,5,0)</f>
        <v>227.23540000460002</v>
      </c>
      <c r="AK73" s="13">
        <f t="shared" si="89"/>
        <v>55.684490314077429</v>
      </c>
      <c r="AL73" s="20">
        <f t="shared" si="58"/>
        <v>492.75214230502996</v>
      </c>
      <c r="AM73" s="59">
        <f t="shared" si="59"/>
        <v>759.15768644203945</v>
      </c>
      <c r="AN73" s="59">
        <f ca="1">AVERAGE(OFFSET($AM$3,0,0,'Données projet'!$E$10+1,1))-AVERAGE(OFFSET($H$3,0,0,'Données projet'!$E$10+1,1))</f>
        <v>310.96303212465733</v>
      </c>
      <c r="AO73" s="59">
        <f t="shared" si="90"/>
        <v>248.17359812749166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52.669230769999999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7.6500000000000012E-2</v>
      </c>
      <c r="AT73" s="16">
        <f>IF(ISNA(VLOOKUP(A73,'Données projet'!$A$61:$I$81,7,0)),0%,VLOOKUP(A73,'Données projet'!$A$61:$I$81,7,0))</f>
        <v>0.13</v>
      </c>
      <c r="AU73" s="21">
        <f>EXP(-LN(2)/35)*AU72+(1-EXP(-LN(2)/35))/(LN(2)/35)*AQ73*AR73*VLOOKUP('Données projet'!$B$10,Paramètres!$A$1:$I$89,3,0)*0.475*44/12</f>
        <v>50.670771326544667</v>
      </c>
      <c r="AV73" s="21">
        <f>EXP(-LN(2)/25)*AV72+(1-EXP(-LN(2)/25))/(LN(2)/25)*Calculateur!AQ73*Calculateur!AS73*VLOOKUP('Données projet'!$B$10,Paramètres!$A$1:$I$89,3,0)*0.475*44/12</f>
        <v>13.514273842522643</v>
      </c>
      <c r="AW73" s="21">
        <f>EXP(-LN(2)/2)*AW72+(1-EXP(-LN(2)/2))/(LN(2)/2)*AQ73*AT73*VLOOKUP('Données projet'!$B$10,Paramètres!$A$1:$I$89,3,0)*0.475*44/12</f>
        <v>4.7901717321440307</v>
      </c>
      <c r="AX73" s="21">
        <f t="shared" si="60"/>
        <v>68.97521690121134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-6.7984728957526396E-14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337.99164391065369</v>
      </c>
      <c r="T74" s="59">
        <f t="shared" si="88"/>
        <v>421.45428232119559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120.99554537781496</v>
      </c>
      <c r="AA74" s="21">
        <f>EXP(-LN(2)/25)*AA73+(1-EXP(-LN(2)/25))/(LN(2)/25)*Calculateur!V74*Calculateur!X74*VLOOKUP('Données projet'!$B$9,Paramètres!$A$1:$I$89,3,0)*0.475*44/12</f>
        <v>29.455600010693765</v>
      </c>
      <c r="AB74" s="21">
        <f>EXP(-LN(2)/2)*AB73+(1-EXP(-LN(2)/2))/(LN(2)/2)*V74*Y74*VLOOKUP('Données projet'!$B$9,Paramètres!$A$1:$I$89,3,0)*0.475*44/12</f>
        <v>0.21983372095318623</v>
      </c>
      <c r="AC74" s="22">
        <f t="shared" si="57"/>
        <v>150.67097910946191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7.5584615369999995</v>
      </c>
      <c r="AI74" s="13">
        <f>IF('Données projet'!$A$62&gt;35,AI73+AH74-AQ73,IF(A74&lt;'Données projet'!$A$62,$AF$205^A74,IF(A74='Données projet'!$A$62,'Données projet'!$B$62,AI73+AH74-AQ73)))</f>
        <v>334.88153846699993</v>
      </c>
      <c r="AJ74" s="13">
        <f>AI74*VLOOKUP('Données projet'!$B$10,Paramètres!$A$1:$I$89,3,0)*VLOOKUP('Données projet'!$B$10,Paramètres!$A$1:$I$89,5,0)</f>
        <v>200.25916000326598</v>
      </c>
      <c r="AK74" s="13">
        <f t="shared" si="89"/>
        <v>49.801118956845002</v>
      </c>
      <c r="AL74" s="20">
        <f t="shared" si="58"/>
        <v>435.52165252219328</v>
      </c>
      <c r="AM74" s="59">
        <f t="shared" si="59"/>
        <v>702.39433360024123</v>
      </c>
      <c r="AN74" s="59">
        <f ca="1">AVERAGE(OFFSET($AM$3,0,0,'Données projet'!$E$10+1,1))-AVERAGE(OFFSET($H$3,0,0,'Données projet'!$E$10+1,1))</f>
        <v>310.96303212465733</v>
      </c>
      <c r="AO74" s="59">
        <f t="shared" si="90"/>
        <v>248.17359812749166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49.677148406949911</v>
      </c>
      <c r="AV74" s="21">
        <f>EXP(-LN(2)/25)*AV73+(1-EXP(-LN(2)/25))/(LN(2)/25)*Calculateur!AQ74*Calculateur!AS74*VLOOKUP('Données projet'!$B$10,Paramètres!$A$1:$I$89,3,0)*0.475*44/12</f>
        <v>13.144725313614087</v>
      </c>
      <c r="AW74" s="21">
        <f>EXP(-LN(2)/2)*AW73+(1-EXP(-LN(2)/2))/(LN(2)/2)*AQ74*AT74*VLOOKUP('Données projet'!$B$10,Paramètres!$A$1:$I$89,3,0)*0.475*44/12</f>
        <v>3.3871629148471545</v>
      </c>
      <c r="AX74" s="21">
        <f t="shared" si="60"/>
        <v>66.209036635411152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-6.7984728957526396E-14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337.99164391065369</v>
      </c>
      <c r="T75" s="59">
        <f t="shared" si="88"/>
        <v>421.45428232119559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118.62289653295154</v>
      </c>
      <c r="AA75" s="21">
        <f>EXP(-LN(2)/25)*AA74+(1-EXP(-LN(2)/25))/(LN(2)/25)*Calculateur!V75*Calculateur!X75*VLOOKUP('Données projet'!$B$9,Paramètres!$A$1:$I$89,3,0)*0.475*44/12</f>
        <v>28.650135079398662</v>
      </c>
      <c r="AB75" s="21">
        <f>EXP(-LN(2)/2)*AB74+(1-EXP(-LN(2)/2))/(LN(2)/2)*V75*Y75*VLOOKUP('Données projet'!$B$9,Paramètres!$A$1:$I$89,3,0)*0.475*44/12</f>
        <v>0.15544591481946921</v>
      </c>
      <c r="AC75" s="22">
        <f t="shared" si="57"/>
        <v>147.42847752716966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7.5584615369999995</v>
      </c>
      <c r="AI75" s="13">
        <f>IF('Données projet'!$A$62&gt;35,AI74+AH75-AQ74,IF(A75&lt;'Données projet'!$A$62,$AF$205^A75,IF(A75='Données projet'!$A$62,'Données projet'!$B$62,AI74+AH75-AQ74)))</f>
        <v>342.4400000039999</v>
      </c>
      <c r="AJ75" s="13">
        <f>AI75*VLOOKUP('Données projet'!$B$10,Paramètres!$A$1:$I$89,3,0)*VLOOKUP('Données projet'!$B$10,Paramètres!$A$1:$I$89,5,0)</f>
        <v>204.77912000239198</v>
      </c>
      <c r="AK75" s="13">
        <f t="shared" si="89"/>
        <v>50.7930257938702</v>
      </c>
      <c r="AL75" s="20">
        <f t="shared" si="58"/>
        <v>445.12148726182323</v>
      </c>
      <c r="AM75" s="59">
        <f t="shared" si="59"/>
        <v>712.45320149934435</v>
      </c>
      <c r="AN75" s="59">
        <f ca="1">AVERAGE(OFFSET($AM$3,0,0,'Données projet'!$E$10+1,1))-AVERAGE(OFFSET($H$3,0,0,'Données projet'!$E$10+1,1))</f>
        <v>310.96303212465733</v>
      </c>
      <c r="AO75" s="59">
        <f t="shared" si="90"/>
        <v>248.17359812749166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48.703009826758269</v>
      </c>
      <c r="AV75" s="21">
        <f>EXP(-LN(2)/25)*AV74+(1-EXP(-LN(2)/25))/(LN(2)/25)*Calculateur!AQ75*Calculateur!AS75*VLOOKUP('Données projet'!$B$10,Paramètres!$A$1:$I$89,3,0)*0.475*44/12</f>
        <v>12.785282108662248</v>
      </c>
      <c r="AW75" s="21">
        <f>EXP(-LN(2)/2)*AW74+(1-EXP(-LN(2)/2))/(LN(2)/2)*AQ75*AT75*VLOOKUP('Données projet'!$B$10,Paramètres!$A$1:$I$89,3,0)*0.475*44/12</f>
        <v>2.3950858660720153</v>
      </c>
      <c r="AX75" s="21">
        <f t="shared" si="60"/>
        <v>63.883377801492536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-6.7984728957526396E-14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337.99164391065369</v>
      </c>
      <c r="T76" s="59">
        <f t="shared" si="88"/>
        <v>421.45428232119559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116.296773884763</v>
      </c>
      <c r="AA76" s="21">
        <f>EXP(-LN(2)/25)*AA75+(1-EXP(-LN(2)/25))/(LN(2)/25)*Calculateur!V76*Calculateur!X76*VLOOKUP('Données projet'!$B$9,Paramètres!$A$1:$I$89,3,0)*0.475*44/12</f>
        <v>27.866695629007381</v>
      </c>
      <c r="AB76" s="21">
        <f>EXP(-LN(2)/2)*AB75+(1-EXP(-LN(2)/2))/(LN(2)/2)*V76*Y76*VLOOKUP('Données projet'!$B$9,Paramètres!$A$1:$I$89,3,0)*0.475*44/12</f>
        <v>0.10991686047659312</v>
      </c>
      <c r="AC76" s="22">
        <f t="shared" si="57"/>
        <v>144.273386374247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7.5584615369999995</v>
      </c>
      <c r="AI76" s="13">
        <f>IF('Données projet'!$A$62&gt;35,AI75+AH76-AQ75,IF(A76&lt;'Données projet'!$A$62,$AF$205^A76,IF(A76='Données projet'!$A$62,'Données projet'!$B$62,AI75+AH76-AQ75)))</f>
        <v>349.99846154099987</v>
      </c>
      <c r="AJ76" s="13">
        <f>AI76*VLOOKUP('Données projet'!$B$10,Paramètres!$A$1:$I$89,3,0)*VLOOKUP('Données projet'!$B$10,Paramètres!$A$1:$I$89,5,0)</f>
        <v>209.29908000151792</v>
      </c>
      <c r="AK76" s="13">
        <f t="shared" si="89"/>
        <v>51.782387252948048</v>
      </c>
      <c r="AL76" s="20">
        <f t="shared" si="58"/>
        <v>454.71688880152823</v>
      </c>
      <c r="AM76" s="59">
        <f t="shared" si="59"/>
        <v>722.49967299945001</v>
      </c>
      <c r="AN76" s="59">
        <f ca="1">AVERAGE(OFFSET($AM$3,0,0,'Données projet'!$E$10+1,1))-AVERAGE(OFFSET($H$3,0,0,'Données projet'!$E$10+1,1))</f>
        <v>310.96303212465733</v>
      </c>
      <c r="AO76" s="59">
        <f t="shared" si="90"/>
        <v>248.17359812749166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47.747973509958321</v>
      </c>
      <c r="AV76" s="21">
        <f>EXP(-LN(2)/25)*AV75+(1-EXP(-LN(2)/25))/(LN(2)/25)*Calculateur!AQ76*Calculateur!AS76*VLOOKUP('Données projet'!$B$10,Paramètres!$A$1:$I$89,3,0)*0.475*44/12</f>
        <v>12.435667897052113</v>
      </c>
      <c r="AW76" s="21">
        <f>EXP(-LN(2)/2)*AW75+(1-EXP(-LN(2)/2))/(LN(2)/2)*AQ76*AT76*VLOOKUP('Données projet'!$B$10,Paramètres!$A$1:$I$89,3,0)*0.475*44/12</f>
        <v>1.6935814574235772</v>
      </c>
      <c r="AX76" s="21">
        <f t="shared" si="60"/>
        <v>61.87722286443401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-6.7984728957526396E-14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337.99164391065369</v>
      </c>
      <c r="T77" s="59">
        <f t="shared" si="88"/>
        <v>421.45428232119559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114.01626508291071</v>
      </c>
      <c r="AA77" s="21">
        <f>EXP(-LN(2)/25)*AA76+(1-EXP(-LN(2)/25))/(LN(2)/25)*Calculateur!V77*Calculateur!X77*VLOOKUP('Données projet'!$B$9,Paramètres!$A$1:$I$89,3,0)*0.475*44/12</f>
        <v>27.104679371586343</v>
      </c>
      <c r="AB77" s="21">
        <f>EXP(-LN(2)/2)*AB76+(1-EXP(-LN(2)/2))/(LN(2)/2)*V77*Y77*VLOOKUP('Données projet'!$B$9,Paramètres!$A$1:$I$89,3,0)*0.475*44/12</f>
        <v>7.7722957409734603E-2</v>
      </c>
      <c r="AC77" s="22">
        <f t="shared" si="57"/>
        <v>141.1986674119068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7.5584615369999995</v>
      </c>
      <c r="AI77" s="13">
        <f>IF('Données projet'!$A$62&gt;35,AI76+AH77-AQ76,IF(A77&lt;'Données projet'!$A$62,$AF$205^A77,IF(A77='Données projet'!$A$62,'Données projet'!$B$62,AI76+AH77-AQ76)))</f>
        <v>357.55692307799984</v>
      </c>
      <c r="AJ77" s="13">
        <f>AI77*VLOOKUP('Données projet'!$B$10,Paramètres!$A$1:$I$89,3,0)*VLOOKUP('Données projet'!$B$10,Paramètres!$A$1:$I$89,5,0)</f>
        <v>213.81904000064392</v>
      </c>
      <c r="AK77" s="13">
        <f t="shared" si="89"/>
        <v>52.76926463426944</v>
      </c>
      <c r="AL77" s="20">
        <f t="shared" si="58"/>
        <v>464.30796390580741</v>
      </c>
      <c r="AM77" s="59">
        <f t="shared" si="59"/>
        <v>732.53399300875822</v>
      </c>
      <c r="AN77" s="59">
        <f ca="1">AVERAGE(OFFSET($AM$3,0,0,'Données projet'!$E$10+1,1))-AVERAGE(OFFSET($H$3,0,0,'Données projet'!$E$10+1,1))</f>
        <v>310.96303212465733</v>
      </c>
      <c r="AO77" s="59">
        <f t="shared" si="90"/>
        <v>248.17359812749166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46.811664872816181</v>
      </c>
      <c r="AV77" s="21">
        <f>EXP(-LN(2)/25)*AV76+(1-EXP(-LN(2)/25))/(LN(2)/25)*Calculateur!AQ77*Calculateur!AS77*VLOOKUP('Données projet'!$B$10,Paramètres!$A$1:$I$89,3,0)*0.475*44/12</f>
        <v>12.095613904443871</v>
      </c>
      <c r="AW77" s="21">
        <f>EXP(-LN(2)/2)*AW76+(1-EXP(-LN(2)/2))/(LN(2)/2)*AQ77*AT77*VLOOKUP('Données projet'!$B$10,Paramètres!$A$1:$I$89,3,0)*0.475*44/12</f>
        <v>1.1975429330360077</v>
      </c>
      <c r="AX77" s="21">
        <f t="shared" si="60"/>
        <v>60.104821710296058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-6.7984728957526396E-14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337.99164391065369</v>
      </c>
      <c r="T78" s="59">
        <f t="shared" si="88"/>
        <v>421.45428232119559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111.78047566768973</v>
      </c>
      <c r="AA78" s="21">
        <f>EXP(-LN(2)/25)*AA77+(1-EXP(-LN(2)/25))/(LN(2)/25)*Calculateur!V78*Calculateur!X78*VLOOKUP('Données projet'!$B$9,Paramètres!$A$1:$I$89,3,0)*0.475*44/12</f>
        <v>26.363500488797175</v>
      </c>
      <c r="AB78" s="21">
        <f>EXP(-LN(2)/2)*AB77+(1-EXP(-LN(2)/2))/(LN(2)/2)*V78*Y78*VLOOKUP('Données projet'!$B$9,Paramètres!$A$1:$I$89,3,0)*0.475*44/12</f>
        <v>5.4958430238296559E-2</v>
      </c>
      <c r="AC78" s="22">
        <f t="shared" si="57"/>
        <v>138.19893458672519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7.5584615369999995</v>
      </c>
      <c r="AI78" s="13">
        <f>IF('Données projet'!$A$62&gt;35,AI77+AH78-AQ77,IF(A78&lt;'Données projet'!$A$62,$AF$205^A78,IF(A78='Données projet'!$A$62,'Données projet'!$B$62,AI77+AH78-AQ77)))</f>
        <v>365.11538461499981</v>
      </c>
      <c r="AJ78" s="13">
        <f>AI78*VLOOKUP('Données projet'!$B$10,Paramètres!$A$1:$I$89,3,0)*VLOOKUP('Données projet'!$B$10,Paramètres!$A$1:$I$89,5,0)</f>
        <v>218.3389999997699</v>
      </c>
      <c r="AK78" s="13">
        <f t="shared" si="89"/>
        <v>53.753716498276468</v>
      </c>
      <c r="AL78" s="20">
        <f t="shared" si="58"/>
        <v>473.89481456743061</v>
      </c>
      <c r="AM78" s="59">
        <f t="shared" si="59"/>
        <v>742.55639926725541</v>
      </c>
      <c r="AN78" s="59">
        <f ca="1">AVERAGE(OFFSET($AM$3,0,0,'Données projet'!$E$10+1,1))-AVERAGE(OFFSET($H$3,0,0,'Données projet'!$E$10+1,1))</f>
        <v>310.96303212465733</v>
      </c>
      <c r="AO78" s="59">
        <f t="shared" si="90"/>
        <v>248.17359812749166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45.893716676956522</v>
      </c>
      <c r="AV78" s="21">
        <f>EXP(-LN(2)/25)*AV77+(1-EXP(-LN(2)/25))/(LN(2)/25)*Calculateur!AQ78*Calculateur!AS78*VLOOKUP('Données projet'!$B$10,Paramètres!$A$1:$I$89,3,0)*0.475*44/12</f>
        <v>11.764858706146162</v>
      </c>
      <c r="AW78" s="21">
        <f>EXP(-LN(2)/2)*AW77+(1-EXP(-LN(2)/2))/(LN(2)/2)*AQ78*AT78*VLOOKUP('Données projet'!$B$10,Paramètres!$A$1:$I$89,3,0)*0.475*44/12</f>
        <v>0.84679072871178862</v>
      </c>
      <c r="AX78" s="21">
        <f t="shared" si="60"/>
        <v>58.505366111814475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-6.7984728957526396E-14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337.99164391065369</v>
      </c>
      <c r="T79" s="59">
        <f t="shared" si="88"/>
        <v>421.45428232119559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109.58852871920433</v>
      </c>
      <c r="AA79" s="21">
        <f>EXP(-LN(2)/25)*AA78+(1-EXP(-LN(2)/25))/(LN(2)/25)*Calculateur!V79*Calculateur!X79*VLOOKUP('Données projet'!$B$9,Paramètres!$A$1:$I$89,3,0)*0.475*44/12</f>
        <v>25.642589181534781</v>
      </c>
      <c r="AB79" s="21">
        <f>EXP(-LN(2)/2)*AB78+(1-EXP(-LN(2)/2))/(LN(2)/2)*V79*Y79*VLOOKUP('Données projet'!$B$9,Paramètres!$A$1:$I$89,3,0)*0.475*44/12</f>
        <v>3.8861478704867301E-2</v>
      </c>
      <c r="AC79" s="22">
        <f t="shared" si="57"/>
        <v>135.26997937944398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7.5584615369999995</v>
      </c>
      <c r="AI79" s="13">
        <f>IF('Données projet'!$A$62&gt;35,AI78+AH79-AQ78,IF(A79&lt;'Données projet'!$A$62,$AF$205^A79,IF(A79='Données projet'!$A$62,'Données projet'!$B$62,AI78+AH79-AQ78)))</f>
        <v>372.67384615199978</v>
      </c>
      <c r="AJ79" s="13">
        <f>AI79*VLOOKUP('Données projet'!$B$10,Paramètres!$A$1:$I$89,3,0)*VLOOKUP('Données projet'!$B$10,Paramètres!$A$1:$I$89,5,0)</f>
        <v>222.8589599988959</v>
      </c>
      <c r="AK79" s="13">
        <f t="shared" si="89"/>
        <v>54.735798842253544</v>
      </c>
      <c r="AL79" s="20">
        <f t="shared" si="58"/>
        <v>483.47753831500194</v>
      </c>
      <c r="AM79" s="59">
        <f t="shared" si="59"/>
        <v>752.56712269585137</v>
      </c>
      <c r="AN79" s="59">
        <f ca="1">AVERAGE(OFFSET($AM$3,0,0,'Données projet'!$E$10+1,1))-AVERAGE(OFFSET($H$3,0,0,'Données projet'!$E$10+1,1))</f>
        <v>310.96303212465733</v>
      </c>
      <c r="AO79" s="59">
        <f t="shared" si="90"/>
        <v>248.17359812749166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44.993768885324556</v>
      </c>
      <c r="AV79" s="21">
        <f>EXP(-LN(2)/25)*AV78+(1-EXP(-LN(2)/25))/(LN(2)/25)*Calculateur!AQ79*Calculateur!AS79*VLOOKUP('Données projet'!$B$10,Paramètres!$A$1:$I$89,3,0)*0.475*44/12</f>
        <v>11.443148026139564</v>
      </c>
      <c r="AW79" s="21">
        <f>EXP(-LN(2)/2)*AW78+(1-EXP(-LN(2)/2))/(LN(2)/2)*AQ79*AT79*VLOOKUP('Données projet'!$B$10,Paramètres!$A$1:$I$89,3,0)*0.475*44/12</f>
        <v>0.59877146651800384</v>
      </c>
      <c r="AX79" s="21">
        <f t="shared" si="60"/>
        <v>57.035688377982126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337.99164391065369</v>
      </c>
      <c r="T80" s="59">
        <f t="shared" si="88"/>
        <v>421.45428232119559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107.43956451342312</v>
      </c>
      <c r="AA80" s="21">
        <f>EXP(-LN(2)/25)*AA79+(1-EXP(-LN(2)/25))/(LN(2)/25)*Calculateur!V80*Calculateur!X80*VLOOKUP('Données projet'!$B$9,Paramètres!$A$1:$I$89,3,0)*0.475*44/12</f>
        <v>24.941391231880555</v>
      </c>
      <c r="AB80" s="21">
        <f>EXP(-LN(2)/2)*AB79+(1-EXP(-LN(2)/2))/(LN(2)/2)*V80*Y80*VLOOKUP('Données projet'!$B$9,Paramètres!$A$1:$I$89,3,0)*0.475*44/12</f>
        <v>2.7479215119148279E-2</v>
      </c>
      <c r="AC80" s="22">
        <f t="shared" si="57"/>
        <v>132.40843496042282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7.5584615369999995</v>
      </c>
      <c r="AI80" s="13">
        <f>IF('Données projet'!$A$62&gt;35,AI79+AH80-AQ79,IF(A80&lt;'Données projet'!$A$62,$AF$205^A80,IF(A80='Données projet'!$A$62,'Données projet'!$B$62,AI79+AH80-AQ79)))</f>
        <v>380.23230768899975</v>
      </c>
      <c r="AJ80" s="13">
        <f>AI80*VLOOKUP('Données projet'!$B$10,Paramètres!$A$1:$I$89,3,0)*VLOOKUP('Données projet'!$B$10,Paramètres!$A$1:$I$89,5,0)</f>
        <v>227.37891999802187</v>
      </c>
      <c r="AK80" s="13">
        <f t="shared" si="89"/>
        <v>55.715565262187205</v>
      </c>
      <c r="AL80" s="20">
        <f t="shared" si="58"/>
        <v>493.05622849486417</v>
      </c>
      <c r="AM80" s="59">
        <f t="shared" si="59"/>
        <v>762.5663877191364</v>
      </c>
      <c r="AN80" s="59">
        <f ca="1">AVERAGE(OFFSET($AM$3,0,0,'Données projet'!$E$10+1,1))-AVERAGE(OFFSET($H$3,0,0,'Données projet'!$E$10+1,1))</f>
        <v>310.96303212465733</v>
      </c>
      <c r="AO80" s="59">
        <f t="shared" si="90"/>
        <v>248.17359812749166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44.111468520972544</v>
      </c>
      <c r="AV80" s="21">
        <f>EXP(-LN(2)/25)*AV79+(1-EXP(-LN(2)/25))/(LN(2)/25)*Calculateur!AQ80*Calculateur!AS80*VLOOKUP('Données projet'!$B$10,Paramètres!$A$1:$I$89,3,0)*0.475*44/12</f>
        <v>11.130234541595776</v>
      </c>
      <c r="AW80" s="21">
        <f>EXP(-LN(2)/2)*AW79+(1-EXP(-LN(2)/2))/(LN(2)/2)*AQ80*AT80*VLOOKUP('Données projet'!$B$10,Paramètres!$A$1:$I$89,3,0)*0.475*44/12</f>
        <v>0.42339536435589431</v>
      </c>
      <c r="AX80" s="21">
        <f t="shared" si="60"/>
        <v>55.665098426924217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337.99164391065369</v>
      </c>
      <c r="T81" s="59">
        <f t="shared" si="88"/>
        <v>421.45428232119559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105.33274018497853</v>
      </c>
      <c r="AA81" s="21">
        <f>EXP(-LN(2)/25)*AA80+(1-EXP(-LN(2)/25))/(LN(2)/25)*Calculateur!V81*Calculateur!X81*VLOOKUP('Données projet'!$B$9,Paramètres!$A$1:$I$89,3,0)*0.475*44/12</f>
        <v>24.25936757703402</v>
      </c>
      <c r="AB81" s="21">
        <f>EXP(-LN(2)/2)*AB80+(1-EXP(-LN(2)/2))/(LN(2)/2)*V81*Y81*VLOOKUP('Données projet'!$B$9,Paramètres!$A$1:$I$89,3,0)*0.475*44/12</f>
        <v>1.9430739352433651E-2</v>
      </c>
      <c r="AC81" s="22">
        <f t="shared" si="57"/>
        <v>129.61153850136498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7.5584615369999995</v>
      </c>
      <c r="AI81" s="13">
        <f>IF('Données projet'!$A$62&gt;35,AI80+AH81-AQ80,IF(A81&lt;'Données projet'!$A$62,$AF$205^A81,IF(A81='Données projet'!$A$62,'Données projet'!$B$62,AI80+AH81-AQ80)))</f>
        <v>387.79076922599972</v>
      </c>
      <c r="AJ81" s="13">
        <f>AI81*VLOOKUP('Données projet'!$B$10,Paramètres!$A$1:$I$89,3,0)*VLOOKUP('Données projet'!$B$10,Paramètres!$A$1:$I$89,5,0)</f>
        <v>231.89887999714784</v>
      </c>
      <c r="AK81" s="13">
        <f t="shared" si="89"/>
        <v>56.693067101392636</v>
      </c>
      <c r="AL81" s="20">
        <f t="shared" si="58"/>
        <v>502.630974529958</v>
      </c>
      <c r="AM81" s="59">
        <f t="shared" si="59"/>
        <v>772.55441256438417</v>
      </c>
      <c r="AN81" s="59">
        <f ca="1">AVERAGE(OFFSET($AM$3,0,0,'Données projet'!$E$10+1,1))-AVERAGE(OFFSET($H$3,0,0,'Données projet'!$E$10+1,1))</f>
        <v>310.96303212465733</v>
      </c>
      <c r="AO81" s="59">
        <f t="shared" si="90"/>
        <v>248.17359812749166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43.246469528615386</v>
      </c>
      <c r="AV81" s="21">
        <f>EXP(-LN(2)/25)*AV80+(1-EXP(-LN(2)/25))/(LN(2)/25)*Calculateur!AQ81*Calculateur!AS81*VLOOKUP('Données projet'!$B$10,Paramètres!$A$1:$I$89,3,0)*0.475*44/12</f>
        <v>10.825877692742244</v>
      </c>
      <c r="AW81" s="21">
        <f>EXP(-LN(2)/2)*AW80+(1-EXP(-LN(2)/2))/(LN(2)/2)*AQ81*AT81*VLOOKUP('Données projet'!$B$10,Paramètres!$A$1:$I$89,3,0)*0.475*44/12</f>
        <v>0.29938573325900192</v>
      </c>
      <c r="AX81" s="21">
        <f t="shared" si="60"/>
        <v>54.371732954616633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337.99164391065369</v>
      </c>
      <c r="T82" s="59">
        <f t="shared" si="88"/>
        <v>421.45428232119559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103.26722939657878</v>
      </c>
      <c r="AA82" s="21">
        <f>EXP(-LN(2)/25)*AA81+(1-EXP(-LN(2)/25))/(LN(2)/25)*Calculateur!V82*Calculateur!X82*VLOOKUP('Données projet'!$B$9,Paramètres!$A$1:$I$89,3,0)*0.475*44/12</f>
        <v>23.595993894895329</v>
      </c>
      <c r="AB82" s="21">
        <f>EXP(-LN(2)/2)*AB81+(1-EXP(-LN(2)/2))/(LN(2)/2)*V82*Y82*VLOOKUP('Données projet'!$B$9,Paramètres!$A$1:$I$89,3,0)*0.475*44/12</f>
        <v>1.373960755957414E-2</v>
      </c>
      <c r="AC82" s="22">
        <f t="shared" si="57"/>
        <v>126.87696289903369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7.5584615369999995</v>
      </c>
      <c r="AI82" s="13">
        <f>IF('Données projet'!$A$62&gt;35,AI81+AH82-AQ81,IF(A82&lt;'Données projet'!$A$62,$AF$205^A82,IF(A82='Données projet'!$A$62,'Données projet'!$B$62,AI81+AH82-AQ81)))</f>
        <v>395.3492307629997</v>
      </c>
      <c r="AJ82" s="13">
        <f>AI82*VLOOKUP('Données projet'!$B$10,Paramètres!$A$1:$I$89,3,0)*VLOOKUP('Données projet'!$B$10,Paramètres!$A$1:$I$89,5,0)</f>
        <v>236.41883999627385</v>
      </c>
      <c r="AK82" s="13">
        <f t="shared" si="89"/>
        <v>57.668353587224786</v>
      </c>
      <c r="AL82" s="20">
        <f t="shared" si="58"/>
        <v>512.20186215792671</v>
      </c>
      <c r="AM82" s="59">
        <f t="shared" si="59"/>
        <v>782.53140953910361</v>
      </c>
      <c r="AN82" s="59">
        <f ca="1">AVERAGE(OFFSET($AM$3,0,0,'Données projet'!$E$10+1,1))-AVERAGE(OFFSET($H$3,0,0,'Données projet'!$E$10+1,1))</f>
        <v>310.96303212465733</v>
      </c>
      <c r="AO82" s="59">
        <f t="shared" si="90"/>
        <v>248.17359812749166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42.398432638901063</v>
      </c>
      <c r="AV82" s="21">
        <f>EXP(-LN(2)/25)*AV81+(1-EXP(-LN(2)/25))/(LN(2)/25)*Calculateur!AQ82*Calculateur!AS82*VLOOKUP('Données projet'!$B$10,Paramètres!$A$1:$I$89,3,0)*0.475*44/12</f>
        <v>10.529843497926043</v>
      </c>
      <c r="AW82" s="21">
        <f>EXP(-LN(2)/2)*AW81+(1-EXP(-LN(2)/2))/(LN(2)/2)*AQ82*AT82*VLOOKUP('Données projet'!$B$10,Paramètres!$A$1:$I$89,3,0)*0.475*44/12</f>
        <v>0.21169768217794716</v>
      </c>
      <c r="AX82" s="21">
        <f t="shared" si="60"/>
        <v>53.139973819005057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337.99164391065369</v>
      </c>
      <c r="T83" s="59">
        <f t="shared" si="88"/>
        <v>421.45428232119559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101.24222201490238</v>
      </c>
      <c r="AA83" s="21">
        <f>EXP(-LN(2)/25)*AA82+(1-EXP(-LN(2)/25))/(LN(2)/25)*Calculateur!V83*Calculateur!X83*VLOOKUP('Données projet'!$B$9,Paramètres!$A$1:$I$89,3,0)*0.475*44/12</f>
        <v>22.950760200980028</v>
      </c>
      <c r="AB83" s="21">
        <f>EXP(-LN(2)/2)*AB82+(1-EXP(-LN(2)/2))/(LN(2)/2)*V83*Y83*VLOOKUP('Données projet'!$B$9,Paramètres!$A$1:$I$89,3,0)*0.475*44/12</f>
        <v>9.7153696762168253E-3</v>
      </c>
      <c r="AC83" s="22">
        <f t="shared" si="57"/>
        <v>124.20269758555862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402.90769230000001</v>
      </c>
      <c r="AG83" s="12">
        <f>VLOOKUP(A83,'Données projet'!$A$61:$I$81,9,0)</f>
        <v>7.5584615369999995</v>
      </c>
      <c r="AH83" s="12">
        <f t="array" ref="AH83">INDEX(AG:AG,MIN(IF(ISNUMBER(AG83:AG279),ROW(AG83:AG279),"")))</f>
        <v>7.5584615369999995</v>
      </c>
      <c r="AI83" s="13">
        <f>IF('Données projet'!$A$62&gt;35,AI82+AH83-AQ82,IF(A83&lt;'Données projet'!$A$62,$AF$205^A83,IF(A83='Données projet'!$A$62,'Données projet'!$B$62,AI82+AH83-AQ82)))</f>
        <v>402.90769229999967</v>
      </c>
      <c r="AJ83" s="13">
        <f>AI83*VLOOKUP('Données projet'!$B$10,Paramètres!$A$1:$I$89,3,0)*VLOOKUP('Données projet'!$B$10,Paramètres!$A$1:$I$89,5,0)</f>
        <v>240.93879999539979</v>
      </c>
      <c r="AK83" s="13">
        <f t="shared" si="89"/>
        <v>58.641471957039371</v>
      </c>
      <c r="AL83" s="20">
        <f t="shared" si="58"/>
        <v>521.7689736504982</v>
      </c>
      <c r="AM83" s="59">
        <f t="shared" si="59"/>
        <v>792.49758528918437</v>
      </c>
      <c r="AN83" s="59">
        <f ca="1">AVERAGE(OFFSET($AM$3,0,0,'Données projet'!$E$10+1,1))-AVERAGE(OFFSET($H$3,0,0,'Données projet'!$E$10+1,1))</f>
        <v>310.96303212465733</v>
      </c>
      <c r="AO83" s="59">
        <f t="shared" si="90"/>
        <v>248.17359812749166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402.90769230000001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7.6500000000000012E-2</v>
      </c>
      <c r="AT83" s="16">
        <f>IF(ISNA(VLOOKUP(A83,'Données projet'!$A$61:$I$81,7,0)),0%,VLOOKUP(A83,'Données projet'!$A$61:$I$81,7,0))</f>
        <v>0.13</v>
      </c>
      <c r="AU83" s="21">
        <f>EXP(-LN(2)/35)*AU82+(1-EXP(-LN(2)/35))/(LN(2)/35)*AQ83*AR83*VLOOKUP('Données projet'!$B$10,Paramètres!$A$1:$I$89,3,0)*0.475*44/12</f>
        <v>142.24759235854117</v>
      </c>
      <c r="AV83" s="21">
        <f>EXP(-LN(2)/25)*AV82+(1-EXP(-LN(2)/25))/(LN(2)/25)*Calculateur!AQ83*Calculateur!AS83*VLOOKUP('Données projet'!$B$10,Paramètres!$A$1:$I$89,3,0)*0.475*44/12</f>
        <v>34.596626363138071</v>
      </c>
      <c r="AW83" s="21">
        <f>EXP(-LN(2)/2)*AW82+(1-EXP(-LN(2)/2))/(LN(2)/2)*AQ83*AT83*VLOOKUP('Données projet'!$B$10,Paramètres!$A$1:$I$89,3,0)*0.475*44/12</f>
        <v>35.613522707297484</v>
      </c>
      <c r="AX83" s="21">
        <f t="shared" si="60"/>
        <v>212.4577414289767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337.99164391065369</v>
      </c>
      <c r="T84" s="59">
        <f t="shared" si="88"/>
        <v>421.45428232119559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99.256923792848099</v>
      </c>
      <c r="AA84" s="21">
        <f>EXP(-LN(2)/25)*AA83+(1-EXP(-LN(2)/25))/(LN(2)/25)*Calculateur!V84*Calculateur!X84*VLOOKUP('Données projet'!$B$9,Paramètres!$A$1:$I$89,3,0)*0.475*44/12</f>
        <v>22.323170456356205</v>
      </c>
      <c r="AB84" s="21">
        <f>EXP(-LN(2)/2)*AB83+(1-EXP(-LN(2)/2))/(LN(2)/2)*V84*Y84*VLOOKUP('Données projet'!$B$9,Paramètres!$A$1:$I$89,3,0)*0.475*44/12</f>
        <v>6.8698037797870698E-3</v>
      </c>
      <c r="AC84" s="22">
        <f t="shared" si="57"/>
        <v>121.5869640529841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-3.4106051316484809E-13</v>
      </c>
      <c r="AJ84" s="13">
        <f>AI84*VLOOKUP('Données projet'!$B$10,Paramètres!$A$1:$I$89,3,0)*VLOOKUP('Données projet'!$B$10,Paramètres!$A$1:$I$89,5,0)</f>
        <v>-2.0395418687257919E-13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310.96303212465733</v>
      </c>
      <c r="AO84" s="59">
        <f t="shared" si="90"/>
        <v>248.17359812749166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139.45820383485443</v>
      </c>
      <c r="AV84" s="21">
        <f>EXP(-LN(2)/25)*AV83+(1-EXP(-LN(2)/25))/(LN(2)/25)*Calculateur!AQ84*Calculateur!AS84*VLOOKUP('Données projet'!$B$10,Paramètres!$A$1:$I$89,3,0)*0.475*44/12</f>
        <v>33.650579795880553</v>
      </c>
      <c r="AW84" s="21">
        <f>EXP(-LN(2)/2)*AW83+(1-EXP(-LN(2)/2))/(LN(2)/2)*AQ84*AT84*VLOOKUP('Données projet'!$B$10,Paramètres!$A$1:$I$89,3,0)*0.475*44/12</f>
        <v>25.182563408271147</v>
      </c>
      <c r="AX84" s="21">
        <f t="shared" si="60"/>
        <v>198.29134703900613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337.99164391065369</v>
      </c>
      <c r="T85" s="59">
        <f t="shared" si="88"/>
        <v>421.45428232119559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97.310556058015962</v>
      </c>
      <c r="AA85" s="21">
        <f>EXP(-LN(2)/25)*AA84+(1-EXP(-LN(2)/25))/(LN(2)/25)*Calculateur!V85*Calculateur!X85*VLOOKUP('Données projet'!$B$9,Paramètres!$A$1:$I$89,3,0)*0.475*44/12</f>
        <v>21.712742186302631</v>
      </c>
      <c r="AB85" s="21">
        <f>EXP(-LN(2)/2)*AB84+(1-EXP(-LN(2)/2))/(LN(2)/2)*V85*Y85*VLOOKUP('Données projet'!$B$9,Paramètres!$A$1:$I$89,3,0)*0.475*44/12</f>
        <v>4.8576848381084127E-3</v>
      </c>
      <c r="AC85" s="22">
        <f t="shared" si="57"/>
        <v>119.02815592915671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-3.4106051316484809E-13</v>
      </c>
      <c r="AJ85" s="13">
        <f>AI85*VLOOKUP('Données projet'!$B$10,Paramètres!$A$1:$I$89,3,0)*VLOOKUP('Données projet'!$B$10,Paramètres!$A$1:$I$89,5,0)</f>
        <v>-2.0395418687257919E-13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310.96303212465733</v>
      </c>
      <c r="AO85" s="59">
        <f t="shared" si="90"/>
        <v>248.17359812749166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136.72351351875818</v>
      </c>
      <c r="AV85" s="21">
        <f>EXP(-LN(2)/25)*AV84+(1-EXP(-LN(2)/25))/(LN(2)/25)*Calculateur!AQ85*Calculateur!AS85*VLOOKUP('Données projet'!$B$10,Paramètres!$A$1:$I$89,3,0)*0.475*44/12</f>
        <v>32.730402921755115</v>
      </c>
      <c r="AW85" s="21">
        <f>EXP(-LN(2)/2)*AW84+(1-EXP(-LN(2)/2))/(LN(2)/2)*AQ85*AT85*VLOOKUP('Données projet'!$B$10,Paramètres!$A$1:$I$89,3,0)*0.475*44/12</f>
        <v>17.806761353648746</v>
      </c>
      <c r="AX85" s="21">
        <f t="shared" si="60"/>
        <v>187.26067779416204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337.99164391065369</v>
      </c>
      <c r="T86" s="59">
        <f t="shared" si="88"/>
        <v>421.45428232119559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95.402355407296781</v>
      </c>
      <c r="AA86" s="21">
        <f>EXP(-LN(2)/25)*AA85+(1-EXP(-LN(2)/25))/(LN(2)/25)*Calculateur!V86*Calculateur!X86*VLOOKUP('Données projet'!$B$9,Paramètres!$A$1:$I$89,3,0)*0.475*44/12</f>
        <v>21.1190061093947</v>
      </c>
      <c r="AB86" s="21">
        <f>EXP(-LN(2)/2)*AB85+(1-EXP(-LN(2)/2))/(LN(2)/2)*V86*Y86*VLOOKUP('Données projet'!$B$9,Paramètres!$A$1:$I$89,3,0)*0.475*44/12</f>
        <v>3.4349018898935349E-3</v>
      </c>
      <c r="AC86" s="22">
        <f t="shared" si="57"/>
        <v>116.52479641858137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-3.4106051316484809E-13</v>
      </c>
      <c r="AJ86" s="13">
        <f>AI86*VLOOKUP('Données projet'!$B$10,Paramètres!$A$1:$I$89,3,0)*VLOOKUP('Données projet'!$B$10,Paramètres!$A$1:$I$89,5,0)</f>
        <v>-2.0395418687257919E-13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310.96303212465733</v>
      </c>
      <c r="AO86" s="59">
        <f t="shared" si="90"/>
        <v>248.17359812749166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134.04244881176419</v>
      </c>
      <c r="AV86" s="21">
        <f>EXP(-LN(2)/25)*AV85+(1-EXP(-LN(2)/25))/(LN(2)/25)*Calculateur!AQ86*Calculateur!AS86*VLOOKUP('Données projet'!$B$10,Paramètres!$A$1:$I$89,3,0)*0.475*44/12</f>
        <v>31.835388332642637</v>
      </c>
      <c r="AW86" s="21">
        <f>EXP(-LN(2)/2)*AW85+(1-EXP(-LN(2)/2))/(LN(2)/2)*AQ86*AT86*VLOOKUP('Données projet'!$B$10,Paramètres!$A$1:$I$89,3,0)*0.475*44/12</f>
        <v>12.591281704135575</v>
      </c>
      <c r="AX86" s="21">
        <f t="shared" si="60"/>
        <v>178.46911884854242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337.99164391065369</v>
      </c>
      <c r="T87" s="59">
        <f t="shared" si="88"/>
        <v>421.45428232119559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93.531573407450736</v>
      </c>
      <c r="AA87" s="21">
        <f>EXP(-LN(2)/25)*AA86+(1-EXP(-LN(2)/25))/(LN(2)/25)*Calculateur!V87*Calculateur!X87*VLOOKUP('Données projet'!$B$9,Paramètres!$A$1:$I$89,3,0)*0.475*44/12</f>
        <v>20.54150577673304</v>
      </c>
      <c r="AB87" s="21">
        <f>EXP(-LN(2)/2)*AB86+(1-EXP(-LN(2)/2))/(LN(2)/2)*V87*Y87*VLOOKUP('Données projet'!$B$9,Paramètres!$A$1:$I$89,3,0)*0.475*44/12</f>
        <v>2.4288424190542063E-3</v>
      </c>
      <c r="AC87" s="22">
        <f t="shared" si="57"/>
        <v>114.07550802660282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-3.4106051316484809E-13</v>
      </c>
      <c r="AJ87" s="13">
        <f>AI87*VLOOKUP('Données projet'!$B$10,Paramètres!$A$1:$I$89,3,0)*VLOOKUP('Données projet'!$B$10,Paramètres!$A$1:$I$89,5,0)</f>
        <v>-2.0395418687257919E-13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310.96303212465733</v>
      </c>
      <c r="AO87" s="59">
        <f t="shared" si="90"/>
        <v>248.17359812749166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131.41395814838634</v>
      </c>
      <c r="AV87" s="21">
        <f>EXP(-LN(2)/25)*AV86+(1-EXP(-LN(2)/25))/(LN(2)/25)*Calculateur!AQ87*Calculateur!AS87*VLOOKUP('Données projet'!$B$10,Paramètres!$A$1:$I$89,3,0)*0.475*44/12</f>
        <v>30.964847964536212</v>
      </c>
      <c r="AW87" s="21">
        <f>EXP(-LN(2)/2)*AW86+(1-EXP(-LN(2)/2))/(LN(2)/2)*AQ87*AT87*VLOOKUP('Données projet'!$B$10,Paramètres!$A$1:$I$89,3,0)*0.475*44/12</f>
        <v>8.9033806768243746</v>
      </c>
      <c r="AX87" s="21">
        <f t="shared" si="60"/>
        <v>171.28218678974693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337.99164391065369</v>
      </c>
      <c r="T88" s="59">
        <f t="shared" si="88"/>
        <v>421.45428232119559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91.697476301557316</v>
      </c>
      <c r="AA88" s="21">
        <f>EXP(-LN(2)/25)*AA87+(1-EXP(-LN(2)/25))/(LN(2)/25)*Calculateur!V88*Calculateur!X88*VLOOKUP('Données projet'!$B$9,Paramètres!$A$1:$I$89,3,0)*0.475*44/12</f>
        <v>19.979797221037433</v>
      </c>
      <c r="AB88" s="21">
        <f>EXP(-LN(2)/2)*AB87+(1-EXP(-LN(2)/2))/(LN(2)/2)*V88*Y88*VLOOKUP('Données projet'!$B$9,Paramètres!$A$1:$I$89,3,0)*0.475*44/12</f>
        <v>1.7174509449467675E-3</v>
      </c>
      <c r="AC88" s="22">
        <f t="shared" si="57"/>
        <v>111.6789909735397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-3.4106051316484809E-13</v>
      </c>
      <c r="AJ88" s="13">
        <f>AI88*VLOOKUP('Données projet'!$B$10,Paramètres!$A$1:$I$89,3,0)*VLOOKUP('Données projet'!$B$10,Paramètres!$A$1:$I$89,5,0)</f>
        <v>-2.0395418687257919E-13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310.96303212465733</v>
      </c>
      <c r="AO88" s="59">
        <f t="shared" si="90"/>
        <v>248.17359812749166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128.83701058369635</v>
      </c>
      <c r="AV88" s="21">
        <f>EXP(-LN(2)/25)*AV87+(1-EXP(-LN(2)/25))/(LN(2)/25)*Calculateur!AQ88*Calculateur!AS88*VLOOKUP('Données projet'!$B$10,Paramètres!$A$1:$I$89,3,0)*0.475*44/12</f>
        <v>30.118112568575384</v>
      </c>
      <c r="AW88" s="21">
        <f>EXP(-LN(2)/2)*AW87+(1-EXP(-LN(2)/2))/(LN(2)/2)*AQ88*AT88*VLOOKUP('Données projet'!$B$10,Paramètres!$A$1:$I$89,3,0)*0.475*44/12</f>
        <v>6.2956408520677885</v>
      </c>
      <c r="AX88" s="21">
        <f t="shared" si="60"/>
        <v>165.25076400433952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337.99164391065369</v>
      </c>
      <c r="T89" s="59">
        <f t="shared" si="88"/>
        <v>421.45428232119559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89.899344721221695</v>
      </c>
      <c r="AA89" s="21">
        <f>EXP(-LN(2)/25)*AA88+(1-EXP(-LN(2)/25))/(LN(2)/25)*Calculateur!V89*Calculateur!X89*VLOOKUP('Données projet'!$B$9,Paramètres!$A$1:$I$89,3,0)*0.475*44/12</f>
        <v>19.433448615336292</v>
      </c>
      <c r="AB89" s="21">
        <f>EXP(-LN(2)/2)*AB88+(1-EXP(-LN(2)/2))/(LN(2)/2)*V89*Y89*VLOOKUP('Données projet'!$B$9,Paramètres!$A$1:$I$89,3,0)*0.475*44/12</f>
        <v>1.2144212095271032E-3</v>
      </c>
      <c r="AC89" s="22">
        <f t="shared" si="57"/>
        <v>109.33400775776751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-3.4106051316484809E-13</v>
      </c>
      <c r="AJ89" s="13">
        <f>AI89*VLOOKUP('Données projet'!$B$10,Paramètres!$A$1:$I$89,3,0)*VLOOKUP('Données projet'!$B$10,Paramètres!$A$1:$I$89,5,0)</f>
        <v>-2.0395418687257919E-13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310.96303212465733</v>
      </c>
      <c r="AO89" s="59">
        <f t="shared" si="90"/>
        <v>248.17359812749166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126.31059538896712</v>
      </c>
      <c r="AV89" s="21">
        <f>EXP(-LN(2)/25)*AV88+(1-EXP(-LN(2)/25))/(LN(2)/25)*Calculateur!AQ89*Calculateur!AS89*VLOOKUP('Données projet'!$B$10,Paramètres!$A$1:$I$89,3,0)*0.475*44/12</f>
        <v>29.294531196544987</v>
      </c>
      <c r="AW89" s="21">
        <f>EXP(-LN(2)/2)*AW88+(1-EXP(-LN(2)/2))/(LN(2)/2)*AQ89*AT89*VLOOKUP('Données projet'!$B$10,Paramètres!$A$1:$I$89,3,0)*0.475*44/12</f>
        <v>4.4516903384121873</v>
      </c>
      <c r="AX89" s="21">
        <f t="shared" si="60"/>
        <v>160.05681692392429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337.99164391065369</v>
      </c>
      <c r="T90" s="59">
        <f t="shared" si="88"/>
        <v>421.45428232119559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88.136473404424493</v>
      </c>
      <c r="AA90" s="21">
        <f>EXP(-LN(2)/25)*AA89+(1-EXP(-LN(2)/25))/(LN(2)/25)*Calculateur!V90*Calculateur!X90*VLOOKUP('Données projet'!$B$9,Paramètres!$A$1:$I$89,3,0)*0.475*44/12</f>
        <v>18.902039940989276</v>
      </c>
      <c r="AB90" s="21">
        <f>EXP(-LN(2)/2)*AB89+(1-EXP(-LN(2)/2))/(LN(2)/2)*V90*Y90*VLOOKUP('Données projet'!$B$9,Paramètres!$A$1:$I$89,3,0)*0.475*44/12</f>
        <v>8.5872547247338373E-4</v>
      </c>
      <c r="AC90" s="22">
        <f t="shared" si="57"/>
        <v>107.03937207088624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-3.4106051316484809E-13</v>
      </c>
      <c r="AJ90" s="13">
        <f>AI90*VLOOKUP('Données projet'!$B$10,Paramètres!$A$1:$I$89,3,0)*VLOOKUP('Données projet'!$B$10,Paramètres!$A$1:$I$89,5,0)</f>
        <v>-2.0395418687257919E-13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310.96303212465733</v>
      </c>
      <c r="AO90" s="59">
        <f t="shared" si="90"/>
        <v>248.17359812749166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123.83372165524541</v>
      </c>
      <c r="AV90" s="21">
        <f>EXP(-LN(2)/25)*AV89+(1-EXP(-LN(2)/25))/(LN(2)/25)*Calculateur!AQ90*Calculateur!AS90*VLOOKUP('Données projet'!$B$10,Paramètres!$A$1:$I$89,3,0)*0.475*44/12</f>
        <v>28.493470700443023</v>
      </c>
      <c r="AW90" s="21">
        <f>EXP(-LN(2)/2)*AW89+(1-EXP(-LN(2)/2))/(LN(2)/2)*AQ90*AT90*VLOOKUP('Données projet'!$B$10,Paramètres!$A$1:$I$89,3,0)*0.475*44/12</f>
        <v>3.1478204260338942</v>
      </c>
      <c r="AX90" s="21">
        <f t="shared" si="60"/>
        <v>155.47501278172231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337.99164391065369</v>
      </c>
      <c r="T91" s="59">
        <f t="shared" si="88"/>
        <v>421.45428232119559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86.408170918904347</v>
      </c>
      <c r="AA91" s="21">
        <f>EXP(-LN(2)/25)*AA90+(1-EXP(-LN(2)/25))/(LN(2)/25)*Calculateur!V91*Calculateur!X91*VLOOKUP('Données projet'!$B$9,Paramètres!$A$1:$I$89,3,0)*0.475*44/12</f>
        <v>18.385162664787845</v>
      </c>
      <c r="AB91" s="21">
        <f>EXP(-LN(2)/2)*AB90+(1-EXP(-LN(2)/2))/(LN(2)/2)*V91*Y91*VLOOKUP('Données projet'!$B$9,Paramètres!$A$1:$I$89,3,0)*0.475*44/12</f>
        <v>6.0721060476355158E-4</v>
      </c>
      <c r="AC91" s="22">
        <f t="shared" si="57"/>
        <v>104.79394079429696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-3.4106051316484809E-13</v>
      </c>
      <c r="AJ91" s="13">
        <f>AI91*VLOOKUP('Données projet'!$B$10,Paramètres!$A$1:$I$89,3,0)*VLOOKUP('Données projet'!$B$10,Paramètres!$A$1:$I$89,5,0)</f>
        <v>-2.0395418687257919E-13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310.96303212465733</v>
      </c>
      <c r="AO91" s="59">
        <f t="shared" si="90"/>
        <v>248.17359812749166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121.40541790469818</v>
      </c>
      <c r="AV91" s="21">
        <f>EXP(-LN(2)/25)*AV90+(1-EXP(-LN(2)/25))/(LN(2)/25)*Calculateur!AQ91*Calculateur!AS91*VLOOKUP('Données projet'!$B$10,Paramètres!$A$1:$I$89,3,0)*0.475*44/12</f>
        <v>27.714315245732909</v>
      </c>
      <c r="AW91" s="21">
        <f>EXP(-LN(2)/2)*AW90+(1-EXP(-LN(2)/2))/(LN(2)/2)*AQ91*AT91*VLOOKUP('Données projet'!$B$10,Paramètres!$A$1:$I$89,3,0)*0.475*44/12</f>
        <v>2.2258451692060937</v>
      </c>
      <c r="AX91" s="21">
        <f t="shared" si="60"/>
        <v>151.34557831963718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337.99164391065369</v>
      </c>
      <c r="T92" s="59">
        <f t="shared" si="88"/>
        <v>421.45428232119559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84.713759390964825</v>
      </c>
      <c r="AA92" s="21">
        <f>EXP(-LN(2)/25)*AA91+(1-EXP(-LN(2)/25))/(LN(2)/25)*Calculateur!V92*Calculateur!X92*VLOOKUP('Données projet'!$B$9,Paramètres!$A$1:$I$89,3,0)*0.475*44/12</f>
        <v>17.882419424885537</v>
      </c>
      <c r="AB92" s="21">
        <f>EXP(-LN(2)/2)*AB91+(1-EXP(-LN(2)/2))/(LN(2)/2)*V92*Y92*VLOOKUP('Données projet'!$B$9,Paramètres!$A$1:$I$89,3,0)*0.475*44/12</f>
        <v>4.2936273623669186E-4</v>
      </c>
      <c r="AC92" s="22">
        <f t="shared" si="57"/>
        <v>102.59660817858661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-3.4106051316484809E-13</v>
      </c>
      <c r="AJ92" s="13">
        <f>AI92*VLOOKUP('Données projet'!$B$10,Paramètres!$A$1:$I$89,3,0)*VLOOKUP('Données projet'!$B$10,Paramètres!$A$1:$I$89,5,0)</f>
        <v>-2.0395418687257919E-13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310.96303212465733</v>
      </c>
      <c r="AO92" s="59">
        <f t="shared" si="90"/>
        <v>248.17359812749166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119.02473170958014</v>
      </c>
      <c r="AV92" s="21">
        <f>EXP(-LN(2)/25)*AV91+(1-EXP(-LN(2)/25))/(LN(2)/25)*Calculateur!AQ92*Calculateur!AS92*VLOOKUP('Données projet'!$B$10,Paramètres!$A$1:$I$89,3,0)*0.475*44/12</f>
        <v>26.956465837905846</v>
      </c>
      <c r="AW92" s="21">
        <f>EXP(-LN(2)/2)*AW91+(1-EXP(-LN(2)/2))/(LN(2)/2)*AQ92*AT92*VLOOKUP('Données projet'!$B$10,Paramètres!$A$1:$I$89,3,0)*0.475*44/12</f>
        <v>1.5739102130169471</v>
      </c>
      <c r="AX92" s="21">
        <f t="shared" si="60"/>
        <v>147.55510776050292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337.99164391065369</v>
      </c>
      <c r="T93" s="59">
        <f t="shared" si="88"/>
        <v>421.45428232119559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83.05257423959921</v>
      </c>
      <c r="AA93" s="21">
        <f>EXP(-LN(2)/25)*AA92+(1-EXP(-LN(2)/25))/(LN(2)/25)*Calculateur!V93*Calculateur!X93*VLOOKUP('Données projet'!$B$9,Paramètres!$A$1:$I$89,3,0)*0.475*44/12</f>
        <v>17.393423725316474</v>
      </c>
      <c r="AB93" s="21">
        <f>EXP(-LN(2)/2)*AB92+(1-EXP(-LN(2)/2))/(LN(2)/2)*V93*Y93*VLOOKUP('Données projet'!$B$9,Paramètres!$A$1:$I$89,3,0)*0.475*44/12</f>
        <v>3.0360530238177579E-4</v>
      </c>
      <c r="AC93" s="22">
        <f t="shared" si="57"/>
        <v>100.44630157021805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-3.4106051316484809E-13</v>
      </c>
      <c r="AJ93" s="13">
        <f>AI93*VLOOKUP('Données projet'!$B$10,Paramètres!$A$1:$I$89,3,0)*VLOOKUP('Données projet'!$B$10,Paramètres!$A$1:$I$89,5,0)</f>
        <v>-2.0395418687257919E-13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310.96303212465733</v>
      </c>
      <c r="AO93" s="59">
        <f t="shared" si="90"/>
        <v>248.17359812749166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116.69072931867316</v>
      </c>
      <c r="AV93" s="21">
        <f>EXP(-LN(2)/25)*AV92+(1-EXP(-LN(2)/25))/(LN(2)/25)*Calculateur!AQ93*Calculateur!AS93*VLOOKUP('Données projet'!$B$10,Paramètres!$A$1:$I$89,3,0)*0.475*44/12</f>
        <v>26.219339861989383</v>
      </c>
      <c r="AW93" s="21">
        <f>EXP(-LN(2)/2)*AW92+(1-EXP(-LN(2)/2))/(LN(2)/2)*AQ93*AT93*VLOOKUP('Données projet'!$B$10,Paramètres!$A$1:$I$89,3,0)*0.475*44/12</f>
        <v>1.1129225846030468</v>
      </c>
      <c r="AX93" s="21">
        <f t="shared" si="60"/>
        <v>144.0229917652656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337.99164391065369</v>
      </c>
      <c r="T94" s="59">
        <f t="shared" si="88"/>
        <v>421.45428232119559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81.423963915828992</v>
      </c>
      <c r="AA94" s="21">
        <f>EXP(-LN(2)/25)*AA93+(1-EXP(-LN(2)/25))/(LN(2)/25)*Calculateur!V94*Calculateur!X94*VLOOKUP('Données projet'!$B$9,Paramètres!$A$1:$I$89,3,0)*0.475*44/12</f>
        <v>16.917799638867294</v>
      </c>
      <c r="AB94" s="21">
        <f>EXP(-LN(2)/2)*AB93+(1-EXP(-LN(2)/2))/(LN(2)/2)*V94*Y94*VLOOKUP('Données projet'!$B$9,Paramètres!$A$1:$I$89,3,0)*0.475*44/12</f>
        <v>2.1468136811834593E-4</v>
      </c>
      <c r="AC94" s="22">
        <f t="shared" si="57"/>
        <v>98.341978236064406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-3.4106051316484809E-13</v>
      </c>
      <c r="AJ94" s="13">
        <f>AI94*VLOOKUP('Données projet'!$B$10,Paramètres!$A$1:$I$89,3,0)*VLOOKUP('Données projet'!$B$10,Paramètres!$A$1:$I$89,5,0)</f>
        <v>-2.0395418687257919E-13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310.96303212465733</v>
      </c>
      <c r="AO94" s="59">
        <f t="shared" si="90"/>
        <v>248.17359812749166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114.40249529105098</v>
      </c>
      <c r="AV94" s="21">
        <f>EXP(-LN(2)/25)*AV93+(1-EXP(-LN(2)/25))/(LN(2)/25)*Calculateur!AQ94*Calculateur!AS94*VLOOKUP('Données projet'!$B$10,Paramètres!$A$1:$I$89,3,0)*0.475*44/12</f>
        <v>25.502370634648123</v>
      </c>
      <c r="AW94" s="21">
        <f>EXP(-LN(2)/2)*AW93+(1-EXP(-LN(2)/2))/(LN(2)/2)*AQ94*AT94*VLOOKUP('Données projet'!$B$10,Paramètres!$A$1:$I$89,3,0)*0.475*44/12</f>
        <v>0.78695510650847356</v>
      </c>
      <c r="AX94" s="21">
        <f t="shared" si="60"/>
        <v>140.6918210322076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337.99164391065369</v>
      </c>
      <c r="T95" s="59">
        <f t="shared" si="88"/>
        <v>421.45428232119559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79.827289647153691</v>
      </c>
      <c r="AA95" s="21">
        <f>EXP(-LN(2)/25)*AA94+(1-EXP(-LN(2)/25))/(LN(2)/25)*Calculateur!V95*Calculateur!X95*VLOOKUP('Données projet'!$B$9,Paramètres!$A$1:$I$89,3,0)*0.475*44/12</f>
        <v>16.455181518074049</v>
      </c>
      <c r="AB95" s="21">
        <f>EXP(-LN(2)/2)*AB94+(1-EXP(-LN(2)/2))/(LN(2)/2)*V95*Y95*VLOOKUP('Données projet'!$B$9,Paramètres!$A$1:$I$89,3,0)*0.475*44/12</f>
        <v>1.518026511908879E-4</v>
      </c>
      <c r="AC95" s="22">
        <f t="shared" si="57"/>
        <v>96.282622967878936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-3.4106051316484809E-13</v>
      </c>
      <c r="AJ95" s="13">
        <f>AI95*VLOOKUP('Données projet'!$B$10,Paramètres!$A$1:$I$89,3,0)*VLOOKUP('Données projet'!$B$10,Paramètres!$A$1:$I$89,5,0)</f>
        <v>-2.0395418687257919E-13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310.96303212465733</v>
      </c>
      <c r="AO95" s="59">
        <f t="shared" si="90"/>
        <v>248.17359812749166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112.15913213702554</v>
      </c>
      <c r="AV95" s="21">
        <f>EXP(-LN(2)/25)*AV94+(1-EXP(-LN(2)/25))/(LN(2)/25)*Calculateur!AQ95*Calculateur!AS95*VLOOKUP('Données projet'!$B$10,Paramètres!$A$1:$I$89,3,0)*0.475*44/12</f>
        <v>24.805006968532286</v>
      </c>
      <c r="AW95" s="21">
        <f>EXP(-LN(2)/2)*AW94+(1-EXP(-LN(2)/2))/(LN(2)/2)*AQ95*AT95*VLOOKUP('Données projet'!$B$10,Paramètres!$A$1:$I$89,3,0)*0.475*44/12</f>
        <v>0.55646129230152341</v>
      </c>
      <c r="AX95" s="21">
        <f t="shared" si="60"/>
        <v>137.52060039785934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337.99164391065369</v>
      </c>
      <c r="T96" s="59">
        <f t="shared" si="88"/>
        <v>421.45428232119559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78.261925187011968</v>
      </c>
      <c r="AA96" s="21">
        <f>EXP(-LN(2)/25)*AA95+(1-EXP(-LN(2)/25))/(LN(2)/25)*Calculateur!V96*Calculateur!X96*VLOOKUP('Données projet'!$B$9,Paramètres!$A$1:$I$89,3,0)*0.475*44/12</f>
        <v>16.005213714121926</v>
      </c>
      <c r="AB96" s="21">
        <f>EXP(-LN(2)/2)*AB95+(1-EXP(-LN(2)/2))/(LN(2)/2)*V96*Y96*VLOOKUP('Données projet'!$B$9,Paramètres!$A$1:$I$89,3,0)*0.475*44/12</f>
        <v>1.0734068405917297E-4</v>
      </c>
      <c r="AC96" s="22">
        <f t="shared" si="57"/>
        <v>94.267246241817944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-3.4106051316484809E-13</v>
      </c>
      <c r="AJ96" s="13">
        <f>AI96*VLOOKUP('Données projet'!$B$10,Paramètres!$A$1:$I$89,3,0)*VLOOKUP('Données projet'!$B$10,Paramètres!$A$1:$I$89,5,0)</f>
        <v>-2.0395418687257919E-13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310.96303212465733</v>
      </c>
      <c r="AO96" s="59">
        <f t="shared" si="90"/>
        <v>248.17359812749166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109.95975996613411</v>
      </c>
      <c r="AV96" s="21">
        <f>EXP(-LN(2)/25)*AV95+(1-EXP(-LN(2)/25))/(LN(2)/25)*Calculateur!AQ96*Calculateur!AS96*VLOOKUP('Données projet'!$B$10,Paramètres!$A$1:$I$89,3,0)*0.475*44/12</f>
        <v>24.126712748539148</v>
      </c>
      <c r="AW96" s="21">
        <f>EXP(-LN(2)/2)*AW95+(1-EXP(-LN(2)/2))/(LN(2)/2)*AQ96*AT96*VLOOKUP('Données projet'!$B$10,Paramètres!$A$1:$I$89,3,0)*0.475*44/12</f>
        <v>0.39347755325423678</v>
      </c>
      <c r="AX96" s="21">
        <f t="shared" si="60"/>
        <v>134.47995026792751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337.99164391065369</v>
      </c>
      <c r="T97" s="59">
        <f t="shared" si="88"/>
        <v>421.45428232119559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76.727256569155585</v>
      </c>
      <c r="AA97" s="21">
        <f>EXP(-LN(2)/25)*AA96+(1-EXP(-LN(2)/25))/(LN(2)/25)*Calculateur!V97*Calculateur!X97*VLOOKUP('Données projet'!$B$9,Paramètres!$A$1:$I$89,3,0)*0.475*44/12</f>
        <v>15.567550303431652</v>
      </c>
      <c r="AB97" s="21">
        <f>EXP(-LN(2)/2)*AB96+(1-EXP(-LN(2)/2))/(LN(2)/2)*V97*Y97*VLOOKUP('Données projet'!$B$9,Paramètres!$A$1:$I$89,3,0)*0.475*44/12</f>
        <v>7.5901325595443948E-5</v>
      </c>
      <c r="AC97" s="22">
        <f t="shared" si="57"/>
        <v>92.294882773912832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-3.4106051316484809E-13</v>
      </c>
      <c r="AJ97" s="13">
        <f>AI97*VLOOKUP('Données projet'!$B$10,Paramètres!$A$1:$I$89,3,0)*VLOOKUP('Données projet'!$B$10,Paramètres!$A$1:$I$89,5,0)</f>
        <v>-2.0395418687257919E-13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310.96303212465733</v>
      </c>
      <c r="AO97" s="59">
        <f t="shared" si="90"/>
        <v>248.17359812749166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107.80351614202931</v>
      </c>
      <c r="AV97" s="21">
        <f>EXP(-LN(2)/25)*AV96+(1-EXP(-LN(2)/25))/(LN(2)/25)*Calculateur!AQ97*Calculateur!AS97*VLOOKUP('Données projet'!$B$10,Paramètres!$A$1:$I$89,3,0)*0.475*44/12</f>
        <v>23.466966519661664</v>
      </c>
      <c r="AW97" s="21">
        <f>EXP(-LN(2)/2)*AW96+(1-EXP(-LN(2)/2))/(LN(2)/2)*AQ97*AT97*VLOOKUP('Données projet'!$B$10,Paramètres!$A$1:$I$89,3,0)*0.475*44/12</f>
        <v>0.27823064615076171</v>
      </c>
      <c r="AX97" s="21">
        <f t="shared" si="60"/>
        <v>131.54871330784175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337.99164391065369</v>
      </c>
      <c r="T98" s="59">
        <f t="shared" si="88"/>
        <v>421.45428232119559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75.222681866839935</v>
      </c>
      <c r="AA98" s="21">
        <f>EXP(-LN(2)/25)*AA97+(1-EXP(-LN(2)/25))/(LN(2)/25)*Calculateur!V98*Calculateur!X98*VLOOKUP('Données projet'!$B$9,Paramètres!$A$1:$I$89,3,0)*0.475*44/12</f>
        <v>15.141854821722424</v>
      </c>
      <c r="AB98" s="21">
        <f>EXP(-LN(2)/2)*AB97+(1-EXP(-LN(2)/2))/(LN(2)/2)*V98*Y98*VLOOKUP('Données projet'!$B$9,Paramètres!$A$1:$I$89,3,0)*0.475*44/12</f>
        <v>5.3670342029586483E-5</v>
      </c>
      <c r="AC98" s="22">
        <f t="shared" si="57"/>
        <v>90.36459035890438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-3.4106051316484809E-13</v>
      </c>
      <c r="AJ98" s="13">
        <f>AI98*VLOOKUP('Données projet'!$B$10,Paramètres!$A$1:$I$89,3,0)*VLOOKUP('Données projet'!$B$10,Paramètres!$A$1:$I$89,5,0)</f>
        <v>-2.0395418687257919E-13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310.96303212465733</v>
      </c>
      <c r="AO98" s="59">
        <f t="shared" si="90"/>
        <v>248.17359812749166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105.68955494413633</v>
      </c>
      <c r="AV98" s="21">
        <f>EXP(-LN(2)/25)*AV97+(1-EXP(-LN(2)/25))/(LN(2)/25)*Calculateur!AQ98*Calculateur!AS98*VLOOKUP('Données projet'!$B$10,Paramètres!$A$1:$I$89,3,0)*0.475*44/12</f>
        <v>22.825261086107382</v>
      </c>
      <c r="AW98" s="21">
        <f>EXP(-LN(2)/2)*AW97+(1-EXP(-LN(2)/2))/(LN(2)/2)*AQ98*AT98*VLOOKUP('Données projet'!$B$10,Paramètres!$A$1:$I$89,3,0)*0.475*44/12</f>
        <v>0.19673877662711839</v>
      </c>
      <c r="AX98" s="21">
        <f t="shared" si="60"/>
        <v>128.71155480687082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337.99164391065369</v>
      </c>
      <c r="T99" s="59">
        <f t="shared" si="88"/>
        <v>421.45428232119559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73.747610956736736</v>
      </c>
      <c r="AA99" s="21">
        <f>EXP(-LN(2)/25)*AA98+(1-EXP(-LN(2)/25))/(LN(2)/25)*Calculateur!V99*Calculateur!X99*VLOOKUP('Données projet'!$B$9,Paramètres!$A$1:$I$89,3,0)*0.475*44/12</f>
        <v>14.727800005346886</v>
      </c>
      <c r="AB99" s="21">
        <f>EXP(-LN(2)/2)*AB98+(1-EXP(-LN(2)/2))/(LN(2)/2)*V99*Y99*VLOOKUP('Données projet'!$B$9,Paramètres!$A$1:$I$89,3,0)*0.475*44/12</f>
        <v>3.7950662797721974E-5</v>
      </c>
      <c r="AC99" s="22">
        <f t="shared" si="57"/>
        <v>88.47544891274643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-3.4106051316484809E-13</v>
      </c>
      <c r="AJ99" s="13">
        <f>AI99*VLOOKUP('Données projet'!$B$10,Paramètres!$A$1:$I$89,3,0)*VLOOKUP('Données projet'!$B$10,Paramètres!$A$1:$I$89,5,0)</f>
        <v>-2.0395418687257919E-13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310.96303212465733</v>
      </c>
      <c r="AO99" s="59">
        <f t="shared" si="90"/>
        <v>248.17359812749166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103.61704723594502</v>
      </c>
      <c r="AV99" s="21">
        <f>EXP(-LN(2)/25)*AV98+(1-EXP(-LN(2)/25))/(LN(2)/25)*Calculateur!AQ99*Calculateur!AS99*VLOOKUP('Données projet'!$B$10,Paramètres!$A$1:$I$89,3,0)*0.475*44/12</f>
        <v>22.201103121379465</v>
      </c>
      <c r="AW99" s="21">
        <f>EXP(-LN(2)/2)*AW98+(1-EXP(-LN(2)/2))/(LN(2)/2)*AQ99*AT99*VLOOKUP('Données projet'!$B$10,Paramètres!$A$1:$I$89,3,0)*0.475*44/12</f>
        <v>0.13911532307538085</v>
      </c>
      <c r="AX99" s="21">
        <f t="shared" si="60"/>
        <v>125.95726568039987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337.99164391065369</v>
      </c>
      <c r="T100" s="59">
        <f t="shared" si="88"/>
        <v>421.45428232119559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72.301465287476248</v>
      </c>
      <c r="AA100" s="21">
        <f>EXP(-LN(2)/25)*AA99+(1-EXP(-LN(2)/25))/(LN(2)/25)*Calculateur!V100*Calculateur!X100*VLOOKUP('Données projet'!$B$9,Paramètres!$A$1:$I$89,3,0)*0.475*44/12</f>
        <v>14.325067539699333</v>
      </c>
      <c r="AB100" s="21">
        <f>EXP(-LN(2)/2)*AB99+(1-EXP(-LN(2)/2))/(LN(2)/2)*V100*Y100*VLOOKUP('Données projet'!$B$9,Paramètres!$A$1:$I$89,3,0)*0.475*44/12</f>
        <v>2.6835171014793242E-5</v>
      </c>
      <c r="AC100" s="22">
        <f t="shared" si="57"/>
        <v>86.626559662346594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-3.4106051316484809E-13</v>
      </c>
      <c r="AJ100" s="13">
        <f>AI100*VLOOKUP('Données projet'!$B$10,Paramètres!$A$1:$I$89,3,0)*VLOOKUP('Données projet'!$B$10,Paramètres!$A$1:$I$89,5,0)</f>
        <v>-2.0395418687257919E-13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310.96303212465733</v>
      </c>
      <c r="AO100" s="59">
        <f t="shared" si="90"/>
        <v>248.17359812749166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101.58518013980645</v>
      </c>
      <c r="AV100" s="21">
        <f>EXP(-LN(2)/25)*AV99+(1-EXP(-LN(2)/25))/(LN(2)/25)*Calculateur!AQ100*Calculateur!AS100*VLOOKUP('Données projet'!$B$10,Paramètres!$A$1:$I$89,3,0)*0.475*44/12</f>
        <v>21.59401278902007</v>
      </c>
      <c r="AW100" s="21">
        <f>EXP(-LN(2)/2)*AW99+(1-EXP(-LN(2)/2))/(LN(2)/2)*AQ100*AT100*VLOOKUP('Données projet'!$B$10,Paramètres!$A$1:$I$89,3,0)*0.475*44/12</f>
        <v>9.8369388313559195E-2</v>
      </c>
      <c r="AX100" s="21">
        <f t="shared" si="60"/>
        <v>123.27756231714008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337.99164391065369</v>
      </c>
      <c r="T101" s="59">
        <f t="shared" si="88"/>
        <v>421.45428232119559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70.883677652728196</v>
      </c>
      <c r="AA101" s="21">
        <f>EXP(-LN(2)/25)*AA100+(1-EXP(-LN(2)/25))/(LN(2)/25)*Calculateur!V101*Calculateur!X101*VLOOKUP('Données projet'!$B$9,Paramètres!$A$1:$I$89,3,0)*0.475*44/12</f>
        <v>13.933347814503692</v>
      </c>
      <c r="AB101" s="21">
        <f>EXP(-LN(2)/2)*AB100+(1-EXP(-LN(2)/2))/(LN(2)/2)*V101*Y101*VLOOKUP('Données projet'!$B$9,Paramètres!$A$1:$I$89,3,0)*0.475*44/12</f>
        <v>1.8975331398860987E-5</v>
      </c>
      <c r="AC101" s="22">
        <f t="shared" si="57"/>
        <v>84.817044442563287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-3.4106051316484809E-13</v>
      </c>
      <c r="AJ101" s="13">
        <f>AI101*VLOOKUP('Données projet'!$B$10,Paramètres!$A$1:$I$89,3,0)*VLOOKUP('Données projet'!$B$10,Paramètres!$A$1:$I$89,5,0)</f>
        <v>-2.0395418687257919E-13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310.96303212465733</v>
      </c>
      <c r="AO101" s="59">
        <f t="shared" si="90"/>
        <v>248.17359812749166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99.593156718106613</v>
      </c>
      <c r="AV101" s="21">
        <f>EXP(-LN(2)/25)*AV100+(1-EXP(-LN(2)/25))/(LN(2)/25)*Calculateur!AQ101*Calculateur!AS101*VLOOKUP('Données projet'!$B$10,Paramètres!$A$1:$I$89,3,0)*0.475*44/12</f>
        <v>21.003523373724537</v>
      </c>
      <c r="AW101" s="21">
        <f>EXP(-LN(2)/2)*AW100+(1-EXP(-LN(2)/2))/(LN(2)/2)*AQ101*AT101*VLOOKUP('Données projet'!$B$10,Paramètres!$A$1:$I$89,3,0)*0.475*44/12</f>
        <v>6.9557661537690427E-2</v>
      </c>
      <c r="AX101" s="21">
        <f t="shared" si="60"/>
        <v>120.66623775336883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337.99164391065369</v>
      </c>
      <c r="T102" s="59">
        <f t="shared" si="88"/>
        <v>421.45428232119559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69.493691968732477</v>
      </c>
      <c r="AA102" s="21">
        <f>EXP(-LN(2)/25)*AA101+(1-EXP(-LN(2)/25))/(LN(2)/25)*Calculateur!V102*Calculateur!X102*VLOOKUP('Données projet'!$B$9,Paramètres!$A$1:$I$89,3,0)*0.475*44/12</f>
        <v>13.552339685793173</v>
      </c>
      <c r="AB102" s="21">
        <f>EXP(-LN(2)/2)*AB101+(1-EXP(-LN(2)/2))/(LN(2)/2)*V102*Y102*VLOOKUP('Données projet'!$B$9,Paramètres!$A$1:$I$89,3,0)*0.475*44/12</f>
        <v>1.3417585507396621E-5</v>
      </c>
      <c r="AC102" s="22">
        <f t="shared" si="57"/>
        <v>83.046045072111156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-3.4106051316484809E-13</v>
      </c>
      <c r="AJ102" s="13">
        <f>AI102*VLOOKUP('Données projet'!$B$10,Paramètres!$A$1:$I$89,3,0)*VLOOKUP('Données projet'!$B$10,Paramètres!$A$1:$I$89,5,0)</f>
        <v>-2.0395418687257919E-13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310.96303212465733</v>
      </c>
      <c r="AO102" s="59">
        <f t="shared" si="90"/>
        <v>248.17359812749166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97.640195660691987</v>
      </c>
      <c r="AV102" s="21">
        <f>EXP(-LN(2)/25)*AV101+(1-EXP(-LN(2)/25))/(LN(2)/25)*Calculateur!AQ102*Calculateur!AS102*VLOOKUP('Données projet'!$B$10,Paramètres!$A$1:$I$89,3,0)*0.475*44/12</f>
        <v>20.429180922542749</v>
      </c>
      <c r="AW102" s="21">
        <f>EXP(-LN(2)/2)*AW101+(1-EXP(-LN(2)/2))/(LN(2)/2)*AQ102*AT102*VLOOKUP('Données projet'!$B$10,Paramètres!$A$1:$I$89,3,0)*0.475*44/12</f>
        <v>4.9184694156779597E-2</v>
      </c>
      <c r="AX102" s="21">
        <f t="shared" si="60"/>
        <v>118.11856127739152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337.99164391065369</v>
      </c>
      <c r="T103" s="59">
        <f t="shared" si="88"/>
        <v>421.45428232119559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68.130963056192371</v>
      </c>
      <c r="AA103" s="21">
        <f>EXP(-LN(2)/25)*AA102+(1-EXP(-LN(2)/25))/(LN(2)/25)*Calculateur!V103*Calculateur!X103*VLOOKUP('Données projet'!$B$9,Paramètres!$A$1:$I$89,3,0)*0.475*44/12</f>
        <v>13.181750244398589</v>
      </c>
      <c r="AB103" s="21">
        <f>EXP(-LN(2)/2)*AB102+(1-EXP(-LN(2)/2))/(LN(2)/2)*V103*Y103*VLOOKUP('Données projet'!$B$9,Paramètres!$A$1:$I$89,3,0)*0.475*44/12</f>
        <v>9.4876656994304935E-6</v>
      </c>
      <c r="AC103" s="22">
        <f t="shared" si="57"/>
        <v>81.31272278825665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-3.4106051316484809E-13</v>
      </c>
      <c r="AJ103" s="13">
        <f>AI103*VLOOKUP('Données projet'!$B$10,Paramètres!$A$1:$I$89,3,0)*VLOOKUP('Données projet'!$B$10,Paramètres!$A$1:$I$89,5,0)</f>
        <v>-2.0395418687257919E-13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310.96303212465733</v>
      </c>
      <c r="AO103" s="59">
        <f t="shared" si="90"/>
        <v>248.17359812749166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95.725530978424644</v>
      </c>
      <c r="AV103" s="21">
        <f>EXP(-LN(2)/25)*AV102+(1-EXP(-LN(2)/25))/(LN(2)/25)*Calculateur!AQ103*Calculateur!AS103*VLOOKUP('Données projet'!$B$10,Paramètres!$A$1:$I$89,3,0)*0.475*44/12</f>
        <v>19.870543895891885</v>
      </c>
      <c r="AW103" s="21">
        <f>EXP(-LN(2)/2)*AW102+(1-EXP(-LN(2)/2))/(LN(2)/2)*AQ103*AT103*VLOOKUP('Données projet'!$B$10,Paramètres!$A$1:$I$89,3,0)*0.475*44/12</f>
        <v>3.4778830768845213E-2</v>
      </c>
      <c r="AX103" s="21">
        <f t="shared" si="60"/>
        <v>115.63085370508537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337.99164391065369</v>
      </c>
      <c r="T104" s="59">
        <f t="shared" si="88"/>
        <v>421.45428232119559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66.794956426444614</v>
      </c>
      <c r="AA104" s="21">
        <f>EXP(-LN(2)/25)*AA103+(1-EXP(-LN(2)/25))/(LN(2)/25)*Calculateur!V104*Calculateur!X104*VLOOKUP('Données projet'!$B$9,Paramètres!$A$1:$I$89,3,0)*0.475*44/12</f>
        <v>12.821294590767392</v>
      </c>
      <c r="AB104" s="21">
        <f>EXP(-LN(2)/2)*AB103+(1-EXP(-LN(2)/2))/(LN(2)/2)*V104*Y104*VLOOKUP('Données projet'!$B$9,Paramètres!$A$1:$I$89,3,0)*0.475*44/12</f>
        <v>6.7087927536983104E-6</v>
      </c>
      <c r="AC104" s="22">
        <f t="shared" si="57"/>
        <v>79.616257726004761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-3.4106051316484809E-13</v>
      </c>
      <c r="AJ104" s="13">
        <f>AI104*VLOOKUP('Données projet'!$B$10,Paramètres!$A$1:$I$89,3,0)*VLOOKUP('Données projet'!$B$10,Paramètres!$A$1:$I$89,5,0)</f>
        <v>-2.0395418687257919E-13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310.96303212465733</v>
      </c>
      <c r="AO104" s="59">
        <f t="shared" si="90"/>
        <v>248.17359812749166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93.848411702746418</v>
      </c>
      <c r="AV104" s="21">
        <f>EXP(-LN(2)/25)*AV103+(1-EXP(-LN(2)/25))/(LN(2)/25)*Calculateur!AQ104*Calculateur!AS104*VLOOKUP('Données projet'!$B$10,Paramètres!$A$1:$I$89,3,0)*0.475*44/12</f>
        <v>19.327182828112232</v>
      </c>
      <c r="AW104" s="21">
        <f>EXP(-LN(2)/2)*AW103+(1-EXP(-LN(2)/2))/(LN(2)/2)*AQ104*AT104*VLOOKUP('Données projet'!$B$10,Paramètres!$A$1:$I$89,3,0)*0.475*44/12</f>
        <v>2.4592347078389799E-2</v>
      </c>
      <c r="AX104" s="21">
        <f t="shared" si="60"/>
        <v>113.20018687793704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337.99164391065369</v>
      </c>
      <c r="T105" s="59">
        <f t="shared" si="88"/>
        <v>421.45428232119559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65.485148071822621</v>
      </c>
      <c r="AA105" s="21">
        <f>EXP(-LN(2)/25)*AA104+(1-EXP(-LN(2)/25))/(LN(2)/25)*Calculateur!V105*Calculateur!X105*VLOOKUP('Données projet'!$B$9,Paramètres!$A$1:$I$89,3,0)*0.475*44/12</f>
        <v>12.470695615940279</v>
      </c>
      <c r="AB105" s="21">
        <f>EXP(-LN(2)/2)*AB104+(1-EXP(-LN(2)/2))/(LN(2)/2)*V105*Y105*VLOOKUP('Données projet'!$B$9,Paramètres!$A$1:$I$89,3,0)*0.475*44/12</f>
        <v>4.7438328497152467E-6</v>
      </c>
      <c r="AC105" s="22">
        <f t="shared" si="57"/>
        <v>77.95584843159574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-3.4106051316484809E-13</v>
      </c>
      <c r="AJ105" s="13">
        <f>AI105*VLOOKUP('Données projet'!$B$10,Paramètres!$A$1:$I$89,3,0)*VLOOKUP('Données projet'!$B$10,Paramètres!$A$1:$I$89,5,0)</f>
        <v>-2.0395418687257919E-13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310.96303212465733</v>
      </c>
      <c r="AO105" s="59">
        <f t="shared" si="90"/>
        <v>248.17359812749166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92.008101591134533</v>
      </c>
      <c r="AV105" s="21">
        <f>EXP(-LN(2)/25)*AV104+(1-EXP(-LN(2)/25))/(LN(2)/25)*Calculateur!AQ105*Calculateur!AS105*VLOOKUP('Données projet'!$B$10,Paramètres!$A$1:$I$89,3,0)*0.475*44/12</f>
        <v>18.798679997305129</v>
      </c>
      <c r="AW105" s="21">
        <f>EXP(-LN(2)/2)*AW104+(1-EXP(-LN(2)/2))/(LN(2)/2)*AQ105*AT105*VLOOKUP('Données projet'!$B$10,Paramètres!$A$1:$I$89,3,0)*0.475*44/12</f>
        <v>1.7389415384422607E-2</v>
      </c>
      <c r="AX105" s="21">
        <f t="shared" si="60"/>
        <v>110.82417100382409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337.99164391065369</v>
      </c>
      <c r="T106" s="59">
        <f t="shared" si="88"/>
        <v>421.45428232119559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64.201024260130552</v>
      </c>
      <c r="AA106" s="21">
        <f>EXP(-LN(2)/25)*AA105+(1-EXP(-LN(2)/25))/(LN(2)/25)*Calculateur!V106*Calculateur!X106*VLOOKUP('Données projet'!$B$9,Paramètres!$A$1:$I$89,3,0)*0.475*44/12</f>
        <v>12.129683788517012</v>
      </c>
      <c r="AB106" s="21">
        <f>EXP(-LN(2)/2)*AB105+(1-EXP(-LN(2)/2))/(LN(2)/2)*V106*Y106*VLOOKUP('Données projet'!$B$9,Paramètres!$A$1:$I$89,3,0)*0.475*44/12</f>
        <v>3.3543963768491552E-6</v>
      </c>
      <c r="AC106" s="22">
        <f t="shared" si="57"/>
        <v>76.330711403043949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-3.4106051316484809E-13</v>
      </c>
      <c r="AJ106" s="13">
        <f>AI106*VLOOKUP('Données projet'!$B$10,Paramètres!$A$1:$I$89,3,0)*VLOOKUP('Données projet'!$B$10,Paramètres!$A$1:$I$89,5,0)</f>
        <v>-2.0395418687257919E-13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310.96303212465733</v>
      </c>
      <c r="AO106" s="59">
        <f t="shared" si="90"/>
        <v>248.17359812749166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90.203878838333026</v>
      </c>
      <c r="AV106" s="21">
        <f>EXP(-LN(2)/25)*AV105+(1-EXP(-LN(2)/25))/(LN(2)/25)*Calculateur!AQ106*Calculateur!AS106*VLOOKUP('Données projet'!$B$10,Paramètres!$A$1:$I$89,3,0)*0.475*44/12</f>
        <v>18.284629104199205</v>
      </c>
      <c r="AW106" s="21">
        <f>EXP(-LN(2)/2)*AW105+(1-EXP(-LN(2)/2))/(LN(2)/2)*AQ106*AT106*VLOOKUP('Données projet'!$B$10,Paramètres!$A$1:$I$89,3,0)*0.475*44/12</f>
        <v>1.2296173539194899E-2</v>
      </c>
      <c r="AX106" s="21">
        <f t="shared" si="60"/>
        <v>108.50080411607144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337.99164391065369</v>
      </c>
      <c r="T107" s="59">
        <f t="shared" si="88"/>
        <v>421.45428232119559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62.942081333147584</v>
      </c>
      <c r="AA107" s="21">
        <f>EXP(-LN(2)/25)*AA106+(1-EXP(-LN(2)/25))/(LN(2)/25)*Calculateur!V107*Calculateur!X107*VLOOKUP('Données projet'!$B$9,Paramètres!$A$1:$I$89,3,0)*0.475*44/12</f>
        <v>11.797996947447666</v>
      </c>
      <c r="AB107" s="21">
        <f>EXP(-LN(2)/2)*AB106+(1-EXP(-LN(2)/2))/(LN(2)/2)*V107*Y107*VLOOKUP('Données projet'!$B$9,Paramètres!$A$1:$I$89,3,0)*0.475*44/12</f>
        <v>2.3719164248576234E-6</v>
      </c>
      <c r="AC107" s="22">
        <f t="shared" si="57"/>
        <v>74.740080652511679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-3.4106051316484809E-13</v>
      </c>
      <c r="AJ107" s="13">
        <f>AI107*VLOOKUP('Données projet'!$B$10,Paramètres!$A$1:$I$89,3,0)*VLOOKUP('Données projet'!$B$10,Paramètres!$A$1:$I$89,5,0)</f>
        <v>-2.0395418687257919E-13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310.96303212465733</v>
      </c>
      <c r="AO107" s="59">
        <f t="shared" si="90"/>
        <v>248.17359812749166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88.43503579324674</v>
      </c>
      <c r="AV107" s="21">
        <f>EXP(-LN(2)/25)*AV106+(1-EXP(-LN(2)/25))/(LN(2)/25)*Calculateur!AQ107*Calculateur!AS107*VLOOKUP('Données projet'!$B$10,Paramètres!$A$1:$I$89,3,0)*0.475*44/12</f>
        <v>17.784634959798023</v>
      </c>
      <c r="AW107" s="21">
        <f>EXP(-LN(2)/2)*AW106+(1-EXP(-LN(2)/2))/(LN(2)/2)*AQ107*AT107*VLOOKUP('Données projet'!$B$10,Paramètres!$A$1:$I$89,3,0)*0.475*44/12</f>
        <v>8.6947076922113033E-3</v>
      </c>
      <c r="AX107" s="21">
        <f t="shared" si="60"/>
        <v>106.22836546073698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337.99164391065369</v>
      </c>
      <c r="T108" s="59">
        <f t="shared" si="88"/>
        <v>421.45428232119559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61.707825509083392</v>
      </c>
      <c r="AA108" s="21">
        <f>EXP(-LN(2)/25)*AA107+(1-EXP(-LN(2)/25))/(LN(2)/25)*Calculateur!V108*Calculateur!X108*VLOOKUP('Données projet'!$B$9,Paramètres!$A$1:$I$89,3,0)*0.475*44/12</f>
        <v>11.475380100490016</v>
      </c>
      <c r="AB108" s="21">
        <f>EXP(-LN(2)/2)*AB107+(1-EXP(-LN(2)/2))/(LN(2)/2)*V108*Y108*VLOOKUP('Données projet'!$B$9,Paramètres!$A$1:$I$89,3,0)*0.475*44/12</f>
        <v>1.6771981884245776E-6</v>
      </c>
      <c r="AC108" s="22">
        <f t="shared" si="57"/>
        <v>73.183207286771591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-3.4106051316484809E-13</v>
      </c>
      <c r="AJ108" s="13">
        <f>AI108*VLOOKUP('Données projet'!$B$10,Paramètres!$A$1:$I$89,3,0)*VLOOKUP('Données projet'!$B$10,Paramètres!$A$1:$I$89,5,0)</f>
        <v>-2.0395418687257919E-13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310.96303212465733</v>
      </c>
      <c r="AO108" s="59">
        <f t="shared" si="90"/>
        <v>248.17359812749166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86.700878681386868</v>
      </c>
      <c r="AV108" s="21">
        <f>EXP(-LN(2)/25)*AV107+(1-EXP(-LN(2)/25))/(LN(2)/25)*Calculateur!AQ108*Calculateur!AS108*VLOOKUP('Données projet'!$B$10,Paramètres!$A$1:$I$89,3,0)*0.475*44/12</f>
        <v>17.298313181569039</v>
      </c>
      <c r="AW108" s="21">
        <f>EXP(-LN(2)/2)*AW107+(1-EXP(-LN(2)/2))/(LN(2)/2)*AQ108*AT108*VLOOKUP('Données projet'!$B$10,Paramètres!$A$1:$I$89,3,0)*0.475*44/12</f>
        <v>6.1480867695974497E-3</v>
      </c>
      <c r="AX108" s="21">
        <f t="shared" si="60"/>
        <v>104.00533994972551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337.99164391065369</v>
      </c>
      <c r="T109" s="59">
        <f t="shared" si="88"/>
        <v>421.45428232119559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60.497772688907375</v>
      </c>
      <c r="AA109" s="21">
        <f>EXP(-LN(2)/25)*AA108+(1-EXP(-LN(2)/25))/(LN(2)/25)*Calculateur!V109*Calculateur!X109*VLOOKUP('Données projet'!$B$9,Paramètres!$A$1:$I$89,3,0)*0.475*44/12</f>
        <v>11.161585228178105</v>
      </c>
      <c r="AB109" s="21">
        <f>EXP(-LN(2)/2)*AB108+(1-EXP(-LN(2)/2))/(LN(2)/2)*V109*Y109*VLOOKUP('Données projet'!$B$9,Paramètres!$A$1:$I$89,3,0)*0.475*44/12</f>
        <v>1.1859582124288117E-6</v>
      </c>
      <c r="AC109" s="22">
        <f t="shared" si="57"/>
        <v>71.659359103043698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-3.4106051316484809E-13</v>
      </c>
      <c r="AJ109" s="13">
        <f>AI109*VLOOKUP('Données projet'!$B$10,Paramètres!$A$1:$I$89,3,0)*VLOOKUP('Données projet'!$B$10,Paramètres!$A$1:$I$89,5,0)</f>
        <v>-2.0395418687257919E-13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310.96303212465733</v>
      </c>
      <c r="AO109" s="59">
        <f t="shared" si="90"/>
        <v>248.17359812749166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85.000727332759169</v>
      </c>
      <c r="AV109" s="21">
        <f>EXP(-LN(2)/25)*AV108+(1-EXP(-LN(2)/25))/(LN(2)/25)*Calculateur!AQ109*Calculateur!AS109*VLOOKUP('Données projet'!$B$10,Paramètres!$A$1:$I$89,3,0)*0.475*44/12</f>
        <v>16.82528989794028</v>
      </c>
      <c r="AW109" s="21">
        <f>EXP(-LN(2)/2)*AW108+(1-EXP(-LN(2)/2))/(LN(2)/2)*AQ109*AT109*VLOOKUP('Données projet'!$B$10,Paramètres!$A$1:$I$89,3,0)*0.475*44/12</f>
        <v>4.3473538461056517E-3</v>
      </c>
      <c r="AX109" s="21">
        <f t="shared" si="60"/>
        <v>101.83036458454555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337.99164391065369</v>
      </c>
      <c r="T110" s="59">
        <f t="shared" si="88"/>
        <v>421.45428232119559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59.311448266475672</v>
      </c>
      <c r="AA110" s="21">
        <f>EXP(-LN(2)/25)*AA109+(1-EXP(-LN(2)/25))/(LN(2)/25)*Calculateur!V110*Calculateur!X110*VLOOKUP('Données projet'!$B$9,Paramètres!$A$1:$I$89,3,0)*0.475*44/12</f>
        <v>10.856371093151317</v>
      </c>
      <c r="AB110" s="21">
        <f>EXP(-LN(2)/2)*AB109+(1-EXP(-LN(2)/2))/(LN(2)/2)*V110*Y110*VLOOKUP('Données projet'!$B$9,Paramètres!$A$1:$I$89,3,0)*0.475*44/12</f>
        <v>8.385990942122888E-7</v>
      </c>
      <c r="AC110" s="22">
        <f t="shared" si="57"/>
        <v>70.167820198226082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-3.4106051316484809E-13</v>
      </c>
      <c r="AJ110" s="13">
        <f>AI110*VLOOKUP('Données projet'!$B$10,Paramètres!$A$1:$I$89,3,0)*VLOOKUP('Données projet'!$B$10,Paramètres!$A$1:$I$89,5,0)</f>
        <v>-2.0395418687257919E-13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310.96303212465733</v>
      </c>
      <c r="AO110" s="59">
        <f t="shared" si="90"/>
        <v>248.17359812749166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83.33391491508813</v>
      </c>
      <c r="AV110" s="21">
        <f>EXP(-LN(2)/25)*AV109+(1-EXP(-LN(2)/25))/(LN(2)/25)*Calculateur!AQ110*Calculateur!AS110*VLOOKUP('Données projet'!$B$10,Paramètres!$A$1:$I$89,3,0)*0.475*44/12</f>
        <v>16.365201460877561</v>
      </c>
      <c r="AW110" s="21">
        <f>EXP(-LN(2)/2)*AW109+(1-EXP(-LN(2)/2))/(LN(2)/2)*AQ110*AT110*VLOOKUP('Données projet'!$B$10,Paramètres!$A$1:$I$89,3,0)*0.475*44/12</f>
        <v>3.0740433847987248E-3</v>
      </c>
      <c r="AX110" s="21">
        <f t="shared" si="60"/>
        <v>99.702190419350487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337.99164391065369</v>
      </c>
      <c r="T111" s="59">
        <f t="shared" si="88"/>
        <v>421.45428232119559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58.1483869423814</v>
      </c>
      <c r="AA111" s="21">
        <f>EXP(-LN(2)/25)*AA110+(1-EXP(-LN(2)/25))/(LN(2)/25)*Calculateur!V111*Calculateur!X111*VLOOKUP('Données projet'!$B$9,Paramètres!$A$1:$I$89,3,0)*0.475*44/12</f>
        <v>10.559503054697352</v>
      </c>
      <c r="AB111" s="21">
        <f>EXP(-LN(2)/2)*AB110+(1-EXP(-LN(2)/2))/(LN(2)/2)*V111*Y111*VLOOKUP('Données projet'!$B$9,Paramètres!$A$1:$I$89,3,0)*0.475*44/12</f>
        <v>5.9297910621440584E-7</v>
      </c>
      <c r="AC111" s="22">
        <f t="shared" si="57"/>
        <v>68.707890590057858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-3.4106051316484809E-13</v>
      </c>
      <c r="AJ111" s="13">
        <f>AI111*VLOOKUP('Données projet'!$B$10,Paramètres!$A$1:$I$89,3,0)*VLOOKUP('Données projet'!$B$10,Paramètres!$A$1:$I$89,5,0)</f>
        <v>-2.0395418687257919E-13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310.96303212465733</v>
      </c>
      <c r="AO111" s="59">
        <f t="shared" si="90"/>
        <v>248.17359812749166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81.699787672272436</v>
      </c>
      <c r="AV111" s="21">
        <f>EXP(-LN(2)/25)*AV110+(1-EXP(-LN(2)/25))/(LN(2)/25)*Calculateur!AQ111*Calculateur!AS111*VLOOKUP('Données projet'!$B$10,Paramètres!$A$1:$I$89,3,0)*0.475*44/12</f>
        <v>15.917694166321322</v>
      </c>
      <c r="AW111" s="21">
        <f>EXP(-LN(2)/2)*AW110+(1-EXP(-LN(2)/2))/(LN(2)/2)*AQ111*AT111*VLOOKUP('Données projet'!$B$10,Paramètres!$A$1:$I$89,3,0)*0.475*44/12</f>
        <v>2.1736769230528258E-3</v>
      </c>
      <c r="AX111" s="21">
        <f t="shared" si="60"/>
        <v>97.619655515516811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337.99164391065369</v>
      </c>
      <c r="T112" s="59">
        <f t="shared" si="88"/>
        <v>421.45428232119559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57.008132541455261</v>
      </c>
      <c r="AA112" s="21">
        <f>EXP(-LN(2)/25)*AA111+(1-EXP(-LN(2)/25))/(LN(2)/25)*Calculateur!V112*Calculateur!X112*VLOOKUP('Données projet'!$B$9,Paramètres!$A$1:$I$89,3,0)*0.475*44/12</f>
        <v>10.270752888366522</v>
      </c>
      <c r="AB112" s="21">
        <f>EXP(-LN(2)/2)*AB111+(1-EXP(-LN(2)/2))/(LN(2)/2)*V112*Y112*VLOOKUP('Données projet'!$B$9,Paramètres!$A$1:$I$89,3,0)*0.475*44/12</f>
        <v>4.192995471061444E-7</v>
      </c>
      <c r="AC112" s="22">
        <f t="shared" si="57"/>
        <v>67.278885849121338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-3.4106051316484809E-13</v>
      </c>
      <c r="AJ112" s="13">
        <f>AI112*VLOOKUP('Données projet'!$B$10,Paramètres!$A$1:$I$89,3,0)*VLOOKUP('Données projet'!$B$10,Paramètres!$A$1:$I$89,5,0)</f>
        <v>-2.0395418687257919E-13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310.96303212465733</v>
      </c>
      <c r="AO112" s="59">
        <f t="shared" si="90"/>
        <v>248.17359812749166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80.097704667969154</v>
      </c>
      <c r="AV112" s="21">
        <f>EXP(-LN(2)/25)*AV111+(1-EXP(-LN(2)/25))/(LN(2)/25)*Calculateur!AQ112*Calculateur!AS112*VLOOKUP('Données projet'!$B$10,Paramètres!$A$1:$I$89,3,0)*0.475*44/12</f>
        <v>15.482423982268109</v>
      </c>
      <c r="AW112" s="21">
        <f>EXP(-LN(2)/2)*AW111+(1-EXP(-LN(2)/2))/(LN(2)/2)*AQ112*AT112*VLOOKUP('Données projet'!$B$10,Paramètres!$A$1:$I$89,3,0)*0.475*44/12</f>
        <v>1.5370216923993624E-3</v>
      </c>
      <c r="AX112" s="21">
        <f t="shared" si="60"/>
        <v>95.58166567192967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337.99164391065369</v>
      </c>
      <c r="T113" s="59">
        <f t="shared" si="88"/>
        <v>421.45428232119559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55.890237833844772</v>
      </c>
      <c r="AA113" s="21">
        <f>EXP(-LN(2)/25)*AA112+(1-EXP(-LN(2)/25))/(LN(2)/25)*Calculateur!V113*Calculateur!X113*VLOOKUP('Données projet'!$B$9,Paramètres!$A$1:$I$89,3,0)*0.475*44/12</f>
        <v>9.9898986105187184</v>
      </c>
      <c r="AB113" s="21">
        <f>EXP(-LN(2)/2)*AB112+(1-EXP(-LN(2)/2))/(LN(2)/2)*V113*Y113*VLOOKUP('Données projet'!$B$9,Paramètres!$A$1:$I$89,3,0)*0.475*44/12</f>
        <v>2.9648955310720292E-7</v>
      </c>
      <c r="AC113" s="22">
        <f t="shared" si="57"/>
        <v>65.880136740853047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-3.4106051316484809E-13</v>
      </c>
      <c r="AJ113" s="13">
        <f>AI113*VLOOKUP('Données projet'!$B$10,Paramètres!$A$1:$I$89,3,0)*VLOOKUP('Données projet'!$B$10,Paramètres!$A$1:$I$89,5,0)</f>
        <v>-2.0395418687257919E-13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310.96303212465733</v>
      </c>
      <c r="AO113" s="59">
        <f t="shared" si="90"/>
        <v>248.17359812749166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78.527037534206116</v>
      </c>
      <c r="AV113" s="21">
        <f>EXP(-LN(2)/25)*AV112+(1-EXP(-LN(2)/25))/(LN(2)/25)*Calculateur!AQ113*Calculateur!AS113*VLOOKUP('Données projet'!$B$10,Paramètres!$A$1:$I$89,3,0)*0.475*44/12</f>
        <v>15.059056284287696</v>
      </c>
      <c r="AW113" s="21">
        <f>EXP(-LN(2)/2)*AW112+(1-EXP(-LN(2)/2))/(LN(2)/2)*AQ113*AT113*VLOOKUP('Données projet'!$B$10,Paramètres!$A$1:$I$89,3,0)*0.475*44/12</f>
        <v>1.0868384615264129E-3</v>
      </c>
      <c r="AX113" s="21">
        <f t="shared" si="60"/>
        <v>93.58718065695534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337.99164391065369</v>
      </c>
      <c r="T114" s="59">
        <f t="shared" si="88"/>
        <v>421.45428232119559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54.794264359602082</v>
      </c>
      <c r="AA114" s="21">
        <f>EXP(-LN(2)/25)*AA113+(1-EXP(-LN(2)/25))/(LN(2)/25)*Calculateur!V114*Calculateur!X114*VLOOKUP('Données projet'!$B$9,Paramètres!$A$1:$I$89,3,0)*0.475*44/12</f>
        <v>9.716724307668148</v>
      </c>
      <c r="AB114" s="21">
        <f>EXP(-LN(2)/2)*AB113+(1-EXP(-LN(2)/2))/(LN(2)/2)*V114*Y114*VLOOKUP('Données projet'!$B$9,Paramètres!$A$1:$I$89,3,0)*0.475*44/12</f>
        <v>2.096497735530722E-7</v>
      </c>
      <c r="AC114" s="22">
        <f t="shared" si="57"/>
        <v>64.510988876919996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-3.4106051316484809E-13</v>
      </c>
      <c r="AJ114" s="13">
        <f>AI114*VLOOKUP('Données projet'!$B$10,Paramètres!$A$1:$I$89,3,0)*VLOOKUP('Données projet'!$B$10,Paramètres!$A$1:$I$89,5,0)</f>
        <v>-2.0395418687257919E-13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310.96303212465733</v>
      </c>
      <c r="AO114" s="59">
        <f t="shared" si="90"/>
        <v>248.17359812749166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76.987170224923815</v>
      </c>
      <c r="AV114" s="21">
        <f>EXP(-LN(2)/25)*AV113+(1-EXP(-LN(2)/25))/(LN(2)/25)*Calculateur!AQ114*Calculateur!AS114*VLOOKUP('Données projet'!$B$10,Paramètres!$A$1:$I$89,3,0)*0.475*44/12</f>
        <v>14.647265598272497</v>
      </c>
      <c r="AW114" s="21">
        <f>EXP(-LN(2)/2)*AW113+(1-EXP(-LN(2)/2))/(LN(2)/2)*AQ114*AT114*VLOOKUP('Données projet'!$B$10,Paramètres!$A$1:$I$89,3,0)*0.475*44/12</f>
        <v>7.6851084619968121E-4</v>
      </c>
      <c r="AX114" s="21">
        <f t="shared" si="60"/>
        <v>91.635204334042513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337.99164391065369</v>
      </c>
      <c r="T115" s="59">
        <f t="shared" si="88"/>
        <v>421.45428232119559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53.719782256711476</v>
      </c>
      <c r="AA115" s="21">
        <f>EXP(-LN(2)/25)*AA114+(1-EXP(-LN(2)/25))/(LN(2)/25)*Calculateur!V115*Calculateur!X115*VLOOKUP('Données projet'!$B$9,Paramètres!$A$1:$I$89,3,0)*0.475*44/12</f>
        <v>9.4510199704946398</v>
      </c>
      <c r="AB115" s="21">
        <f>EXP(-LN(2)/2)*AB114+(1-EXP(-LN(2)/2))/(LN(2)/2)*V115*Y115*VLOOKUP('Données projet'!$B$9,Paramètres!$A$1:$I$89,3,0)*0.475*44/12</f>
        <v>1.4824477655360146E-7</v>
      </c>
      <c r="AC115" s="22">
        <f t="shared" si="57"/>
        <v>63.170802375450897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-3.4106051316484809E-13</v>
      </c>
      <c r="AJ115" s="13">
        <f>AI115*VLOOKUP('Données projet'!$B$10,Paramètres!$A$1:$I$89,3,0)*VLOOKUP('Données projet'!$B$10,Paramètres!$A$1:$I$89,5,0)</f>
        <v>-2.0395418687257919E-13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310.96303212465733</v>
      </c>
      <c r="AO115" s="59">
        <f t="shared" si="90"/>
        <v>248.17359812749166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75.477498774350224</v>
      </c>
      <c r="AV115" s="21">
        <f>EXP(-LN(2)/25)*AV114+(1-EXP(-LN(2)/25))/(LN(2)/25)*Calculateur!AQ115*Calculateur!AS115*VLOOKUP('Données projet'!$B$10,Paramètres!$A$1:$I$89,3,0)*0.475*44/12</f>
        <v>14.246735350221515</v>
      </c>
      <c r="AW115" s="21">
        <f>EXP(-LN(2)/2)*AW114+(1-EXP(-LN(2)/2))/(LN(2)/2)*AQ115*AT115*VLOOKUP('Données projet'!$B$10,Paramètres!$A$1:$I$89,3,0)*0.475*44/12</f>
        <v>5.4341923076320646E-4</v>
      </c>
      <c r="AX115" s="21">
        <f t="shared" si="60"/>
        <v>89.724777543802503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337.99164391065369</v>
      </c>
      <c r="T116" s="59">
        <f t="shared" si="88"/>
        <v>421.45428232119559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52.666370092489181</v>
      </c>
      <c r="AA116" s="21">
        <f>EXP(-LN(2)/25)*AA115+(1-EXP(-LN(2)/25))/(LN(2)/25)*Calculateur!V116*Calculateur!X116*VLOOKUP('Données projet'!$B$9,Paramètres!$A$1:$I$89,3,0)*0.475*44/12</f>
        <v>9.1925813323939245</v>
      </c>
      <c r="AB116" s="21">
        <f>EXP(-LN(2)/2)*AB115+(1-EXP(-LN(2)/2))/(LN(2)/2)*V116*Y116*VLOOKUP('Données projet'!$B$9,Paramètres!$A$1:$I$89,3,0)*0.475*44/12</f>
        <v>1.048248867765361E-7</v>
      </c>
      <c r="AC116" s="22">
        <f t="shared" si="57"/>
        <v>61.858951529707987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-3.4106051316484809E-13</v>
      </c>
      <c r="AJ116" s="13">
        <f>AI116*VLOOKUP('Données projet'!$B$10,Paramètres!$A$1:$I$89,3,0)*VLOOKUP('Données projet'!$B$10,Paramètres!$A$1:$I$89,5,0)</f>
        <v>-2.0395418687257919E-13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310.96303212465733</v>
      </c>
      <c r="AO116" s="59">
        <f t="shared" si="90"/>
        <v>248.17359812749166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73.997431060113712</v>
      </c>
      <c r="AV116" s="21">
        <f>EXP(-LN(2)/25)*AV115+(1-EXP(-LN(2)/25))/(LN(2)/25)*Calculateur!AQ116*Calculateur!AS116*VLOOKUP('Données projet'!$B$10,Paramètres!$A$1:$I$89,3,0)*0.475*44/12</f>
        <v>13.857157622866456</v>
      </c>
      <c r="AW116" s="21">
        <f>EXP(-LN(2)/2)*AW115+(1-EXP(-LN(2)/2))/(LN(2)/2)*AQ116*AT116*VLOOKUP('Données projet'!$B$10,Paramètres!$A$1:$I$89,3,0)*0.475*44/12</f>
        <v>3.842554230998406E-4</v>
      </c>
      <c r="AX116" s="21">
        <f t="shared" si="60"/>
        <v>87.854972938403264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337.99164391065369</v>
      </c>
      <c r="T117" s="59">
        <f t="shared" si="88"/>
        <v>421.45428232119559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51.633614698289314</v>
      </c>
      <c r="AA117" s="21">
        <f>EXP(-LN(2)/25)*AA116+(1-EXP(-LN(2)/25))/(LN(2)/25)*Calculateur!V117*Calculateur!X117*VLOOKUP('Données projet'!$B$9,Paramètres!$A$1:$I$89,3,0)*0.475*44/12</f>
        <v>8.9412097124427703</v>
      </c>
      <c r="AB117" s="21">
        <f>EXP(-LN(2)/2)*AB116+(1-EXP(-LN(2)/2))/(LN(2)/2)*V117*Y117*VLOOKUP('Données projet'!$B$9,Paramètres!$A$1:$I$89,3,0)*0.475*44/12</f>
        <v>7.412238827680073E-8</v>
      </c>
      <c r="AC117" s="22">
        <f t="shared" si="57"/>
        <v>60.574824484854474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-3.4106051316484809E-13</v>
      </c>
      <c r="AJ117" s="13">
        <f>AI117*VLOOKUP('Données projet'!$B$10,Paramètres!$A$1:$I$89,3,0)*VLOOKUP('Données projet'!$B$10,Paramètres!$A$1:$I$89,5,0)</f>
        <v>-2.0395418687257919E-13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310.96303212465733</v>
      </c>
      <c r="AO117" s="59">
        <f t="shared" si="90"/>
        <v>248.17359812749166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72.546386571001221</v>
      </c>
      <c r="AV117" s="21">
        <f>EXP(-LN(2)/25)*AV116+(1-EXP(-LN(2)/25))/(LN(2)/25)*Calculateur!AQ117*Calculateur!AS117*VLOOKUP('Données projet'!$B$10,Paramètres!$A$1:$I$89,3,0)*0.475*44/12</f>
        <v>13.478232918952925</v>
      </c>
      <c r="AW117" s="21">
        <f>EXP(-LN(2)/2)*AW116+(1-EXP(-LN(2)/2))/(LN(2)/2)*AQ117*AT117*VLOOKUP('Données projet'!$B$10,Paramètres!$A$1:$I$89,3,0)*0.475*44/12</f>
        <v>2.7170961538160323E-4</v>
      </c>
      <c r="AX117" s="21">
        <f t="shared" si="60"/>
        <v>86.024891199569524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337.99164391065369</v>
      </c>
      <c r="T118" s="59">
        <f t="shared" si="88"/>
        <v>421.45428232119559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50.621111007451113</v>
      </c>
      <c r="AA118" s="21">
        <f>EXP(-LN(2)/25)*AA117+(1-EXP(-LN(2)/25))/(LN(2)/25)*Calculateur!V118*Calculateur!X118*VLOOKUP('Données projet'!$B$9,Paramètres!$A$1:$I$89,3,0)*0.475*44/12</f>
        <v>8.6967118626582387</v>
      </c>
      <c r="AB118" s="21">
        <f>EXP(-LN(2)/2)*AB117+(1-EXP(-LN(2)/2))/(LN(2)/2)*V118*Y118*VLOOKUP('Données projet'!$B$9,Paramètres!$A$1:$I$89,3,0)*0.475*44/12</f>
        <v>5.241244338826805E-8</v>
      </c>
      <c r="AC118" s="22">
        <f t="shared" si="57"/>
        <v>59.317822922521799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-3.4106051316484809E-13</v>
      </c>
      <c r="AJ118" s="13">
        <f>AI118*VLOOKUP('Données projet'!$B$10,Paramètres!$A$1:$I$89,3,0)*VLOOKUP('Données projet'!$B$10,Paramètres!$A$1:$I$89,5,0)</f>
        <v>-2.0395418687257919E-13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310.96303212465733</v>
      </c>
      <c r="AO118" s="59">
        <f t="shared" si="90"/>
        <v>248.17359812749166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71.123796179270471</v>
      </c>
      <c r="AV118" s="21">
        <f>EXP(-LN(2)/25)*AV117+(1-EXP(-LN(2)/25))/(LN(2)/25)*Calculateur!AQ118*Calculateur!AS118*VLOOKUP('Données projet'!$B$10,Paramètres!$A$1:$I$89,3,0)*0.475*44/12</f>
        <v>13.109669930994693</v>
      </c>
      <c r="AW118" s="21">
        <f>EXP(-LN(2)/2)*AW117+(1-EXP(-LN(2)/2))/(LN(2)/2)*AQ118*AT118*VLOOKUP('Données projet'!$B$10,Paramètres!$A$1:$I$89,3,0)*0.475*44/12</f>
        <v>1.921277115499203E-4</v>
      </c>
      <c r="AX118" s="21">
        <f t="shared" si="60"/>
        <v>84.233658237976712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337.99164391065369</v>
      </c>
      <c r="T119" s="59">
        <f t="shared" si="88"/>
        <v>421.45428232119559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49.628461896423978</v>
      </c>
      <c r="AA119" s="21">
        <f>EXP(-LN(2)/25)*AA118+(1-EXP(-LN(2)/25))/(LN(2)/25)*Calculateur!V119*Calculateur!X119*VLOOKUP('Données projet'!$B$9,Paramètres!$A$1:$I$89,3,0)*0.475*44/12</f>
        <v>8.4588998194336487</v>
      </c>
      <c r="AB119" s="21">
        <f>EXP(-LN(2)/2)*AB118+(1-EXP(-LN(2)/2))/(LN(2)/2)*V119*Y119*VLOOKUP('Données projet'!$B$9,Paramètres!$A$1:$I$89,3,0)*0.475*44/12</f>
        <v>3.7061194138400365E-8</v>
      </c>
      <c r="AC119" s="22">
        <f t="shared" si="57"/>
        <v>58.087361752918817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-3.4106051316484809E-13</v>
      </c>
      <c r="AJ119" s="13">
        <f>AI119*VLOOKUP('Données projet'!$B$10,Paramètres!$A$1:$I$89,3,0)*VLOOKUP('Données projet'!$B$10,Paramètres!$A$1:$I$89,5,0)</f>
        <v>-2.0395418687257919E-13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310.96303212465733</v>
      </c>
      <c r="AO119" s="59">
        <f t="shared" si="90"/>
        <v>248.17359812749166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69.729101917427101</v>
      </c>
      <c r="AV119" s="21">
        <f>EXP(-LN(2)/25)*AV118+(1-EXP(-LN(2)/25))/(LN(2)/25)*Calculateur!AQ119*Calculateur!AS119*VLOOKUP('Données projet'!$B$10,Paramètres!$A$1:$I$89,3,0)*0.475*44/12</f>
        <v>12.751185317324063</v>
      </c>
      <c r="AW119" s="21">
        <f>EXP(-LN(2)/2)*AW118+(1-EXP(-LN(2)/2))/(LN(2)/2)*AQ119*AT119*VLOOKUP('Données projet'!$B$10,Paramètres!$A$1:$I$89,3,0)*0.475*44/12</f>
        <v>1.3585480769080161E-4</v>
      </c>
      <c r="AX119" s="21">
        <f t="shared" si="60"/>
        <v>82.480423089558855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337.99164391065369</v>
      </c>
      <c r="T120" s="59">
        <f t="shared" si="88"/>
        <v>421.45428232119559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48.65527802900791</v>
      </c>
      <c r="AA120" s="21">
        <f>EXP(-LN(2)/25)*AA119+(1-EXP(-LN(2)/25))/(LN(2)/25)*Calculateur!V120*Calculateur!X120*VLOOKUP('Données projet'!$B$9,Paramètres!$A$1:$I$89,3,0)*0.475*44/12</f>
        <v>8.2275907590370263</v>
      </c>
      <c r="AB120" s="21">
        <f>EXP(-LN(2)/2)*AB119+(1-EXP(-LN(2)/2))/(LN(2)/2)*V120*Y120*VLOOKUP('Données projet'!$B$9,Paramètres!$A$1:$I$89,3,0)*0.475*44/12</f>
        <v>2.6206221694134025E-8</v>
      </c>
      <c r="AC120" s="22">
        <f t="shared" si="57"/>
        <v>56.882868814251161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-3.4106051316484809E-13</v>
      </c>
      <c r="AJ120" s="13">
        <f>AI120*VLOOKUP('Données projet'!$B$10,Paramètres!$A$1:$I$89,3,0)*VLOOKUP('Données projet'!$B$10,Paramètres!$A$1:$I$89,5,0)</f>
        <v>-2.0395418687257919E-13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310.96303212465733</v>
      </c>
      <c r="AO120" s="59">
        <f t="shared" si="90"/>
        <v>248.17359812749166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68.361756759378977</v>
      </c>
      <c r="AV120" s="21">
        <f>EXP(-LN(2)/25)*AV119+(1-EXP(-LN(2)/25))/(LN(2)/25)*Calculateur!AQ120*Calculateur!AS120*VLOOKUP('Données projet'!$B$10,Paramètres!$A$1:$I$89,3,0)*0.475*44/12</f>
        <v>12.402503484266145</v>
      </c>
      <c r="AW120" s="21">
        <f>EXP(-LN(2)/2)*AW119+(1-EXP(-LN(2)/2))/(LN(2)/2)*AQ120*AT120*VLOOKUP('Données projet'!$B$10,Paramètres!$A$1:$I$89,3,0)*0.475*44/12</f>
        <v>9.6063855774960151E-5</v>
      </c>
      <c r="AX120" s="21">
        <f t="shared" si="60"/>
        <v>80.764356307500904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337.99164391065369</v>
      </c>
      <c r="T121" s="59">
        <f t="shared" si="88"/>
        <v>421.45428232119559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47.70117770364832</v>
      </c>
      <c r="AA121" s="21">
        <f>EXP(-LN(2)/25)*AA120+(1-EXP(-LN(2)/25))/(LN(2)/25)*Calculateur!V121*Calculateur!X121*VLOOKUP('Données projet'!$B$9,Paramètres!$A$1:$I$89,3,0)*0.475*44/12</f>
        <v>8.0026068570609645</v>
      </c>
      <c r="AB121" s="21">
        <f>EXP(-LN(2)/2)*AB120+(1-EXP(-LN(2)/2))/(LN(2)/2)*V121*Y121*VLOOKUP('Données projet'!$B$9,Paramètres!$A$1:$I$89,3,0)*0.475*44/12</f>
        <v>1.8530597069200183E-8</v>
      </c>
      <c r="AC121" s="22">
        <f t="shared" si="57"/>
        <v>55.70378457923988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-3.4106051316484809E-13</v>
      </c>
      <c r="AJ121" s="13">
        <f>AI121*VLOOKUP('Données projet'!$B$10,Paramètres!$A$1:$I$89,3,0)*VLOOKUP('Données projet'!$B$10,Paramètres!$A$1:$I$89,5,0)</f>
        <v>-2.0395418687257919E-13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310.96303212465733</v>
      </c>
      <c r="AO121" s="59">
        <f t="shared" si="90"/>
        <v>248.17359812749166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67.021224405881981</v>
      </c>
      <c r="AV121" s="21">
        <f>EXP(-LN(2)/25)*AV120+(1-EXP(-LN(2)/25))/(LN(2)/25)*Calculateur!AQ121*Calculateur!AS121*VLOOKUP('Données projet'!$B$10,Paramètres!$A$1:$I$89,3,0)*0.475*44/12</f>
        <v>12.063356374269576</v>
      </c>
      <c r="AW121" s="21">
        <f>EXP(-LN(2)/2)*AW120+(1-EXP(-LN(2)/2))/(LN(2)/2)*AQ121*AT121*VLOOKUP('Données projet'!$B$10,Paramètres!$A$1:$I$89,3,0)*0.475*44/12</f>
        <v>6.7927403845400807E-5</v>
      </c>
      <c r="AX121" s="21">
        <f t="shared" si="60"/>
        <v>79.084648707555402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337.99164391065369</v>
      </c>
      <c r="T122" s="59">
        <f t="shared" si="88"/>
        <v>421.45428232119559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46.765786703725297</v>
      </c>
      <c r="AA122" s="21">
        <f>EXP(-LN(2)/25)*AA121+(1-EXP(-LN(2)/25))/(LN(2)/25)*Calculateur!V122*Calculateur!X122*VLOOKUP('Données projet'!$B$9,Paramètres!$A$1:$I$89,3,0)*0.475*44/12</f>
        <v>7.7837751517158278</v>
      </c>
      <c r="AB122" s="21">
        <f>EXP(-LN(2)/2)*AB121+(1-EXP(-LN(2)/2))/(LN(2)/2)*V122*Y122*VLOOKUP('Données projet'!$B$9,Paramètres!$A$1:$I$89,3,0)*0.475*44/12</f>
        <v>1.3103110847067012E-8</v>
      </c>
      <c r="AC122" s="22">
        <f t="shared" si="57"/>
        <v>54.549561868544238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-3.4106051316484809E-13</v>
      </c>
      <c r="AJ122" s="13">
        <f>AI122*VLOOKUP('Données projet'!$B$10,Paramètres!$A$1:$I$89,3,0)*VLOOKUP('Données projet'!$B$10,Paramètres!$A$1:$I$89,5,0)</f>
        <v>-2.0395418687257919E-13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310.96303212465733</v>
      </c>
      <c r="AO122" s="59">
        <f t="shared" si="90"/>
        <v>248.17359812749166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65.706979074193072</v>
      </c>
      <c r="AV122" s="21">
        <f>EXP(-LN(2)/25)*AV121+(1-EXP(-LN(2)/25))/(LN(2)/25)*Calculateur!AQ122*Calculateur!AS122*VLOOKUP('Données projet'!$B$10,Paramètres!$A$1:$I$89,3,0)*0.475*44/12</f>
        <v>11.733483259830834</v>
      </c>
      <c r="AW122" s="21">
        <f>EXP(-LN(2)/2)*AW121+(1-EXP(-LN(2)/2))/(LN(2)/2)*AQ122*AT122*VLOOKUP('Données projet'!$B$10,Paramètres!$A$1:$I$89,3,0)*0.475*44/12</f>
        <v>4.8031927887480075E-5</v>
      </c>
      <c r="AX122" s="21">
        <f t="shared" si="60"/>
        <v>77.440510365951795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337.99164391065369</v>
      </c>
      <c r="T123" s="59">
        <f t="shared" si="88"/>
        <v>421.45428232119559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45.848738150778594</v>
      </c>
      <c r="AA123" s="21">
        <f>EXP(-LN(2)/25)*AA122+(1-EXP(-LN(2)/25))/(LN(2)/25)*Calculateur!V123*Calculateur!X123*VLOOKUP('Données projet'!$B$9,Paramètres!$A$1:$I$89,3,0)*0.475*44/12</f>
        <v>7.5709274108612137</v>
      </c>
      <c r="AB123" s="21">
        <f>EXP(-LN(2)/2)*AB122+(1-EXP(-LN(2)/2))/(LN(2)/2)*V123*Y123*VLOOKUP('Données projet'!$B$9,Paramètres!$A$1:$I$89,3,0)*0.475*44/12</f>
        <v>9.2652985346000913E-9</v>
      </c>
      <c r="AC123" s="22">
        <f t="shared" si="57"/>
        <v>53.41966557090511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-3.4106051316484809E-13</v>
      </c>
      <c r="AJ123" s="13">
        <f>AI123*VLOOKUP('Données projet'!$B$10,Paramètres!$A$1:$I$89,3,0)*VLOOKUP('Données projet'!$B$10,Paramètres!$A$1:$I$89,5,0)</f>
        <v>-2.0395418687257919E-13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310.96303212465733</v>
      </c>
      <c r="AO123" s="59">
        <f t="shared" si="90"/>
        <v>248.17359812749166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64.418505291848078</v>
      </c>
      <c r="AV123" s="21">
        <f>EXP(-LN(2)/25)*AV122+(1-EXP(-LN(2)/25))/(LN(2)/25)*Calculateur!AQ123*Calculateur!AS123*VLOOKUP('Données projet'!$B$10,Paramètres!$A$1:$I$89,3,0)*0.475*44/12</f>
        <v>11.412630543053693</v>
      </c>
      <c r="AW123" s="21">
        <f>EXP(-LN(2)/2)*AW122+(1-EXP(-LN(2)/2))/(LN(2)/2)*AQ123*AT123*VLOOKUP('Données projet'!$B$10,Paramètres!$A$1:$I$89,3,0)*0.475*44/12</f>
        <v>3.3963701922700404E-5</v>
      </c>
      <c r="AX123" s="21">
        <f t="shared" si="60"/>
        <v>75.831169798603696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337.99164391065369</v>
      </c>
      <c r="T124" s="59">
        <f t="shared" si="88"/>
        <v>421.45428232119559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44.949672360610784</v>
      </c>
      <c r="AA124" s="21">
        <f>EXP(-LN(2)/25)*AA123+(1-EXP(-LN(2)/25))/(LN(2)/25)*Calculateur!V124*Calculateur!X124*VLOOKUP('Données projet'!$B$9,Paramètres!$A$1:$I$89,3,0)*0.475*44/12</f>
        <v>7.3639000026734447</v>
      </c>
      <c r="AB124" s="21">
        <f>EXP(-LN(2)/2)*AB123+(1-EXP(-LN(2)/2))/(LN(2)/2)*V124*Y124*VLOOKUP('Données projet'!$B$9,Paramètres!$A$1:$I$89,3,0)*0.475*44/12</f>
        <v>6.5515554235335062E-9</v>
      </c>
      <c r="AC124" s="22">
        <f t="shared" si="57"/>
        <v>52.313572369835782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-2.0395418687257919E-13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310.96303212465733</v>
      </c>
      <c r="AO124" s="59">
        <f t="shared" si="90"/>
        <v>248.17359812749166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63.155297694483458</v>
      </c>
      <c r="AV124" s="21">
        <f>EXP(-LN(2)/25)*AV123+(1-EXP(-LN(2)/25))/(LN(2)/25)*Calculateur!AQ124*Calculateur!AS124*VLOOKUP('Données projet'!$B$10,Paramètres!$A$1:$I$89,3,0)*0.475*44/12</f>
        <v>11.100551560689734</v>
      </c>
      <c r="AW124" s="21">
        <f>EXP(-LN(2)/2)*AW123+(1-EXP(-LN(2)/2))/(LN(2)/2)*AQ124*AT124*VLOOKUP('Données projet'!$B$10,Paramètres!$A$1:$I$89,3,0)*0.475*44/12</f>
        <v>2.4015963943740038E-5</v>
      </c>
      <c r="AX124" s="21">
        <f t="shared" si="60"/>
        <v>74.255873271137133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337.99164391065369</v>
      </c>
      <c r="T125" s="59">
        <f t="shared" si="88"/>
        <v>421.45428232119559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44.068236702212182</v>
      </c>
      <c r="AA125" s="21">
        <f>EXP(-LN(2)/25)*AA124+(1-EXP(-LN(2)/25))/(LN(2)/25)*Calculateur!V125*Calculateur!X125*VLOOKUP('Données projet'!$B$9,Paramètres!$A$1:$I$89,3,0)*0.475*44/12</f>
        <v>7.1625337698496683</v>
      </c>
      <c r="AB125" s="21">
        <f>EXP(-LN(2)/2)*AB124+(1-EXP(-LN(2)/2))/(LN(2)/2)*V125*Y125*VLOOKUP('Données projet'!$B$9,Paramètres!$A$1:$I$89,3,0)*0.475*44/12</f>
        <v>4.6326492673000456E-9</v>
      </c>
      <c r="AC125" s="22">
        <f t="shared" si="57"/>
        <v>51.230770476694495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-2.0395418687257919E-13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310.96303212465733</v>
      </c>
      <c r="AO125" s="59">
        <f t="shared" si="90"/>
        <v>248.17359812749166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61.916860827622607</v>
      </c>
      <c r="AV125" s="21">
        <f>EXP(-LN(2)/25)*AV124+(1-EXP(-LN(2)/25))/(LN(2)/25)*Calculateur!AQ125*Calculateur!AS125*VLOOKUP('Données projet'!$B$10,Paramètres!$A$1:$I$89,3,0)*0.475*44/12</f>
        <v>10.797006394510037</v>
      </c>
      <c r="AW125" s="21">
        <f>EXP(-LN(2)/2)*AW124+(1-EXP(-LN(2)/2))/(LN(2)/2)*AQ125*AT125*VLOOKUP('Données projet'!$B$10,Paramètres!$A$1:$I$89,3,0)*0.475*44/12</f>
        <v>1.6981850961350202E-5</v>
      </c>
      <c r="AX125" s="21">
        <f t="shared" si="60"/>
        <v>72.713884203983611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337.99164391065369</v>
      </c>
      <c r="T126" s="59">
        <f t="shared" si="88"/>
        <v>421.45428232119559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43.204085459452109</v>
      </c>
      <c r="AA126" s="21">
        <f>EXP(-LN(2)/25)*AA125+(1-EXP(-LN(2)/25))/(LN(2)/25)*Calculateur!V126*Calculateur!X126*VLOOKUP('Données projet'!$B$9,Paramètres!$A$1:$I$89,3,0)*0.475*44/12</f>
        <v>6.966673907251848</v>
      </c>
      <c r="AB126" s="21">
        <f>EXP(-LN(2)/2)*AB125+(1-EXP(-LN(2)/2))/(LN(2)/2)*V126*Y126*VLOOKUP('Données projet'!$B$9,Paramètres!$A$1:$I$89,3,0)*0.475*44/12</f>
        <v>3.2757777117667531E-9</v>
      </c>
      <c r="AC126" s="22">
        <f t="shared" si="57"/>
        <v>50.170759369979734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-2.0395418687257919E-13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310.96303212465733</v>
      </c>
      <c r="AO126" s="59">
        <f t="shared" si="90"/>
        <v>248.17359812749166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60.702708952348992</v>
      </c>
      <c r="AV126" s="21">
        <f>EXP(-LN(2)/25)*AV125+(1-EXP(-LN(2)/25))/(LN(2)/25)*Calculateur!AQ126*Calculateur!AS126*VLOOKUP('Données projet'!$B$10,Paramètres!$A$1:$I$89,3,0)*0.475*44/12</f>
        <v>10.50176168686227</v>
      </c>
      <c r="AW126" s="21">
        <f>EXP(-LN(2)/2)*AW125+(1-EXP(-LN(2)/2))/(LN(2)/2)*AQ126*AT126*VLOOKUP('Données projet'!$B$10,Paramètres!$A$1:$I$89,3,0)*0.475*44/12</f>
        <v>1.2007981971870019E-5</v>
      </c>
      <c r="AX126" s="21">
        <f t="shared" si="60"/>
        <v>71.204482647193231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337.99164391065369</v>
      </c>
      <c r="T127" s="59">
        <f t="shared" si="88"/>
        <v>421.45428232119559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42.356879695482348</v>
      </c>
      <c r="AA127" s="21">
        <f>EXP(-LN(2)/25)*AA126+(1-EXP(-LN(2)/25))/(LN(2)/25)*Calculateur!V127*Calculateur!X127*VLOOKUP('Données projet'!$B$9,Paramètres!$A$1:$I$89,3,0)*0.475*44/12</f>
        <v>6.7761698428965875</v>
      </c>
      <c r="AB127" s="21">
        <f>EXP(-LN(2)/2)*AB126+(1-EXP(-LN(2)/2))/(LN(2)/2)*V127*Y127*VLOOKUP('Données projet'!$B$9,Paramètres!$A$1:$I$89,3,0)*0.475*44/12</f>
        <v>2.3163246336500228E-9</v>
      </c>
      <c r="AC127" s="22">
        <f t="shared" si="57"/>
        <v>49.133049540695261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-2.0395418687257919E-13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310.96303212465733</v>
      </c>
      <c r="AO127" s="59">
        <f t="shared" si="90"/>
        <v>248.17359812749166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59.512365854789977</v>
      </c>
      <c r="AV127" s="21">
        <f>EXP(-LN(2)/25)*AV126+(1-EXP(-LN(2)/25))/(LN(2)/25)*Calculateur!AQ127*Calculateur!AS127*VLOOKUP('Données projet'!$B$10,Paramètres!$A$1:$I$89,3,0)*0.475*44/12</f>
        <v>10.214590461271376</v>
      </c>
      <c r="AW127" s="21">
        <f>EXP(-LN(2)/2)*AW126+(1-EXP(-LN(2)/2))/(LN(2)/2)*AQ127*AT127*VLOOKUP('Données projet'!$B$10,Paramètres!$A$1:$I$89,3,0)*0.475*44/12</f>
        <v>8.4909254806751009E-6</v>
      </c>
      <c r="AX127" s="21">
        <f t="shared" si="60"/>
        <v>69.726964806986828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337.99164391065369</v>
      </c>
      <c r="T128" s="59">
        <f t="shared" si="88"/>
        <v>421.45428232119559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41.526287119799548</v>
      </c>
      <c r="AA128" s="21">
        <f>EXP(-LN(2)/25)*AA127+(1-EXP(-LN(2)/25))/(LN(2)/25)*Calculateur!V128*Calculateur!X128*VLOOKUP('Données projet'!$B$9,Paramètres!$A$1:$I$89,3,0)*0.475*44/12</f>
        <v>6.5908751221992956</v>
      </c>
      <c r="AB128" s="21">
        <f>EXP(-LN(2)/2)*AB127+(1-EXP(-LN(2)/2))/(LN(2)/2)*V128*Y128*VLOOKUP('Données projet'!$B$9,Paramètres!$A$1:$I$89,3,0)*0.475*44/12</f>
        <v>1.6378888558833766E-9</v>
      </c>
      <c r="AC128" s="22">
        <f t="shared" si="57"/>
        <v>48.117162243636727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-2.0395418687257919E-13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310.96303212465733</v>
      </c>
      <c r="AO128" s="59">
        <f t="shared" si="90"/>
        <v>248.17359812749166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58.345364659336489</v>
      </c>
      <c r="AV128" s="21">
        <f>EXP(-LN(2)/25)*AV127+(1-EXP(-LN(2)/25))/(LN(2)/25)*Calculateur!AQ128*Calculateur!AS128*VLOOKUP('Données projet'!$B$10,Paramètres!$A$1:$I$89,3,0)*0.475*44/12</f>
        <v>9.9352719479459441</v>
      </c>
      <c r="AW128" s="21">
        <f>EXP(-LN(2)/2)*AW127+(1-EXP(-LN(2)/2))/(LN(2)/2)*AQ128*AT128*VLOOKUP('Données projet'!$B$10,Paramètres!$A$1:$I$89,3,0)*0.475*44/12</f>
        <v>6.0039909859350094E-6</v>
      </c>
      <c r="AX128" s="21">
        <f t="shared" si="60"/>
        <v>68.280642611273421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337.99164391065369</v>
      </c>
      <c r="T129" s="59">
        <f t="shared" si="88"/>
        <v>421.45428232119559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40.711981957914439</v>
      </c>
      <c r="AA129" s="21">
        <f>EXP(-LN(2)/25)*AA128+(1-EXP(-LN(2)/25))/(LN(2)/25)*Calculateur!V129*Calculateur!X129*VLOOKUP('Données projet'!$B$9,Paramètres!$A$1:$I$89,3,0)*0.475*44/12</f>
        <v>6.410647295383697</v>
      </c>
      <c r="AB129" s="21">
        <f>EXP(-LN(2)/2)*AB128+(1-EXP(-LN(2)/2))/(LN(2)/2)*V129*Y129*VLOOKUP('Données projet'!$B$9,Paramètres!$A$1:$I$89,3,0)*0.475*44/12</f>
        <v>1.1581623168250114E-9</v>
      </c>
      <c r="AC129" s="22">
        <f t="shared" si="57"/>
        <v>47.122629254456299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-2.0395418687257919E-13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310.96303212465733</v>
      </c>
      <c r="AO129" s="59">
        <f t="shared" si="90"/>
        <v>248.17359812749166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57.201247645525406</v>
      </c>
      <c r="AV129" s="21">
        <f>EXP(-LN(2)/25)*AV128+(1-EXP(-LN(2)/25))/(LN(2)/25)*Calculateur!AQ129*Calculateur!AS129*VLOOKUP('Données projet'!$B$10,Paramètres!$A$1:$I$89,3,0)*0.475*44/12</f>
        <v>9.6635914140561177</v>
      </c>
      <c r="AW129" s="21">
        <f>EXP(-LN(2)/2)*AW128+(1-EXP(-LN(2)/2))/(LN(2)/2)*AQ129*AT129*VLOOKUP('Données projet'!$B$10,Paramètres!$A$1:$I$89,3,0)*0.475*44/12</f>
        <v>4.2454627403375505E-6</v>
      </c>
      <c r="AX129" s="21">
        <f t="shared" si="60"/>
        <v>66.864843305044261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337.99164391065369</v>
      </c>
      <c r="T130" s="59">
        <f t="shared" si="88"/>
        <v>421.45428232119559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39.913644823576789</v>
      </c>
      <c r="AA130" s="21">
        <f>EXP(-LN(2)/25)*AA129+(1-EXP(-LN(2)/25))/(LN(2)/25)*Calculateur!V130*Calculateur!X130*VLOOKUP('Données projet'!$B$9,Paramètres!$A$1:$I$89,3,0)*0.475*44/12</f>
        <v>6.2353478079701405</v>
      </c>
      <c r="AB130" s="21">
        <f>EXP(-LN(2)/2)*AB129+(1-EXP(-LN(2)/2))/(LN(2)/2)*V130*Y130*VLOOKUP('Données projet'!$B$9,Paramètres!$A$1:$I$89,3,0)*0.475*44/12</f>
        <v>8.1894442794168828E-10</v>
      </c>
      <c r="AC130" s="22">
        <f t="shared" si="57"/>
        <v>46.148992632365875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-2.0395418687257919E-13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310.96303212465733</v>
      </c>
      <c r="AO130" s="59">
        <f t="shared" si="90"/>
        <v>248.17359812749166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56.079566068512683</v>
      </c>
      <c r="AV130" s="21">
        <f>EXP(-LN(2)/25)*AV129+(1-EXP(-LN(2)/25))/(LN(2)/25)*Calculateur!AQ130*Calculateur!AS130*VLOOKUP('Données projet'!$B$10,Paramètres!$A$1:$I$89,3,0)*0.475*44/12</f>
        <v>9.3993399986525663</v>
      </c>
      <c r="AW130" s="21">
        <f>EXP(-LN(2)/2)*AW129+(1-EXP(-LN(2)/2))/(LN(2)/2)*AQ130*AT130*VLOOKUP('Données projet'!$B$10,Paramètres!$A$1:$I$89,3,0)*0.475*44/12</f>
        <v>3.0019954929675047E-6</v>
      </c>
      <c r="AX130" s="21">
        <f t="shared" si="60"/>
        <v>65.47890906916075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337.99164391065369</v>
      </c>
      <c r="T131" s="59">
        <f t="shared" si="88"/>
        <v>421.45428232119559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39.130962593505927</v>
      </c>
      <c r="AA131" s="21">
        <f>EXP(-LN(2)/25)*AA130+(1-EXP(-LN(2)/25))/(LN(2)/25)*Calculateur!V131*Calculateur!X131*VLOOKUP('Données projet'!$B$9,Paramètres!$A$1:$I$89,3,0)*0.475*44/12</f>
        <v>6.0648418942585067</v>
      </c>
      <c r="AB131" s="21">
        <f>EXP(-LN(2)/2)*AB130+(1-EXP(-LN(2)/2))/(LN(2)/2)*V131*Y131*VLOOKUP('Données projet'!$B$9,Paramètres!$A$1:$I$89,3,0)*0.475*44/12</f>
        <v>5.7908115841250571E-10</v>
      </c>
      <c r="AC131" s="22">
        <f t="shared" si="57"/>
        <v>45.195804488343512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-2.0395418687257919E-13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310.96303212465733</v>
      </c>
      <c r="AO131" s="59">
        <f t="shared" si="90"/>
        <v>248.17359812749166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54.979879983066972</v>
      </c>
      <c r="AV131" s="21">
        <f>EXP(-LN(2)/25)*AV130+(1-EXP(-LN(2)/25))/(LN(2)/25)*Calculateur!AQ131*Calculateur!AS131*VLOOKUP('Données projet'!$B$10,Paramètres!$A$1:$I$89,3,0)*0.475*44/12</f>
        <v>9.1423145520996041</v>
      </c>
      <c r="AW131" s="21">
        <f>EXP(-LN(2)/2)*AW130+(1-EXP(-LN(2)/2))/(LN(2)/2)*AQ131*AT131*VLOOKUP('Données projet'!$B$10,Paramètres!$A$1:$I$89,3,0)*0.475*44/12</f>
        <v>2.1227313701687752E-6</v>
      </c>
      <c r="AX131" s="21">
        <f t="shared" si="60"/>
        <v>64.122196657897945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337.99164391065369</v>
      </c>
      <c r="T132" s="59">
        <f t="shared" si="88"/>
        <v>421.45428232119559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38.363628284577736</v>
      </c>
      <c r="AA132" s="21">
        <f>EXP(-LN(2)/25)*AA131+(1-EXP(-LN(2)/25))/(LN(2)/25)*Calculateur!V132*Calculateur!X132*VLOOKUP('Données projet'!$B$9,Paramètres!$A$1:$I$89,3,0)*0.475*44/12</f>
        <v>5.8989984737238341</v>
      </c>
      <c r="AB132" s="21">
        <f>EXP(-LN(2)/2)*AB131+(1-EXP(-LN(2)/2))/(LN(2)/2)*V132*Y132*VLOOKUP('Données projet'!$B$9,Paramètres!$A$1:$I$89,3,0)*0.475*44/12</f>
        <v>4.0947221397084414E-10</v>
      </c>
      <c r="AC132" s="22">
        <f t="shared" ref="AC132:AC153" si="111">SUM(Z132:AB132)</f>
        <v>44.262626758711043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-2.0395418687257919E-13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310.96303212465733</v>
      </c>
      <c r="AO132" s="59">
        <f t="shared" si="90"/>
        <v>248.17359812749166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53.901758071014569</v>
      </c>
      <c r="AV132" s="21">
        <f>EXP(-LN(2)/25)*AV131+(1-EXP(-LN(2)/25))/(LN(2)/25)*Calculateur!AQ132*Calculateur!AS132*VLOOKUP('Données projet'!$B$10,Paramètres!$A$1:$I$89,3,0)*0.475*44/12</f>
        <v>8.8923174798990132</v>
      </c>
      <c r="AW132" s="21">
        <f>EXP(-LN(2)/2)*AW131+(1-EXP(-LN(2)/2))/(LN(2)/2)*AQ132*AT132*VLOOKUP('Données projet'!$B$10,Paramètres!$A$1:$I$89,3,0)*0.475*44/12</f>
        <v>1.5009977464837524E-6</v>
      </c>
      <c r="AX132" s="21">
        <f t="shared" ref="AX132:AX153" si="114">SUM(AU132:AW132)</f>
        <v>62.79407705191133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337.99164391065369</v>
      </c>
      <c r="T133" s="59">
        <f t="shared" ref="T133:T196" si="142">$T$3</f>
        <v>421.45428232119559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37.61134093341991</v>
      </c>
      <c r="AA133" s="21">
        <f>EXP(-LN(2)/25)*AA132+(1-EXP(-LN(2)/25))/(LN(2)/25)*Calculateur!V133*Calculateur!X133*VLOOKUP('Données projet'!$B$9,Paramètres!$A$1:$I$89,3,0)*0.475*44/12</f>
        <v>5.7376900502450088</v>
      </c>
      <c r="AB133" s="21">
        <f>EXP(-LN(2)/2)*AB132+(1-EXP(-LN(2)/2))/(LN(2)/2)*V133*Y133*VLOOKUP('Données projet'!$B$9,Paramètres!$A$1:$I$89,3,0)*0.475*44/12</f>
        <v>2.8954057920625285E-10</v>
      </c>
      <c r="AC133" s="22">
        <f t="shared" si="111"/>
        <v>43.349030983954457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-2.0395418687257919E-13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310.96303212465733</v>
      </c>
      <c r="AO133" s="59">
        <f t="shared" ref="AO133:AO196" si="144">$AO$3</f>
        <v>248.17359812749166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52.844777472068081</v>
      </c>
      <c r="AV133" s="21">
        <f>EXP(-LN(2)/25)*AV132+(1-EXP(-LN(2)/25))/(LN(2)/25)*Calculateur!AQ133*Calculateur!AS133*VLOOKUP('Données projet'!$B$10,Paramètres!$A$1:$I$89,3,0)*0.475*44/12</f>
        <v>8.6491565907845214</v>
      </c>
      <c r="AW133" s="21">
        <f>EXP(-LN(2)/2)*AW132+(1-EXP(-LN(2)/2))/(LN(2)/2)*AQ133*AT133*VLOOKUP('Données projet'!$B$10,Paramètres!$A$1:$I$89,3,0)*0.475*44/12</f>
        <v>1.0613656850843876E-6</v>
      </c>
      <c r="AX133" s="21">
        <f t="shared" si="114"/>
        <v>61.493935124218289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337.99164391065369</v>
      </c>
      <c r="T134" s="59">
        <f t="shared" si="142"/>
        <v>421.45428232119559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36.873805478368311</v>
      </c>
      <c r="AA134" s="21">
        <f>EXP(-LN(2)/25)*AA133+(1-EXP(-LN(2)/25))/(LN(2)/25)*Calculateur!V134*Calculateur!X134*VLOOKUP('Données projet'!$B$9,Paramètres!$A$1:$I$89,3,0)*0.475*44/12</f>
        <v>5.5807926140890531</v>
      </c>
      <c r="AB134" s="21">
        <f>EXP(-LN(2)/2)*AB133+(1-EXP(-LN(2)/2))/(LN(2)/2)*V134*Y134*VLOOKUP('Données projet'!$B$9,Paramètres!$A$1:$I$89,3,0)*0.475*44/12</f>
        <v>2.0473610698542207E-10</v>
      </c>
      <c r="AC134" s="22">
        <f t="shared" si="111"/>
        <v>42.454598092662103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-2.0395418687257919E-13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310.96303212465733</v>
      </c>
      <c r="AO134" s="59">
        <f t="shared" si="144"/>
        <v>248.17359812749166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51.808523617972426</v>
      </c>
      <c r="AV134" s="21">
        <f>EXP(-LN(2)/25)*AV133+(1-EXP(-LN(2)/25))/(LN(2)/25)*Calculateur!AQ134*Calculateur!AS134*VLOOKUP('Données projet'!$B$10,Paramètres!$A$1:$I$89,3,0)*0.475*44/12</f>
        <v>8.4126449489701418</v>
      </c>
      <c r="AW134" s="21">
        <f>EXP(-LN(2)/2)*AW133+(1-EXP(-LN(2)/2))/(LN(2)/2)*AQ134*AT134*VLOOKUP('Données projet'!$B$10,Paramètres!$A$1:$I$89,3,0)*0.475*44/12</f>
        <v>7.5049887324187618E-7</v>
      </c>
      <c r="AX134" s="21">
        <f t="shared" si="114"/>
        <v>60.221169317441436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337.99164391065369</v>
      </c>
      <c r="T135" s="59">
        <f t="shared" si="142"/>
        <v>421.45428232119559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36.150732643738067</v>
      </c>
      <c r="AA135" s="21">
        <f>EXP(-LN(2)/25)*AA134+(1-EXP(-LN(2)/25))/(LN(2)/25)*Calculateur!V135*Calculateur!X135*VLOOKUP('Données projet'!$B$9,Paramètres!$A$1:$I$89,3,0)*0.475*44/12</f>
        <v>5.4281855465756594</v>
      </c>
      <c r="AB135" s="21">
        <f>EXP(-LN(2)/2)*AB134+(1-EXP(-LN(2)/2))/(LN(2)/2)*V135*Y135*VLOOKUP('Données projet'!$B$9,Paramètres!$A$1:$I$89,3,0)*0.475*44/12</f>
        <v>1.4477028960312643E-10</v>
      </c>
      <c r="AC135" s="22">
        <f t="shared" si="111"/>
        <v>41.578918190458502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-2.0395418687257919E-13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310.96303212465733</v>
      </c>
      <c r="AO135" s="59">
        <f t="shared" si="144"/>
        <v>248.17359812749166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50.792590069903149</v>
      </c>
      <c r="AV135" s="21">
        <f>EXP(-LN(2)/25)*AV134+(1-EXP(-LN(2)/25))/(LN(2)/25)*Calculateur!AQ135*Calculateur!AS135*VLOOKUP('Données projet'!$B$10,Paramètres!$A$1:$I$89,3,0)*0.475*44/12</f>
        <v>8.1826007304387822</v>
      </c>
      <c r="AW135" s="21">
        <f>EXP(-LN(2)/2)*AW134+(1-EXP(-LN(2)/2))/(LN(2)/2)*AQ135*AT135*VLOOKUP('Données projet'!$B$10,Paramètres!$A$1:$I$89,3,0)*0.475*44/12</f>
        <v>5.3068284254219381E-7</v>
      </c>
      <c r="AX135" s="21">
        <f t="shared" si="114"/>
        <v>58.975191331024774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337.99164391065369</v>
      </c>
      <c r="T136" s="59">
        <f t="shared" si="142"/>
        <v>421.45428232119559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35.441838826364041</v>
      </c>
      <c r="AA136" s="21">
        <f>EXP(-LN(2)/25)*AA135+(1-EXP(-LN(2)/25))/(LN(2)/25)*Calculateur!V136*Calculateur!X136*VLOOKUP('Données projet'!$B$9,Paramètres!$A$1:$I$89,3,0)*0.475*44/12</f>
        <v>5.2797515273486768</v>
      </c>
      <c r="AB136" s="21">
        <f>EXP(-LN(2)/2)*AB135+(1-EXP(-LN(2)/2))/(LN(2)/2)*V136*Y136*VLOOKUP('Données projet'!$B$9,Paramètres!$A$1:$I$89,3,0)*0.475*44/12</f>
        <v>1.0236805349271103E-10</v>
      </c>
      <c r="AC136" s="22">
        <f t="shared" si="111"/>
        <v>40.721590353815088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-2.0395418687257919E-13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310.96303212465733</v>
      </c>
      <c r="AO136" s="59">
        <f t="shared" si="144"/>
        <v>248.17359812749166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49.796578359053228</v>
      </c>
      <c r="AV136" s="21">
        <f>EXP(-LN(2)/25)*AV135+(1-EXP(-LN(2)/25))/(LN(2)/25)*Calculateur!AQ136*Calculateur!AS136*VLOOKUP('Données projet'!$B$10,Paramètres!$A$1:$I$89,3,0)*0.475*44/12</f>
        <v>7.9588470831606628</v>
      </c>
      <c r="AW136" s="21">
        <f>EXP(-LN(2)/2)*AW135+(1-EXP(-LN(2)/2))/(LN(2)/2)*AQ136*AT136*VLOOKUP('Données projet'!$B$10,Paramètres!$A$1:$I$89,3,0)*0.475*44/12</f>
        <v>3.7524943662093809E-7</v>
      </c>
      <c r="AX136" s="21">
        <f t="shared" si="114"/>
        <v>57.755425817463326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337.99164391065369</v>
      </c>
      <c r="T137" s="59">
        <f t="shared" si="142"/>
        <v>421.45428232119559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34.746845984366189</v>
      </c>
      <c r="AA137" s="21">
        <f>EXP(-LN(2)/25)*AA136+(1-EXP(-LN(2)/25))/(LN(2)/25)*Calculateur!V137*Calculateur!X137*VLOOKUP('Données projet'!$B$9,Paramètres!$A$1:$I$89,3,0)*0.475*44/12</f>
        <v>5.1353764441832617</v>
      </c>
      <c r="AB137" s="21">
        <f>EXP(-LN(2)/2)*AB136+(1-EXP(-LN(2)/2))/(LN(2)/2)*V137*Y137*VLOOKUP('Données projet'!$B$9,Paramètres!$A$1:$I$89,3,0)*0.475*44/12</f>
        <v>7.2385144801563213E-11</v>
      </c>
      <c r="AC137" s="22">
        <f t="shared" si="111"/>
        <v>39.882222428621837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-2.0395418687257919E-13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310.96303212465733</v>
      </c>
      <c r="AO137" s="59">
        <f t="shared" si="144"/>
        <v>248.17359812749166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48.820097830345915</v>
      </c>
      <c r="AV137" s="21">
        <f>EXP(-LN(2)/25)*AV136+(1-EXP(-LN(2)/25))/(LN(2)/25)*Calculateur!AQ137*Calculateur!AS137*VLOOKUP('Données projet'!$B$10,Paramètres!$A$1:$I$89,3,0)*0.475*44/12</f>
        <v>7.7412119911340564</v>
      </c>
      <c r="AW137" s="21">
        <f>EXP(-LN(2)/2)*AW136+(1-EXP(-LN(2)/2))/(LN(2)/2)*AQ137*AT137*VLOOKUP('Données projet'!$B$10,Paramètres!$A$1:$I$89,3,0)*0.475*44/12</f>
        <v>2.653414212710969E-7</v>
      </c>
      <c r="AX137" s="21">
        <f t="shared" si="114"/>
        <v>56.561310086821393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337.99164391065369</v>
      </c>
      <c r="T138" s="59">
        <f t="shared" si="142"/>
        <v>421.45428232119559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34.065481528096136</v>
      </c>
      <c r="AA138" s="21">
        <f>EXP(-LN(2)/25)*AA137+(1-EXP(-LN(2)/25))/(LN(2)/25)*Calculateur!V138*Calculateur!X138*VLOOKUP('Données projet'!$B$9,Paramètres!$A$1:$I$89,3,0)*0.475*44/12</f>
        <v>4.9949493052593601</v>
      </c>
      <c r="AB138" s="21">
        <f>EXP(-LN(2)/2)*AB137+(1-EXP(-LN(2)/2))/(LN(2)/2)*V138*Y138*VLOOKUP('Données projet'!$B$9,Paramètres!$A$1:$I$89,3,0)*0.475*44/12</f>
        <v>5.1184026746355517E-11</v>
      </c>
      <c r="AC138" s="22">
        <f t="shared" si="111"/>
        <v>39.060430833406684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-2.0395418687257919E-13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310.96303212465733</v>
      </c>
      <c r="AO138" s="59">
        <f t="shared" si="144"/>
        <v>248.17359812749166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47.862765489212244</v>
      </c>
      <c r="AV138" s="21">
        <f>EXP(-LN(2)/25)*AV137+(1-EXP(-LN(2)/25))/(LN(2)/25)*Calculateur!AQ138*Calculateur!AS138*VLOOKUP('Données projet'!$B$10,Paramètres!$A$1:$I$89,3,0)*0.475*44/12</f>
        <v>7.5295281421438496</v>
      </c>
      <c r="AW138" s="21">
        <f>EXP(-LN(2)/2)*AW137+(1-EXP(-LN(2)/2))/(LN(2)/2)*AQ138*AT138*VLOOKUP('Données projet'!$B$10,Paramètres!$A$1:$I$89,3,0)*0.475*44/12</f>
        <v>1.8762471831046904E-7</v>
      </c>
      <c r="AX138" s="21">
        <f t="shared" si="114"/>
        <v>55.392293818980818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337.99164391065369</v>
      </c>
      <c r="T139" s="59">
        <f t="shared" si="142"/>
        <v>421.45428232119559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33.397478213222257</v>
      </c>
      <c r="AA139" s="21">
        <f>EXP(-LN(2)/25)*AA138+(1-EXP(-LN(2)/25))/(LN(2)/25)*Calculateur!V139*Calculateur!X139*VLOOKUP('Données projet'!$B$9,Paramètres!$A$1:$I$89,3,0)*0.475*44/12</f>
        <v>4.8583621538340749</v>
      </c>
      <c r="AB139" s="21">
        <f>EXP(-LN(2)/2)*AB138+(1-EXP(-LN(2)/2))/(LN(2)/2)*V139*Y139*VLOOKUP('Données projet'!$B$9,Paramètres!$A$1:$I$89,3,0)*0.475*44/12</f>
        <v>3.6192572400781607E-11</v>
      </c>
      <c r="AC139" s="22">
        <f t="shared" si="111"/>
        <v>38.255840367092524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-2.0395418687257919E-13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310.96303212465733</v>
      </c>
      <c r="AO139" s="59">
        <f t="shared" si="144"/>
        <v>248.17359812749166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46.924205851373131</v>
      </c>
      <c r="AV139" s="21">
        <f>EXP(-LN(2)/25)*AV138+(1-EXP(-LN(2)/25))/(LN(2)/25)*Calculateur!AQ139*Calculateur!AS139*VLOOKUP('Données projet'!$B$10,Paramètres!$A$1:$I$89,3,0)*0.475*44/12</f>
        <v>7.3236327991362504</v>
      </c>
      <c r="AW139" s="21">
        <f>EXP(-LN(2)/2)*AW138+(1-EXP(-LN(2)/2))/(LN(2)/2)*AQ139*AT139*VLOOKUP('Données projet'!$B$10,Paramètres!$A$1:$I$89,3,0)*0.475*44/12</f>
        <v>1.3267071063554845E-7</v>
      </c>
      <c r="AX139" s="21">
        <f t="shared" si="114"/>
        <v>54.247838783180093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337.99164391065369</v>
      </c>
      <c r="T140" s="59">
        <f t="shared" si="142"/>
        <v>421.45428232119559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32.742574035911261</v>
      </c>
      <c r="AA140" s="21">
        <f>EXP(-LN(2)/25)*AA139+(1-EXP(-LN(2)/25))/(LN(2)/25)*Calculateur!V140*Calculateur!X140*VLOOKUP('Données projet'!$B$9,Paramètres!$A$1:$I$89,3,0)*0.475*44/12</f>
        <v>4.7255099852473208</v>
      </c>
      <c r="AB140" s="21">
        <f>EXP(-LN(2)/2)*AB139+(1-EXP(-LN(2)/2))/(LN(2)/2)*V140*Y140*VLOOKUP('Données projet'!$B$9,Paramètres!$A$1:$I$89,3,0)*0.475*44/12</f>
        <v>2.5592013373177759E-11</v>
      </c>
      <c r="AC140" s="22">
        <f t="shared" si="111"/>
        <v>37.468084021184175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-2.0395418687257919E-13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310.96303212465733</v>
      </c>
      <c r="AO140" s="59">
        <f t="shared" si="144"/>
        <v>248.17359812749166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46.004050795567188</v>
      </c>
      <c r="AV140" s="21">
        <f>EXP(-LN(2)/25)*AV139+(1-EXP(-LN(2)/25))/(LN(2)/25)*Calculateur!AQ140*Calculateur!AS140*VLOOKUP('Données projet'!$B$10,Paramètres!$A$1:$I$89,3,0)*0.475*44/12</f>
        <v>7.1233676751107593</v>
      </c>
      <c r="AW140" s="21">
        <f>EXP(-LN(2)/2)*AW139+(1-EXP(-LN(2)/2))/(LN(2)/2)*AQ140*AT140*VLOOKUP('Données projet'!$B$10,Paramètres!$A$1:$I$89,3,0)*0.475*44/12</f>
        <v>9.3812359155234522E-8</v>
      </c>
      <c r="AX140" s="21">
        <f t="shared" si="114"/>
        <v>53.127418564490306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337.99164391065369</v>
      </c>
      <c r="T141" s="59">
        <f t="shared" si="142"/>
        <v>421.45428232119559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32.100512130065233</v>
      </c>
      <c r="AA141" s="21">
        <f>EXP(-LN(2)/25)*AA140+(1-EXP(-LN(2)/25))/(LN(2)/25)*Calculateur!V141*Calculateur!X141*VLOOKUP('Données projet'!$B$9,Paramètres!$A$1:$I$89,3,0)*0.475*44/12</f>
        <v>4.5962906661969631</v>
      </c>
      <c r="AB141" s="21">
        <f>EXP(-LN(2)/2)*AB140+(1-EXP(-LN(2)/2))/(LN(2)/2)*V141*Y141*VLOOKUP('Données projet'!$B$9,Paramètres!$A$1:$I$89,3,0)*0.475*44/12</f>
        <v>1.8096286200390803E-11</v>
      </c>
      <c r="AC141" s="22">
        <f t="shared" si="111"/>
        <v>36.696802796280295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-2.0395418687257919E-13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310.96303212465733</v>
      </c>
      <c r="AO141" s="59">
        <f t="shared" si="144"/>
        <v>248.17359812749166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45.101939419166435</v>
      </c>
      <c r="AV141" s="21">
        <f>EXP(-LN(2)/25)*AV140+(1-EXP(-LN(2)/25))/(LN(2)/25)*Calculateur!AQ141*Calculateur!AS141*VLOOKUP('Données projet'!$B$10,Paramètres!$A$1:$I$89,3,0)*0.475*44/12</f>
        <v>6.9285788114332298</v>
      </c>
      <c r="AW141" s="21">
        <f>EXP(-LN(2)/2)*AW140+(1-EXP(-LN(2)/2))/(LN(2)/2)*AQ141*AT141*VLOOKUP('Données projet'!$B$10,Paramètres!$A$1:$I$89,3,0)*0.475*44/12</f>
        <v>6.6335355317774226E-8</v>
      </c>
      <c r="AX141" s="21">
        <f t="shared" si="114"/>
        <v>52.030518296935021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337.99164391065369</v>
      </c>
      <c r="T142" s="59">
        <f t="shared" si="142"/>
        <v>421.45428232119559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31.471040666573749</v>
      </c>
      <c r="AA142" s="21">
        <f>EXP(-LN(2)/25)*AA141+(1-EXP(-LN(2)/25))/(LN(2)/25)*Calculateur!V142*Calculateur!X142*VLOOKUP('Données projet'!$B$9,Paramètres!$A$1:$I$89,3,0)*0.475*44/12</f>
        <v>4.470604856221386</v>
      </c>
      <c r="AB142" s="21">
        <f>EXP(-LN(2)/2)*AB141+(1-EXP(-LN(2)/2))/(LN(2)/2)*V142*Y142*VLOOKUP('Données projet'!$B$9,Paramètres!$A$1:$I$89,3,0)*0.475*44/12</f>
        <v>1.2796006686588879E-11</v>
      </c>
      <c r="AC142" s="22">
        <f t="shared" si="111"/>
        <v>35.941645522807931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-2.0395418687257919E-13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310.96303212465733</v>
      </c>
      <c r="AO142" s="59">
        <f t="shared" si="144"/>
        <v>248.17359812749166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44.217517896623292</v>
      </c>
      <c r="AV142" s="21">
        <f>EXP(-LN(2)/25)*AV141+(1-EXP(-LN(2)/25))/(LN(2)/25)*Calculateur!AQ142*Calculateur!AS142*VLOOKUP('Données projet'!$B$10,Paramètres!$A$1:$I$89,3,0)*0.475*44/12</f>
        <v>6.7391164594764641</v>
      </c>
      <c r="AW142" s="21">
        <f>EXP(-LN(2)/2)*AW141+(1-EXP(-LN(2)/2))/(LN(2)/2)*AQ142*AT142*VLOOKUP('Données projet'!$B$10,Paramètres!$A$1:$I$89,3,0)*0.475*44/12</f>
        <v>4.6906179577617261E-8</v>
      </c>
      <c r="AX142" s="21">
        <f t="shared" si="114"/>
        <v>50.956634403005935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337.99164391065369</v>
      </c>
      <c r="T143" s="59">
        <f t="shared" si="142"/>
        <v>421.45428232119559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30.853912754541653</v>
      </c>
      <c r="AA143" s="21">
        <f>EXP(-LN(2)/25)*AA142+(1-EXP(-LN(2)/25))/(LN(2)/25)*Calculateur!V143*Calculateur!X143*VLOOKUP('Données projet'!$B$9,Paramètres!$A$1:$I$89,3,0)*0.475*44/12</f>
        <v>4.3483559313291202</v>
      </c>
      <c r="AB143" s="21">
        <f>EXP(-LN(2)/2)*AB142+(1-EXP(-LN(2)/2))/(LN(2)/2)*V143*Y143*VLOOKUP('Données projet'!$B$9,Paramètres!$A$1:$I$89,3,0)*0.475*44/12</f>
        <v>9.0481431001954017E-12</v>
      </c>
      <c r="AC143" s="22">
        <f t="shared" si="111"/>
        <v>35.202268685879822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-2.0395418687257919E-13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310.96303212465733</v>
      </c>
      <c r="AO143" s="59">
        <f t="shared" si="144"/>
        <v>248.17359812749166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43.350439340693356</v>
      </c>
      <c r="AV143" s="21">
        <f>EXP(-LN(2)/25)*AV142+(1-EXP(-LN(2)/25))/(LN(2)/25)*Calculateur!AQ143*Calculateur!AS143*VLOOKUP('Données projet'!$B$10,Paramètres!$A$1:$I$89,3,0)*0.475*44/12</f>
        <v>6.5548349654973483</v>
      </c>
      <c r="AW143" s="21">
        <f>EXP(-LN(2)/2)*AW142+(1-EXP(-LN(2)/2))/(LN(2)/2)*AQ143*AT143*VLOOKUP('Données projet'!$B$10,Paramètres!$A$1:$I$89,3,0)*0.475*44/12</f>
        <v>3.3167677658887113E-8</v>
      </c>
      <c r="AX143" s="21">
        <f t="shared" si="114"/>
        <v>49.905274339358385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337.99164391065369</v>
      </c>
      <c r="T144" s="59">
        <f t="shared" si="142"/>
        <v>421.45428232119559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30.248886344453648</v>
      </c>
      <c r="AA144" s="21">
        <f>EXP(-LN(2)/25)*AA143+(1-EXP(-LN(2)/25))/(LN(2)/25)*Calculateur!V144*Calculateur!X144*VLOOKUP('Données projet'!$B$9,Paramètres!$A$1:$I$89,3,0)*0.475*44/12</f>
        <v>4.2294499097168252</v>
      </c>
      <c r="AB144" s="21">
        <f>EXP(-LN(2)/2)*AB143+(1-EXP(-LN(2)/2))/(LN(2)/2)*V144*Y144*VLOOKUP('Données projet'!$B$9,Paramètres!$A$1:$I$89,3,0)*0.475*44/12</f>
        <v>6.3980033432944397E-12</v>
      </c>
      <c r="AC144" s="22">
        <f t="shared" si="111"/>
        <v>34.478336254176867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-2.0395418687257919E-13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310.96303212465733</v>
      </c>
      <c r="AO144" s="59">
        <f t="shared" si="144"/>
        <v>248.17359812749166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42.500363666379506</v>
      </c>
      <c r="AV144" s="21">
        <f>EXP(-LN(2)/25)*AV143+(1-EXP(-LN(2)/25))/(LN(2)/25)*Calculateur!AQ144*Calculateur!AS144*VLOOKUP('Données projet'!$B$10,Paramètres!$A$1:$I$89,3,0)*0.475*44/12</f>
        <v>6.3755926586620335</v>
      </c>
      <c r="AW144" s="21">
        <f>EXP(-LN(2)/2)*AW143+(1-EXP(-LN(2)/2))/(LN(2)/2)*AQ144*AT144*VLOOKUP('Données projet'!$B$10,Paramètres!$A$1:$I$89,3,0)*0.475*44/12</f>
        <v>2.3453089788808631E-8</v>
      </c>
      <c r="AX144" s="21">
        <f t="shared" si="114"/>
        <v>48.875956348494633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337.99164391065369</v>
      </c>
      <c r="T145" s="59">
        <f t="shared" si="142"/>
        <v>421.45428232119559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29.655724133237797</v>
      </c>
      <c r="AA145" s="21">
        <f>EXP(-LN(2)/25)*AA144+(1-EXP(-LN(2)/25))/(LN(2)/25)*Calculateur!V145*Calculateur!X145*VLOOKUP('Données projet'!$B$9,Paramètres!$A$1:$I$89,3,0)*0.475*44/12</f>
        <v>4.113795379518514</v>
      </c>
      <c r="AB145" s="21">
        <f>EXP(-LN(2)/2)*AB144+(1-EXP(-LN(2)/2))/(LN(2)/2)*V145*Y145*VLOOKUP('Données projet'!$B$9,Paramètres!$A$1:$I$89,3,0)*0.475*44/12</f>
        <v>4.5240715500977008E-12</v>
      </c>
      <c r="AC145" s="22">
        <f t="shared" si="111"/>
        <v>33.769519512760837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-2.0395418687257919E-13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310.96303212465733</v>
      </c>
      <c r="AO145" s="59">
        <f t="shared" si="144"/>
        <v>248.17359812749166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41.666957457543994</v>
      </c>
      <c r="AV145" s="21">
        <f>EXP(-LN(2)/25)*AV144+(1-EXP(-LN(2)/25))/(LN(2)/25)*Calculateur!AQ145*Calculateur!AS145*VLOOKUP('Données projet'!$B$10,Paramètres!$A$1:$I$89,3,0)*0.475*44/12</f>
        <v>6.2012517421330742</v>
      </c>
      <c r="AW145" s="21">
        <f>EXP(-LN(2)/2)*AW144+(1-EXP(-LN(2)/2))/(LN(2)/2)*AQ145*AT145*VLOOKUP('Données projet'!$B$10,Paramètres!$A$1:$I$89,3,0)*0.475*44/12</f>
        <v>1.6583838829443556E-8</v>
      </c>
      <c r="AX145" s="21">
        <f t="shared" si="114"/>
        <v>47.868209216260908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337.99164391065369</v>
      </c>
      <c r="T146" s="59">
        <f t="shared" si="142"/>
        <v>421.45428232119559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29.074193471190664</v>
      </c>
      <c r="AA146" s="21">
        <f>EXP(-LN(2)/25)*AA145+(1-EXP(-LN(2)/25))/(LN(2)/25)*Calculateur!V146*Calculateur!X146*VLOOKUP('Données projet'!$B$9,Paramètres!$A$1:$I$89,3,0)*0.475*44/12</f>
        <v>4.0013034285304832</v>
      </c>
      <c r="AB146" s="21">
        <f>EXP(-LN(2)/2)*AB145+(1-EXP(-LN(2)/2))/(LN(2)/2)*V146*Y146*VLOOKUP('Données projet'!$B$9,Paramètres!$A$1:$I$89,3,0)*0.475*44/12</f>
        <v>3.1990016716472198E-12</v>
      </c>
      <c r="AC146" s="22">
        <f t="shared" si="111"/>
        <v>33.075496899724342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-2.0395418687257919E-13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310.96303212465733</v>
      </c>
      <c r="AO146" s="59">
        <f t="shared" si="144"/>
        <v>248.17359812749166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40.849893836136147</v>
      </c>
      <c r="AV146" s="21">
        <f>EXP(-LN(2)/25)*AV145+(1-EXP(-LN(2)/25))/(LN(2)/25)*Calculateur!AQ146*Calculateur!AS146*VLOOKUP('Données projet'!$B$10,Paramètres!$A$1:$I$89,3,0)*0.475*44/12</f>
        <v>6.0316781871347889</v>
      </c>
      <c r="AW146" s="21">
        <f>EXP(-LN(2)/2)*AW145+(1-EXP(-LN(2)/2))/(LN(2)/2)*AQ146*AT146*VLOOKUP('Données projet'!$B$10,Paramètres!$A$1:$I$89,3,0)*0.475*44/12</f>
        <v>1.1726544894404315E-8</v>
      </c>
      <c r="AX146" s="21">
        <f t="shared" si="114"/>
        <v>46.881572034997475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337.99164391065369</v>
      </c>
      <c r="T147" s="59">
        <f t="shared" si="142"/>
        <v>421.45428232119559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28.504066270727595</v>
      </c>
      <c r="AA147" s="21">
        <f>EXP(-LN(2)/25)*AA146+(1-EXP(-LN(2)/25))/(LN(2)/25)*Calculateur!V147*Calculateur!X147*VLOOKUP('Données projet'!$B$9,Paramètres!$A$1:$I$89,3,0)*0.475*44/12</f>
        <v>3.8918875758579148</v>
      </c>
      <c r="AB147" s="21">
        <f>EXP(-LN(2)/2)*AB146+(1-EXP(-LN(2)/2))/(LN(2)/2)*V147*Y147*VLOOKUP('Données projet'!$B$9,Paramètres!$A$1:$I$89,3,0)*0.475*44/12</f>
        <v>2.2620357750488504E-12</v>
      </c>
      <c r="AC147" s="22">
        <f t="shared" si="111"/>
        <v>32.395953846587773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-2.0395418687257919E-13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310.96303212465733</v>
      </c>
      <c r="AO147" s="59">
        <f t="shared" si="144"/>
        <v>248.17359812749166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40.048852333984506</v>
      </c>
      <c r="AV147" s="21">
        <f>EXP(-LN(2)/25)*AV146+(1-EXP(-LN(2)/25))/(LN(2)/25)*Calculateur!AQ147*Calculateur!AS147*VLOOKUP('Données projet'!$B$10,Paramètres!$A$1:$I$89,3,0)*0.475*44/12</f>
        <v>5.8667416299154178</v>
      </c>
      <c r="AW147" s="21">
        <f>EXP(-LN(2)/2)*AW146+(1-EXP(-LN(2)/2))/(LN(2)/2)*AQ147*AT147*VLOOKUP('Données projet'!$B$10,Paramètres!$A$1:$I$89,3,0)*0.475*44/12</f>
        <v>8.2919194147217782E-9</v>
      </c>
      <c r="AX147" s="21">
        <f t="shared" si="114"/>
        <v>45.915593972191843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337.99164391065369</v>
      </c>
      <c r="T148" s="59">
        <f t="shared" si="142"/>
        <v>421.45428232119559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27.94511891692235</v>
      </c>
      <c r="AA148" s="21">
        <f>EXP(-LN(2)/25)*AA147+(1-EXP(-LN(2)/25))/(LN(2)/25)*Calculateur!V148*Calculateur!X148*VLOOKUP('Données projet'!$B$9,Paramètres!$A$1:$I$89,3,0)*0.475*44/12</f>
        <v>3.7854637054306077</v>
      </c>
      <c r="AB148" s="21">
        <f>EXP(-LN(2)/2)*AB147+(1-EXP(-LN(2)/2))/(LN(2)/2)*V148*Y148*VLOOKUP('Données projet'!$B$9,Paramètres!$A$1:$I$89,3,0)*0.475*44/12</f>
        <v>1.5995008358236099E-12</v>
      </c>
      <c r="AC148" s="22">
        <f t="shared" si="111"/>
        <v>31.730582622354557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-2.0395418687257919E-13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310.96303212465733</v>
      </c>
      <c r="AO148" s="59">
        <f t="shared" si="144"/>
        <v>248.17359812749166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39.263518767102987</v>
      </c>
      <c r="AV148" s="21">
        <f>EXP(-LN(2)/25)*AV147+(1-EXP(-LN(2)/25))/(LN(2)/25)*Calculateur!AQ148*Calculateur!AS148*VLOOKUP('Données projet'!$B$10,Paramètres!$A$1:$I$89,3,0)*0.475*44/12</f>
        <v>5.7063152715268473</v>
      </c>
      <c r="AW148" s="21">
        <f>EXP(-LN(2)/2)*AW147+(1-EXP(-LN(2)/2))/(LN(2)/2)*AQ148*AT148*VLOOKUP('Données projet'!$B$10,Paramètres!$A$1:$I$89,3,0)*0.475*44/12</f>
        <v>5.8632724472021576E-9</v>
      </c>
      <c r="AX148" s="21">
        <f t="shared" si="114"/>
        <v>44.969834044493105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337.99164391065369</v>
      </c>
      <c r="T149" s="59">
        <f t="shared" si="142"/>
        <v>421.45428232119559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27.397132179801005</v>
      </c>
      <c r="AA149" s="21">
        <f>EXP(-LN(2)/25)*AA148+(1-EXP(-LN(2)/25))/(LN(2)/25)*Calculateur!V149*Calculateur!X149*VLOOKUP('Données projet'!$B$9,Paramètres!$A$1:$I$89,3,0)*0.475*44/12</f>
        <v>3.6819500013367232</v>
      </c>
      <c r="AB149" s="21">
        <f>EXP(-LN(2)/2)*AB148+(1-EXP(-LN(2)/2))/(LN(2)/2)*V149*Y149*VLOOKUP('Données projet'!$B$9,Paramètres!$A$1:$I$89,3,0)*0.475*44/12</f>
        <v>1.1310178875244252E-12</v>
      </c>
      <c r="AC149" s="22">
        <f t="shared" si="111"/>
        <v>31.079082181138858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-2.0395418687257919E-13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310.96303212465733</v>
      </c>
      <c r="AO149" s="59">
        <f t="shared" si="144"/>
        <v>248.17359812749166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38.493585112461837</v>
      </c>
      <c r="AV149" s="21">
        <f>EXP(-LN(2)/25)*AV148+(1-EXP(-LN(2)/25))/(LN(2)/25)*Calculateur!AQ149*Calculateur!AS149*VLOOKUP('Données projet'!$B$10,Paramètres!$A$1:$I$89,3,0)*0.475*44/12</f>
        <v>5.550275780344867</v>
      </c>
      <c r="AW149" s="21">
        <f>EXP(-LN(2)/2)*AW148+(1-EXP(-LN(2)/2))/(LN(2)/2)*AQ149*AT149*VLOOKUP('Données projet'!$B$10,Paramètres!$A$1:$I$89,3,0)*0.475*44/12</f>
        <v>4.1459597073608891E-9</v>
      </c>
      <c r="AX149" s="21">
        <f t="shared" si="114"/>
        <v>44.043860896952665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337.99164391065369</v>
      </c>
      <c r="T150" s="59">
        <f t="shared" si="142"/>
        <v>421.45428232119559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26.859891128355702</v>
      </c>
      <c r="AA150" s="21">
        <f>EXP(-LN(2)/25)*AA149+(1-EXP(-LN(2)/25))/(LN(2)/25)*Calculateur!V150*Calculateur!X150*VLOOKUP('Données projet'!$B$9,Paramètres!$A$1:$I$89,3,0)*0.475*44/12</f>
        <v>3.581266884924835</v>
      </c>
      <c r="AB150" s="21">
        <f>EXP(-LN(2)/2)*AB149+(1-EXP(-LN(2)/2))/(LN(2)/2)*V150*Y150*VLOOKUP('Données projet'!$B$9,Paramètres!$A$1:$I$89,3,0)*0.475*44/12</f>
        <v>7.9975041791180496E-13</v>
      </c>
      <c r="AC150" s="22">
        <f t="shared" si="111"/>
        <v>30.441158013281335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-2.0395418687257919E-13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310.96303212465733</v>
      </c>
      <c r="AO150" s="59">
        <f t="shared" si="144"/>
        <v>248.17359812749166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37.738749387175041</v>
      </c>
      <c r="AV150" s="21">
        <f>EXP(-LN(2)/25)*AV149+(1-EXP(-LN(2)/25))/(LN(2)/25)*Calculateur!AQ150*Calculateur!AS150*VLOOKUP('Données projet'!$B$10,Paramètres!$A$1:$I$89,3,0)*0.475*44/12</f>
        <v>5.3985031972550184</v>
      </c>
      <c r="AW150" s="21">
        <f>EXP(-LN(2)/2)*AW149+(1-EXP(-LN(2)/2))/(LN(2)/2)*AQ150*AT150*VLOOKUP('Données projet'!$B$10,Paramètres!$A$1:$I$89,3,0)*0.475*44/12</f>
        <v>2.9316362236010788E-9</v>
      </c>
      <c r="AX150" s="21">
        <f t="shared" si="114"/>
        <v>43.137252587361694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337.99164391065369</v>
      </c>
      <c r="T151" s="59">
        <f t="shared" si="142"/>
        <v>421.45428232119559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26.333185046244555</v>
      </c>
      <c r="AA151" s="21">
        <f>EXP(-LN(2)/25)*AA150+(1-EXP(-LN(2)/25))/(LN(2)/25)*Calculateur!V151*Calculateur!X151*VLOOKUP('Données projet'!$B$9,Paramètres!$A$1:$I$89,3,0)*0.475*44/12</f>
        <v>3.4833369536259249</v>
      </c>
      <c r="AB151" s="21">
        <f>EXP(-LN(2)/2)*AB150+(1-EXP(-LN(2)/2))/(LN(2)/2)*V151*Y151*VLOOKUP('Données projet'!$B$9,Paramètres!$A$1:$I$89,3,0)*0.475*44/12</f>
        <v>5.655089437622126E-13</v>
      </c>
      <c r="AC151" s="22">
        <f t="shared" si="111"/>
        <v>29.816521999871046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-2.0395418687257919E-13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310.96303212465733</v>
      </c>
      <c r="AO151" s="59">
        <f t="shared" si="144"/>
        <v>248.17359812749166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36.998715530056792</v>
      </c>
      <c r="AV151" s="21">
        <f>EXP(-LN(2)/25)*AV150+(1-EXP(-LN(2)/25))/(LN(2)/25)*Calculateur!AQ151*Calculateur!AS151*VLOOKUP('Données projet'!$B$10,Paramètres!$A$1:$I$89,3,0)*0.475*44/12</f>
        <v>5.2508808434311351</v>
      </c>
      <c r="AW151" s="21">
        <f>EXP(-LN(2)/2)*AW150+(1-EXP(-LN(2)/2))/(LN(2)/2)*AQ151*AT151*VLOOKUP('Données projet'!$B$10,Paramètres!$A$1:$I$89,3,0)*0.475*44/12</f>
        <v>2.0729798536804446E-9</v>
      </c>
      <c r="AX151" s="21">
        <f t="shared" si="114"/>
        <v>42.249596375560905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337.99164391065369</v>
      </c>
      <c r="T152" s="59">
        <f t="shared" si="142"/>
        <v>421.45428232119559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25.816807349144621</v>
      </c>
      <c r="AA152" s="21">
        <f>EXP(-LN(2)/25)*AA151+(1-EXP(-LN(2)/25))/(LN(2)/25)*Calculateur!V152*Calculateur!X152*VLOOKUP('Données projet'!$B$9,Paramètres!$A$1:$I$89,3,0)*0.475*44/12</f>
        <v>3.3880849214482947</v>
      </c>
      <c r="AB152" s="21">
        <f>EXP(-LN(2)/2)*AB151+(1-EXP(-LN(2)/2))/(LN(2)/2)*V152*Y152*VLOOKUP('Données projet'!$B$9,Paramètres!$A$1:$I$89,3,0)*0.475*44/12</f>
        <v>3.9987520895590248E-13</v>
      </c>
      <c r="AC152" s="22">
        <f t="shared" si="111"/>
        <v>29.204892270593316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-2.0395418687257919E-13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310.96303212465733</v>
      </c>
      <c r="AO152" s="59">
        <f t="shared" si="144"/>
        <v>248.17359812749166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36.273193285500547</v>
      </c>
      <c r="AV152" s="21">
        <f>EXP(-LN(2)/25)*AV151+(1-EXP(-LN(2)/25))/(LN(2)/25)*Calculateur!AQ152*Calculateur!AS152*VLOOKUP('Données projet'!$B$10,Paramètres!$A$1:$I$89,3,0)*0.475*44/12</f>
        <v>5.107295230635688</v>
      </c>
      <c r="AW152" s="21">
        <f>EXP(-LN(2)/2)*AW151+(1-EXP(-LN(2)/2))/(LN(2)/2)*AQ152*AT152*VLOOKUP('Données projet'!$B$10,Paramètres!$A$1:$I$89,3,0)*0.475*44/12</f>
        <v>1.4658181118005394E-9</v>
      </c>
      <c r="AX152" s="21">
        <f t="shared" si="114"/>
        <v>41.380488517602053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337.99164391065369</v>
      </c>
      <c r="T153" s="59">
        <f t="shared" si="142"/>
        <v>421.45428232119559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25.310555503725521</v>
      </c>
      <c r="AA153" s="21">
        <f>EXP(-LN(2)/25)*AA152+(1-EXP(-LN(2)/25))/(LN(2)/25)*Calculateur!V153*Calculateur!X153*VLOOKUP('Données projet'!$B$9,Paramètres!$A$1:$I$89,3,0)*0.475*44/12</f>
        <v>3.2954375610996487</v>
      </c>
      <c r="AB153" s="21">
        <f>EXP(-LN(2)/2)*AB152+(1-EXP(-LN(2)/2))/(LN(2)/2)*V153*Y153*VLOOKUP('Données projet'!$B$9,Paramètres!$A$1:$I$89,3,0)*0.475*44/12</f>
        <v>2.827544718811063E-13</v>
      </c>
      <c r="AC153" s="22">
        <f t="shared" si="111"/>
        <v>28.605993064825455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-2.0395418687257919E-13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310.96303212465733</v>
      </c>
      <c r="AO153" s="59">
        <f t="shared" si="144"/>
        <v>248.17359812749166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35.561898089635179</v>
      </c>
      <c r="AV153" s="21">
        <f>EXP(-LN(2)/25)*AV152+(1-EXP(-LN(2)/25))/(LN(2)/25)*Calculateur!AQ153*Calculateur!AS153*VLOOKUP('Données projet'!$B$10,Paramètres!$A$1:$I$89,3,0)*0.475*44/12</f>
        <v>4.9676359739729721</v>
      </c>
      <c r="AW153" s="21">
        <f>EXP(-LN(2)/2)*AW152+(1-EXP(-LN(2)/2))/(LN(2)/2)*AQ153*AT153*VLOOKUP('Données projet'!$B$10,Paramètres!$A$1:$I$89,3,0)*0.475*44/12</f>
        <v>1.0364899268402223E-9</v>
      </c>
      <c r="AX153" s="21">
        <f t="shared" si="114"/>
        <v>40.529534064644643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337.99164391065369</v>
      </c>
      <c r="T154" s="59">
        <f t="shared" si="142"/>
        <v>421.45428232119559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24.814230948211954</v>
      </c>
      <c r="AA154" s="21">
        <f>EXP(-LN(2)/25)*AA153+(1-EXP(-LN(2)/25))/(LN(2)/25)*Calculateur!V154*Calculateur!X154*VLOOKUP('Données projet'!$B$9,Paramètres!$A$1:$I$89,3,0)*0.475*44/12</f>
        <v>3.2053236476918494</v>
      </c>
      <c r="AB154" s="21">
        <f>EXP(-LN(2)/2)*AB153+(1-EXP(-LN(2)/2))/(LN(2)/2)*V154*Y154*VLOOKUP('Données projet'!$B$9,Paramètres!$A$1:$I$89,3,0)*0.475*44/12</f>
        <v>1.9993760447795124E-13</v>
      </c>
      <c r="AC154" s="22">
        <f t="shared" ref="AC154:AC203" si="163">SUM(Z154:AB154)</f>
        <v>28.019554595904001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-2.0395418687257919E-13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310.96303212465733</v>
      </c>
      <c r="AO154" s="59">
        <f t="shared" si="144"/>
        <v>248.17359812749166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34.864550958713494</v>
      </c>
      <c r="AV154" s="21">
        <f>EXP(-LN(2)/25)*AV153+(1-EXP(-LN(2)/25))/(LN(2)/25)*Calculateur!AQ154*Calculateur!AS154*VLOOKUP('Données projet'!$B$10,Paramètres!$A$1:$I$89,3,0)*0.475*44/12</f>
        <v>4.8317957070280588</v>
      </c>
      <c r="AW154" s="21">
        <f>EXP(-LN(2)/2)*AW153+(1-EXP(-LN(2)/2))/(LN(2)/2)*AQ154*AT154*VLOOKUP('Données projet'!$B$10,Paramètres!$A$1:$I$89,3,0)*0.475*44/12</f>
        <v>7.3290905590026971E-10</v>
      </c>
      <c r="AX154" s="21">
        <f t="shared" ref="AX154:AX203" si="166">SUM(AU154:AW154)</f>
        <v>39.696346666474462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337.99164391065369</v>
      </c>
      <c r="T155" s="59">
        <f t="shared" si="142"/>
        <v>421.45428232119559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24.327639014503919</v>
      </c>
      <c r="AA155" s="21">
        <f>EXP(-LN(2)/25)*AA154+(1-EXP(-LN(2)/25))/(LN(2)/25)*Calculateur!V155*Calculateur!X155*VLOOKUP('Données projet'!$B$9,Paramètres!$A$1:$I$89,3,0)*0.475*44/12</f>
        <v>3.1176739039850712</v>
      </c>
      <c r="AB155" s="21">
        <f>EXP(-LN(2)/2)*AB154+(1-EXP(-LN(2)/2))/(LN(2)/2)*V155*Y155*VLOOKUP('Données projet'!$B$9,Paramètres!$A$1:$I$89,3,0)*0.475*44/12</f>
        <v>1.4137723594055315E-13</v>
      </c>
      <c r="AC155" s="22">
        <f t="shared" si="163"/>
        <v>27.445312918489133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-2.0395418687257919E-13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310.96303212465733</v>
      </c>
      <c r="AO155" s="59">
        <f t="shared" si="144"/>
        <v>248.17359812749166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34.180878379689439</v>
      </c>
      <c r="AV155" s="21">
        <f>EXP(-LN(2)/25)*AV154+(1-EXP(-LN(2)/25))/(LN(2)/25)*Calculateur!AQ155*Calculateur!AS155*VLOOKUP('Données projet'!$B$10,Paramètres!$A$1:$I$89,3,0)*0.475*44/12</f>
        <v>4.6996699993262832</v>
      </c>
      <c r="AW155" s="21">
        <f>EXP(-LN(2)/2)*AW154+(1-EXP(-LN(2)/2))/(LN(2)/2)*AQ155*AT155*VLOOKUP('Données projet'!$B$10,Paramètres!$A$1:$I$89,3,0)*0.475*44/12</f>
        <v>5.1824496342011114E-10</v>
      </c>
      <c r="AX155" s="21">
        <f t="shared" si="166"/>
        <v>38.880548379533963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337.99164391065369</v>
      </c>
      <c r="T156" s="59">
        <f t="shared" si="142"/>
        <v>421.45428232119559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23.850588851824128</v>
      </c>
      <c r="AA156" s="21">
        <f>EXP(-LN(2)/25)*AA155+(1-EXP(-LN(2)/25))/(LN(2)/25)*Calculateur!V156*Calculateur!X156*VLOOKUP('Données projet'!$B$9,Paramètres!$A$1:$I$89,3,0)*0.475*44/12</f>
        <v>3.0324209471292543</v>
      </c>
      <c r="AB156" s="21">
        <f>EXP(-LN(2)/2)*AB155+(1-EXP(-LN(2)/2))/(LN(2)/2)*V156*Y156*VLOOKUP('Données projet'!$B$9,Paramètres!$A$1:$I$89,3,0)*0.475*44/12</f>
        <v>9.996880223897562E-14</v>
      </c>
      <c r="AC156" s="22">
        <f t="shared" si="163"/>
        <v>26.883009798953481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-2.0395418687257919E-13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310.96303212465733</v>
      </c>
      <c r="AO156" s="59">
        <f t="shared" si="144"/>
        <v>248.17359812749166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33.510612202940948</v>
      </c>
      <c r="AV156" s="21">
        <f>EXP(-LN(2)/25)*AV155+(1-EXP(-LN(2)/25))/(LN(2)/25)*Calculateur!AQ156*Calculateur!AS156*VLOOKUP('Données projet'!$B$10,Paramètres!$A$1:$I$89,3,0)*0.475*44/12</f>
        <v>4.571157276049802</v>
      </c>
      <c r="AW156" s="21">
        <f>EXP(-LN(2)/2)*AW155+(1-EXP(-LN(2)/2))/(LN(2)/2)*AQ156*AT156*VLOOKUP('Données projet'!$B$10,Paramètres!$A$1:$I$89,3,0)*0.475*44/12</f>
        <v>3.6645452795013485E-10</v>
      </c>
      <c r="AX156" s="21">
        <f t="shared" si="166"/>
        <v>38.081769479357206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337.99164391065369</v>
      </c>
      <c r="T157" s="59">
        <f t="shared" si="142"/>
        <v>421.45428232119559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23.382893351862617</v>
      </c>
      <c r="AA157" s="21">
        <f>EXP(-LN(2)/25)*AA156+(1-EXP(-LN(2)/25))/(LN(2)/25)*Calculateur!V157*Calculateur!X157*VLOOKUP('Données projet'!$B$9,Paramètres!$A$1:$I$89,3,0)*0.475*44/12</f>
        <v>2.949499236861918</v>
      </c>
      <c r="AB157" s="21">
        <f>EXP(-LN(2)/2)*AB156+(1-EXP(-LN(2)/2))/(LN(2)/2)*V157*Y157*VLOOKUP('Données projet'!$B$9,Paramètres!$A$1:$I$89,3,0)*0.475*44/12</f>
        <v>7.0688617970276575E-14</v>
      </c>
      <c r="AC157" s="22">
        <f t="shared" si="163"/>
        <v>26.332392588724606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-2.0395418687257919E-13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310.96303212465733</v>
      </c>
      <c r="AO157" s="59">
        <f t="shared" si="144"/>
        <v>248.17359812749166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32.853489537096493</v>
      </c>
      <c r="AV157" s="21">
        <f>EXP(-LN(2)/25)*AV156+(1-EXP(-LN(2)/25))/(LN(2)/25)*Calculateur!AQ157*Calculateur!AS157*VLOOKUP('Données projet'!$B$10,Paramètres!$A$1:$I$89,3,0)*0.475*44/12</f>
        <v>4.4461587399495066</v>
      </c>
      <c r="AW157" s="21">
        <f>EXP(-LN(2)/2)*AW156+(1-EXP(-LN(2)/2))/(LN(2)/2)*AQ157*AT157*VLOOKUP('Données projet'!$B$10,Paramètres!$A$1:$I$89,3,0)*0.475*44/12</f>
        <v>2.5912248171005557E-10</v>
      </c>
      <c r="AX157" s="21">
        <f t="shared" si="166"/>
        <v>37.299648277305124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337.99164391065369</v>
      </c>
      <c r="T158" s="59">
        <f t="shared" si="142"/>
        <v>421.45428232119559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22.924369075389265</v>
      </c>
      <c r="AA158" s="21">
        <f>EXP(-LN(2)/25)*AA157+(1-EXP(-LN(2)/25))/(LN(2)/25)*Calculateur!V158*Calculateur!X158*VLOOKUP('Données projet'!$B$9,Paramètres!$A$1:$I$89,3,0)*0.475*44/12</f>
        <v>2.8688450251225053</v>
      </c>
      <c r="AB158" s="21">
        <f>EXP(-LN(2)/2)*AB157+(1-EXP(-LN(2)/2))/(LN(2)/2)*V158*Y158*VLOOKUP('Données projet'!$B$9,Paramètres!$A$1:$I$89,3,0)*0.475*44/12</f>
        <v>4.998440111948781E-14</v>
      </c>
      <c r="AC158" s="22">
        <f t="shared" si="163"/>
        <v>25.793214100511818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-2.0395418687257919E-13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310.96303212465733</v>
      </c>
      <c r="AO158" s="59">
        <f t="shared" si="144"/>
        <v>248.17359812749166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32.209252645923996</v>
      </c>
      <c r="AV158" s="21">
        <f>EXP(-LN(2)/25)*AV157+(1-EXP(-LN(2)/25))/(LN(2)/25)*Calculateur!AQ158*Calculateur!AS158*VLOOKUP('Données projet'!$B$10,Paramètres!$A$1:$I$89,3,0)*0.475*44/12</f>
        <v>4.3245782953922607</v>
      </c>
      <c r="AW158" s="21">
        <f>EXP(-LN(2)/2)*AW157+(1-EXP(-LN(2)/2))/(LN(2)/2)*AQ158*AT158*VLOOKUP('Données projet'!$B$10,Paramètres!$A$1:$I$89,3,0)*0.475*44/12</f>
        <v>1.8322726397506743E-10</v>
      </c>
      <c r="AX158" s="21">
        <f t="shared" si="166"/>
        <v>36.533830941499481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337.99164391065369</v>
      </c>
      <c r="T159" s="59">
        <f t="shared" si="142"/>
        <v>421.45428232119559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22.474836180305363</v>
      </c>
      <c r="AA159" s="21">
        <f>EXP(-LN(2)/25)*AA158+(1-EXP(-LN(2)/25))/(LN(2)/25)*Calculateur!V159*Calculateur!X159*VLOOKUP('Données projet'!$B$9,Paramètres!$A$1:$I$89,3,0)*0.475*44/12</f>
        <v>2.7903963070445275</v>
      </c>
      <c r="AB159" s="21">
        <f>EXP(-LN(2)/2)*AB158+(1-EXP(-LN(2)/2))/(LN(2)/2)*V159*Y159*VLOOKUP('Données projet'!$B$9,Paramètres!$A$1:$I$89,3,0)*0.475*44/12</f>
        <v>3.5344308985138288E-14</v>
      </c>
      <c r="AC159" s="22">
        <f t="shared" si="163"/>
        <v>25.265232487349927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-2.0395418687257919E-13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310.96303212465733</v>
      </c>
      <c r="AO159" s="59">
        <f t="shared" si="144"/>
        <v>248.17359812749166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31.57764884724169</v>
      </c>
      <c r="AV159" s="21">
        <f>EXP(-LN(2)/25)*AV158+(1-EXP(-LN(2)/25))/(LN(2)/25)*Calculateur!AQ159*Calculateur!AS159*VLOOKUP('Données projet'!$B$10,Paramètres!$A$1:$I$89,3,0)*0.475*44/12</f>
        <v>4.2063224744850709</v>
      </c>
      <c r="AW159" s="21">
        <f>EXP(-LN(2)/2)*AW158+(1-EXP(-LN(2)/2))/(LN(2)/2)*AQ159*AT159*VLOOKUP('Données projet'!$B$10,Paramètres!$A$1:$I$89,3,0)*0.475*44/12</f>
        <v>1.2956124085502778E-10</v>
      </c>
      <c r="AX159" s="21">
        <f t="shared" si="166"/>
        <v>35.78397132185632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337.99164391065369</v>
      </c>
      <c r="T160" s="59">
        <f t="shared" si="142"/>
        <v>421.45428232119559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22.034118351106063</v>
      </c>
      <c r="AA160" s="21">
        <f>EXP(-LN(2)/25)*AA159+(1-EXP(-LN(2)/25))/(LN(2)/25)*Calculateur!V160*Calculateur!X160*VLOOKUP('Données projet'!$B$9,Paramètres!$A$1:$I$89,3,0)*0.475*44/12</f>
        <v>2.7140927732878306</v>
      </c>
      <c r="AB160" s="21">
        <f>EXP(-LN(2)/2)*AB159+(1-EXP(-LN(2)/2))/(LN(2)/2)*V160*Y160*VLOOKUP('Données projet'!$B$9,Paramètres!$A$1:$I$89,3,0)*0.475*44/12</f>
        <v>2.4992200559743905E-14</v>
      </c>
      <c r="AC160" s="22">
        <f t="shared" si="163"/>
        <v>24.748211124393919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-2.0395418687257919E-13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310.96303212465733</v>
      </c>
      <c r="AO160" s="59">
        <f t="shared" si="144"/>
        <v>248.17359812749166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30.958430413811264</v>
      </c>
      <c r="AV160" s="21">
        <f>EXP(-LN(2)/25)*AV159+(1-EXP(-LN(2)/25))/(LN(2)/25)*Calculateur!AQ160*Calculateur!AS160*VLOOKUP('Données projet'!$B$10,Paramètres!$A$1:$I$89,3,0)*0.475*44/12</f>
        <v>4.0913003652193911</v>
      </c>
      <c r="AW160" s="21">
        <f>EXP(-LN(2)/2)*AW159+(1-EXP(-LN(2)/2))/(LN(2)/2)*AQ160*AT160*VLOOKUP('Données projet'!$B$10,Paramètres!$A$1:$I$89,3,0)*0.475*44/12</f>
        <v>9.1613631987533713E-11</v>
      </c>
      <c r="AX160" s="21">
        <f t="shared" si="166"/>
        <v>35.049730779122264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337.99164391065369</v>
      </c>
      <c r="T161" s="59">
        <f t="shared" si="142"/>
        <v>421.45428232119559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21.60204272972603</v>
      </c>
      <c r="AA161" s="21">
        <f>EXP(-LN(2)/25)*AA160+(1-EXP(-LN(2)/25))/(LN(2)/25)*Calculateur!V161*Calculateur!X161*VLOOKUP('Données projet'!$B$9,Paramètres!$A$1:$I$89,3,0)*0.475*44/12</f>
        <v>2.6398757636743393</v>
      </c>
      <c r="AB161" s="21">
        <f>EXP(-LN(2)/2)*AB160+(1-EXP(-LN(2)/2))/(LN(2)/2)*V161*Y161*VLOOKUP('Données projet'!$B$9,Paramètres!$A$1:$I$89,3,0)*0.475*44/12</f>
        <v>1.7672154492569144E-14</v>
      </c>
      <c r="AC161" s="22">
        <f t="shared" si="163"/>
        <v>24.241918493400387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-2.0395418687257919E-13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310.96303212465733</v>
      </c>
      <c r="AO161" s="59">
        <f t="shared" si="144"/>
        <v>248.17359812749166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30.351354476174457</v>
      </c>
      <c r="AV161" s="21">
        <f>EXP(-LN(2)/25)*AV160+(1-EXP(-LN(2)/25))/(LN(2)/25)*Calculateur!AQ161*Calculateur!AS161*VLOOKUP('Données projet'!$B$10,Paramètres!$A$1:$I$89,3,0)*0.475*44/12</f>
        <v>3.9794235415803314</v>
      </c>
      <c r="AW161" s="21">
        <f>EXP(-LN(2)/2)*AW160+(1-EXP(-LN(2)/2))/(LN(2)/2)*AQ161*AT161*VLOOKUP('Données projet'!$B$10,Paramètres!$A$1:$I$89,3,0)*0.475*44/12</f>
        <v>6.4780620427513892E-11</v>
      </c>
      <c r="AX161" s="21">
        <f t="shared" si="166"/>
        <v>34.330778017819569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337.99164391065369</v>
      </c>
      <c r="T162" s="59">
        <f t="shared" si="142"/>
        <v>421.45428232119559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21.178439847741149</v>
      </c>
      <c r="AA162" s="21">
        <f>EXP(-LN(2)/25)*AA161+(1-EXP(-LN(2)/25))/(LN(2)/25)*Calculateur!V162*Calculateur!X162*VLOOKUP('Données projet'!$B$9,Paramètres!$A$1:$I$89,3,0)*0.475*44/12</f>
        <v>2.5676882220916317</v>
      </c>
      <c r="AB162" s="21">
        <f>EXP(-LN(2)/2)*AB161+(1-EXP(-LN(2)/2))/(LN(2)/2)*V162*Y162*VLOOKUP('Données projet'!$B$9,Paramètres!$A$1:$I$89,3,0)*0.475*44/12</f>
        <v>1.2496100279871953E-14</v>
      </c>
      <c r="AC162" s="22">
        <f t="shared" si="163"/>
        <v>23.746128069832796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-2.0395418687257919E-13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310.96303212465733</v>
      </c>
      <c r="AO162" s="59">
        <f t="shared" si="144"/>
        <v>248.17359812749166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29.756182927394949</v>
      </c>
      <c r="AV162" s="21">
        <f>EXP(-LN(2)/25)*AV161+(1-EXP(-LN(2)/25))/(LN(2)/25)*Calculateur!AQ162*Calculateur!AS162*VLOOKUP('Données projet'!$B$10,Paramètres!$A$1:$I$89,3,0)*0.475*44/12</f>
        <v>3.8706059955670282</v>
      </c>
      <c r="AW162" s="21">
        <f>EXP(-LN(2)/2)*AW161+(1-EXP(-LN(2)/2))/(LN(2)/2)*AQ162*AT162*VLOOKUP('Données projet'!$B$10,Paramètres!$A$1:$I$89,3,0)*0.475*44/12</f>
        <v>4.5806815993766857E-11</v>
      </c>
      <c r="AX162" s="21">
        <f t="shared" si="166"/>
        <v>33.626788923007787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337.99164391065369</v>
      </c>
      <c r="T163" s="59">
        <f t="shared" si="142"/>
        <v>421.45428232119559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20.763143559899749</v>
      </c>
      <c r="AA163" s="21">
        <f>EXP(-LN(2)/25)*AA162+(1-EXP(-LN(2)/25))/(LN(2)/25)*Calculateur!V163*Calculateur!X163*VLOOKUP('Données projet'!$B$9,Paramètres!$A$1:$I$89,3,0)*0.475*44/12</f>
        <v>2.4974746526296809</v>
      </c>
      <c r="AB163" s="21">
        <f>EXP(-LN(2)/2)*AB162+(1-EXP(-LN(2)/2))/(LN(2)/2)*V163*Y163*VLOOKUP('Données projet'!$B$9,Paramètres!$A$1:$I$89,3,0)*0.475*44/12</f>
        <v>8.8360772462845719E-15</v>
      </c>
      <c r="AC163" s="22">
        <f t="shared" si="163"/>
        <v>23.260618212529437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-2.0395418687257919E-13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310.96303212465733</v>
      </c>
      <c r="AO163" s="59">
        <f t="shared" si="144"/>
        <v>248.17359812749166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29.172682329668209</v>
      </c>
      <c r="AV163" s="21">
        <f>EXP(-LN(2)/25)*AV162+(1-EXP(-LN(2)/25))/(LN(2)/25)*Calculateur!AQ163*Calculateur!AS163*VLOOKUP('Données projet'!$B$10,Paramètres!$A$1:$I$89,3,0)*0.475*44/12</f>
        <v>3.7647640710719248</v>
      </c>
      <c r="AW163" s="21">
        <f>EXP(-LN(2)/2)*AW162+(1-EXP(-LN(2)/2))/(LN(2)/2)*AQ163*AT163*VLOOKUP('Données projet'!$B$10,Paramètres!$A$1:$I$89,3,0)*0.475*44/12</f>
        <v>3.2390310213756946E-11</v>
      </c>
      <c r="AX163" s="21">
        <f t="shared" si="166"/>
        <v>32.937446400772529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337.99164391065369</v>
      </c>
      <c r="T164" s="59">
        <f t="shared" si="142"/>
        <v>421.45428232119559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20.355990978957195</v>
      </c>
      <c r="AA164" s="21">
        <f>EXP(-LN(2)/25)*AA163+(1-EXP(-LN(2)/25))/(LN(2)/25)*Calculateur!V164*Calculateur!X164*VLOOKUP('Données projet'!$B$9,Paramètres!$A$1:$I$89,3,0)*0.475*44/12</f>
        <v>2.4291810769170383</v>
      </c>
      <c r="AB164" s="21">
        <f>EXP(-LN(2)/2)*AB163+(1-EXP(-LN(2)/2))/(LN(2)/2)*V164*Y164*VLOOKUP('Données projet'!$B$9,Paramètres!$A$1:$I$89,3,0)*0.475*44/12</f>
        <v>6.2480501399359763E-15</v>
      </c>
      <c r="AC164" s="22">
        <f t="shared" si="163"/>
        <v>22.785172055874241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-2.0395418687257919E-13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310.96303212465733</v>
      </c>
      <c r="AO164" s="59">
        <f t="shared" si="144"/>
        <v>248.17359812749166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28.600623822762667</v>
      </c>
      <c r="AV164" s="21">
        <f>EXP(-LN(2)/25)*AV163+(1-EXP(-LN(2)/25))/(LN(2)/25)*Calculateur!AQ164*Calculateur!AS164*VLOOKUP('Données projet'!$B$10,Paramètres!$A$1:$I$89,3,0)*0.475*44/12</f>
        <v>3.6618163995681252</v>
      </c>
      <c r="AW164" s="21">
        <f>EXP(-LN(2)/2)*AW163+(1-EXP(-LN(2)/2))/(LN(2)/2)*AQ164*AT164*VLOOKUP('Données projet'!$B$10,Paramètres!$A$1:$I$89,3,0)*0.475*44/12</f>
        <v>2.2903407996883428E-11</v>
      </c>
      <c r="AX164" s="21">
        <f t="shared" si="166"/>
        <v>32.262440222353696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337.99164391065369</v>
      </c>
      <c r="T165" s="59">
        <f t="shared" si="142"/>
        <v>421.45428232119559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19.956822411788369</v>
      </c>
      <c r="AA165" s="21">
        <f>EXP(-LN(2)/25)*AA164+(1-EXP(-LN(2)/25))/(LN(2)/25)*Calculateur!V165*Calculateur!X165*VLOOKUP('Données projet'!$B$9,Paramètres!$A$1:$I$89,3,0)*0.475*44/12</f>
        <v>2.3627549926236608</v>
      </c>
      <c r="AB165" s="21">
        <f>EXP(-LN(2)/2)*AB164+(1-EXP(-LN(2)/2))/(LN(2)/2)*V165*Y165*VLOOKUP('Données projet'!$B$9,Paramètres!$A$1:$I$89,3,0)*0.475*44/12</f>
        <v>4.418038623142286E-15</v>
      </c>
      <c r="AC165" s="22">
        <f t="shared" si="163"/>
        <v>22.319577404412033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-2.0395418687257919E-13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310.96303212465733</v>
      </c>
      <c r="AO165" s="59">
        <f t="shared" si="144"/>
        <v>248.17359812749166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28.039783034256306</v>
      </c>
      <c r="AV165" s="21">
        <f>EXP(-LN(2)/25)*AV164+(1-EXP(-LN(2)/25))/(LN(2)/25)*Calculateur!AQ165*Calculateur!AS165*VLOOKUP('Données projet'!$B$10,Paramètres!$A$1:$I$89,3,0)*0.475*44/12</f>
        <v>3.5616838375553797</v>
      </c>
      <c r="AW165" s="21">
        <f>EXP(-LN(2)/2)*AW164+(1-EXP(-LN(2)/2))/(LN(2)/2)*AQ165*AT165*VLOOKUP('Données projet'!$B$10,Paramètres!$A$1:$I$89,3,0)*0.475*44/12</f>
        <v>1.6195155106878473E-11</v>
      </c>
      <c r="AX165" s="21">
        <f t="shared" si="166"/>
        <v>31.601466871827881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337.99164391065369</v>
      </c>
      <c r="T166" s="59">
        <f t="shared" si="142"/>
        <v>421.45428232119559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19.565481296752939</v>
      </c>
      <c r="AA166" s="21">
        <f>EXP(-LN(2)/25)*AA165+(1-EXP(-LN(2)/25))/(LN(2)/25)*Calculateur!V166*Calculateur!X166*VLOOKUP('Données projet'!$B$9,Paramètres!$A$1:$I$89,3,0)*0.475*44/12</f>
        <v>2.298145333098482</v>
      </c>
      <c r="AB166" s="21">
        <f>EXP(-LN(2)/2)*AB165+(1-EXP(-LN(2)/2))/(LN(2)/2)*V166*Y166*VLOOKUP('Données projet'!$B$9,Paramètres!$A$1:$I$89,3,0)*0.475*44/12</f>
        <v>3.1240250699679881E-15</v>
      </c>
      <c r="AC166" s="22">
        <f t="shared" si="163"/>
        <v>21.863626629851424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-2.0395418687257919E-13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310.96303212465733</v>
      </c>
      <c r="AO166" s="59">
        <f t="shared" si="144"/>
        <v>248.17359812749166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27.489939991533451</v>
      </c>
      <c r="AV166" s="21">
        <f>EXP(-LN(2)/25)*AV165+(1-EXP(-LN(2)/25))/(LN(2)/25)*Calculateur!AQ166*Calculateur!AS166*VLOOKUP('Données projet'!$B$10,Paramètres!$A$1:$I$89,3,0)*0.475*44/12</f>
        <v>3.4642894057166149</v>
      </c>
      <c r="AW166" s="21">
        <f>EXP(-LN(2)/2)*AW165+(1-EXP(-LN(2)/2))/(LN(2)/2)*AQ166*AT166*VLOOKUP('Données projet'!$B$10,Paramètres!$A$1:$I$89,3,0)*0.475*44/12</f>
        <v>1.1451703998441714E-11</v>
      </c>
      <c r="AX166" s="21">
        <f t="shared" si="166"/>
        <v>30.954229397261518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337.99164391065369</v>
      </c>
      <c r="T167" s="59">
        <f t="shared" si="142"/>
        <v>421.45428232119559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19.181814142288843</v>
      </c>
      <c r="AA167" s="21">
        <f>EXP(-LN(2)/25)*AA166+(1-EXP(-LN(2)/25))/(LN(2)/25)*Calculateur!V167*Calculateur!X167*VLOOKUP('Données projet'!$B$9,Paramètres!$A$1:$I$89,3,0)*0.475*44/12</f>
        <v>2.2353024281106935</v>
      </c>
      <c r="AB167" s="21">
        <f>EXP(-LN(2)/2)*AB166+(1-EXP(-LN(2)/2))/(LN(2)/2)*V167*Y167*VLOOKUP('Données projet'!$B$9,Paramètres!$A$1:$I$89,3,0)*0.475*44/12</f>
        <v>2.209019311571143E-15</v>
      </c>
      <c r="AC167" s="22">
        <f t="shared" si="163"/>
        <v>21.417116570399539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-2.0395418687257919E-13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310.96303212465733</v>
      </c>
      <c r="AO167" s="59">
        <f t="shared" si="144"/>
        <v>248.17359812749166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26.950879035507249</v>
      </c>
      <c r="AV167" s="21">
        <f>EXP(-LN(2)/25)*AV166+(1-EXP(-LN(2)/25))/(LN(2)/25)*Calculateur!AQ167*Calculateur!AS167*VLOOKUP('Données projet'!$B$10,Paramètres!$A$1:$I$89,3,0)*0.475*44/12</f>
        <v>3.369558229738232</v>
      </c>
      <c r="AW167" s="21">
        <f>EXP(-LN(2)/2)*AW166+(1-EXP(-LN(2)/2))/(LN(2)/2)*AQ167*AT167*VLOOKUP('Données projet'!$B$10,Paramètres!$A$1:$I$89,3,0)*0.475*44/12</f>
        <v>8.0975775534392366E-12</v>
      </c>
      <c r="AX167" s="21">
        <f t="shared" si="166"/>
        <v>30.320437265253577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337.99164391065369</v>
      </c>
      <c r="T168" s="59">
        <f t="shared" si="142"/>
        <v>421.45428232119559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18.80567046670993</v>
      </c>
      <c r="AA168" s="21">
        <f>EXP(-LN(2)/25)*AA167+(1-EXP(-LN(2)/25))/(LN(2)/25)*Calculateur!V168*Calculateur!X168*VLOOKUP('Données projet'!$B$9,Paramètres!$A$1:$I$89,3,0)*0.475*44/12</f>
        <v>2.1741779656645606</v>
      </c>
      <c r="AB168" s="21">
        <f>EXP(-LN(2)/2)*AB167+(1-EXP(-LN(2)/2))/(LN(2)/2)*V168*Y168*VLOOKUP('Données projet'!$B$9,Paramètres!$A$1:$I$89,3,0)*0.475*44/12</f>
        <v>1.5620125349839941E-15</v>
      </c>
      <c r="AC168" s="22">
        <f t="shared" si="163"/>
        <v>20.979848432374492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-2.0395418687257919E-13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310.96303212465733</v>
      </c>
      <c r="AO168" s="59">
        <f t="shared" si="144"/>
        <v>248.17359812749166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26.422388736034005</v>
      </c>
      <c r="AV168" s="21">
        <f>EXP(-LN(2)/25)*AV167+(1-EXP(-LN(2)/25))/(LN(2)/25)*Calculateur!AQ168*Calculateur!AS168*VLOOKUP('Données projet'!$B$10,Paramètres!$A$1:$I$89,3,0)*0.475*44/12</f>
        <v>3.2774174827486742</v>
      </c>
      <c r="AW168" s="21">
        <f>EXP(-LN(2)/2)*AW167+(1-EXP(-LN(2)/2))/(LN(2)/2)*AQ168*AT168*VLOOKUP('Données projet'!$B$10,Paramètres!$A$1:$I$89,3,0)*0.475*44/12</f>
        <v>5.7258519992208571E-12</v>
      </c>
      <c r="AX168" s="21">
        <f t="shared" si="166"/>
        <v>29.699806218788407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337.99164391065369</v>
      </c>
      <c r="T169" s="59">
        <f t="shared" si="142"/>
        <v>421.45428232119559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18.436902739184134</v>
      </c>
      <c r="AA169" s="21">
        <f>EXP(-LN(2)/25)*AA168+(1-EXP(-LN(2)/25))/(LN(2)/25)*Calculateur!V169*Calculateur!X169*VLOOKUP('Données projet'!$B$9,Paramètres!$A$1:$I$89,3,0)*0.475*44/12</f>
        <v>2.1147249548584131</v>
      </c>
      <c r="AB169" s="21">
        <f>EXP(-LN(2)/2)*AB168+(1-EXP(-LN(2)/2))/(LN(2)/2)*V169*Y169*VLOOKUP('Données projet'!$B$9,Paramètres!$A$1:$I$89,3,0)*0.475*44/12</f>
        <v>1.1045096557855715E-15</v>
      </c>
      <c r="AC169" s="22">
        <f t="shared" si="163"/>
        <v>20.551627694042548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-2.0395418687257919E-13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310.96303212465733</v>
      </c>
      <c r="AO169" s="59">
        <f t="shared" si="144"/>
        <v>248.17359812749166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25.904261808986178</v>
      </c>
      <c r="AV169" s="21">
        <f>EXP(-LN(2)/25)*AV168+(1-EXP(-LN(2)/25))/(LN(2)/25)*Calculateur!AQ169*Calculateur!AS169*VLOOKUP('Données projet'!$B$10,Paramètres!$A$1:$I$89,3,0)*0.475*44/12</f>
        <v>3.1877963293310168</v>
      </c>
      <c r="AW169" s="21">
        <f>EXP(-LN(2)/2)*AW168+(1-EXP(-LN(2)/2))/(LN(2)/2)*AQ169*AT169*VLOOKUP('Données projet'!$B$10,Paramètres!$A$1:$I$89,3,0)*0.475*44/12</f>
        <v>4.0487887767196183E-12</v>
      </c>
      <c r="AX169" s="21">
        <f t="shared" si="166"/>
        <v>29.092058138321246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337.99164391065369</v>
      </c>
      <c r="T170" s="59">
        <f t="shared" si="142"/>
        <v>421.45428232119559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18.075366321869012</v>
      </c>
      <c r="AA170" s="21">
        <f>EXP(-LN(2)/25)*AA169+(1-EXP(-LN(2)/25))/(LN(2)/25)*Calculateur!V170*Calculateur!X170*VLOOKUP('Données projet'!$B$9,Paramètres!$A$1:$I$89,3,0)*0.475*44/12</f>
        <v>2.0568976897592575</v>
      </c>
      <c r="AB170" s="21">
        <f>EXP(-LN(2)/2)*AB169+(1-EXP(-LN(2)/2))/(LN(2)/2)*V170*Y170*VLOOKUP('Données projet'!$B$9,Paramètres!$A$1:$I$89,3,0)*0.475*44/12</f>
        <v>7.8100626749199703E-16</v>
      </c>
      <c r="AC170" s="22">
        <f t="shared" si="163"/>
        <v>20.132264011628269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-2.0395418687257919E-13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310.96303212465733</v>
      </c>
      <c r="AO170" s="59">
        <f t="shared" si="144"/>
        <v>248.17359812749166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25.396295034951539</v>
      </c>
      <c r="AV170" s="21">
        <f>EXP(-LN(2)/25)*AV169+(1-EXP(-LN(2)/25))/(LN(2)/25)*Calculateur!AQ170*Calculateur!AS170*VLOOKUP('Données projet'!$B$10,Paramètres!$A$1:$I$89,3,0)*0.475*44/12</f>
        <v>3.1006258710665371</v>
      </c>
      <c r="AW170" s="21">
        <f>EXP(-LN(2)/2)*AW169+(1-EXP(-LN(2)/2))/(LN(2)/2)*AQ170*AT170*VLOOKUP('Données projet'!$B$10,Paramètres!$A$1:$I$89,3,0)*0.475*44/12</f>
        <v>2.8629259996104285E-12</v>
      </c>
      <c r="AX170" s="21">
        <f t="shared" si="166"/>
        <v>28.496920906020939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337.99164391065369</v>
      </c>
      <c r="T171" s="59">
        <f t="shared" si="142"/>
        <v>421.45428232119559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17.720919413181999</v>
      </c>
      <c r="AA171" s="21">
        <f>EXP(-LN(2)/25)*AA170+(1-EXP(-LN(2)/25))/(LN(2)/25)*Calculateur!V171*Calculateur!X171*VLOOKUP('Données projet'!$B$9,Paramètres!$A$1:$I$89,3,0)*0.475*44/12</f>
        <v>2.000651714265242</v>
      </c>
      <c r="AB171" s="21">
        <f>EXP(-LN(2)/2)*AB170+(1-EXP(-LN(2)/2))/(LN(2)/2)*V171*Y171*VLOOKUP('Données projet'!$B$9,Paramètres!$A$1:$I$89,3,0)*0.475*44/12</f>
        <v>5.5225482789278575E-16</v>
      </c>
      <c r="AC171" s="22">
        <f t="shared" si="163"/>
        <v>19.721571127447241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-2.0395418687257919E-13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310.96303212465733</v>
      </c>
      <c r="AO171" s="59">
        <f t="shared" si="144"/>
        <v>248.17359812749166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24.898289179526579</v>
      </c>
      <c r="AV171" s="21">
        <f>EXP(-LN(2)/25)*AV170+(1-EXP(-LN(2)/25))/(LN(2)/25)*Calculateur!AQ171*Calculateur!AS171*VLOOKUP('Données projet'!$B$10,Paramètres!$A$1:$I$89,3,0)*0.475*44/12</f>
        <v>3.0158390935673944</v>
      </c>
      <c r="AW171" s="21">
        <f>EXP(-LN(2)/2)*AW170+(1-EXP(-LN(2)/2))/(LN(2)/2)*AQ171*AT171*VLOOKUP('Données projet'!$B$10,Paramètres!$A$1:$I$89,3,0)*0.475*44/12</f>
        <v>2.0243943883598091E-12</v>
      </c>
      <c r="AX171" s="21">
        <f t="shared" si="166"/>
        <v>27.914128273095997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337.99164391065369</v>
      </c>
      <c r="T172" s="59">
        <f t="shared" si="142"/>
        <v>421.45428232119559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17.373422992183073</v>
      </c>
      <c r="AA172" s="21">
        <f>EXP(-LN(2)/25)*AA171+(1-EXP(-LN(2)/25))/(LN(2)/25)*Calculateur!V172*Calculateur!X172*VLOOKUP('Données projet'!$B$9,Paramètres!$A$1:$I$89,3,0)*0.475*44/12</f>
        <v>1.9459437879289578</v>
      </c>
      <c r="AB172" s="21">
        <f>EXP(-LN(2)/2)*AB171+(1-EXP(-LN(2)/2))/(LN(2)/2)*V172*Y172*VLOOKUP('Données projet'!$B$9,Paramètres!$A$1:$I$89,3,0)*0.475*44/12</f>
        <v>3.9050313374599852E-16</v>
      </c>
      <c r="AC172" s="22">
        <f t="shared" si="163"/>
        <v>19.319366780112031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-2.0395418687257919E-13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310.96303212465733</v>
      </c>
      <c r="AO172" s="59">
        <f t="shared" si="144"/>
        <v>248.17359812749166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24.410048915172922</v>
      </c>
      <c r="AV172" s="21">
        <f>EXP(-LN(2)/25)*AV171+(1-EXP(-LN(2)/25))/(LN(2)/25)*Calculateur!AQ172*Calculateur!AS172*VLOOKUP('Données projet'!$B$10,Paramètres!$A$1:$I$89,3,0)*0.475*44/12</f>
        <v>2.9333708149577089</v>
      </c>
      <c r="AW172" s="21">
        <f>EXP(-LN(2)/2)*AW171+(1-EXP(-LN(2)/2))/(LN(2)/2)*AQ172*AT172*VLOOKUP('Données projet'!$B$10,Paramètres!$A$1:$I$89,3,0)*0.475*44/12</f>
        <v>1.4314629998052143E-12</v>
      </c>
      <c r="AX172" s="21">
        <f t="shared" si="166"/>
        <v>27.343419730132062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337.99164391065369</v>
      </c>
      <c r="T173" s="59">
        <f t="shared" si="142"/>
        <v>421.45428232119559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17.032740764048047</v>
      </c>
      <c r="AA173" s="21">
        <f>EXP(-LN(2)/25)*AA172+(1-EXP(-LN(2)/25))/(LN(2)/25)*Calculateur!V173*Calculateur!X173*VLOOKUP('Données projet'!$B$9,Paramètres!$A$1:$I$89,3,0)*0.475*44/12</f>
        <v>1.8927318527153041</v>
      </c>
      <c r="AB173" s="21">
        <f>EXP(-LN(2)/2)*AB172+(1-EXP(-LN(2)/2))/(LN(2)/2)*V173*Y173*VLOOKUP('Données projet'!$B$9,Paramètres!$A$1:$I$89,3,0)*0.475*44/12</f>
        <v>2.7612741394639287E-16</v>
      </c>
      <c r="AC173" s="22">
        <f t="shared" si="163"/>
        <v>18.925472616763351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-2.0395418687257919E-13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310.96303212465733</v>
      </c>
      <c r="AO173" s="59">
        <f t="shared" si="144"/>
        <v>248.17359812749166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23.931382744606086</v>
      </c>
      <c r="AV173" s="21">
        <f>EXP(-LN(2)/25)*AV172+(1-EXP(-LN(2)/25))/(LN(2)/25)*Calculateur!AQ173*Calculateur!AS173*VLOOKUP('Données projet'!$B$10,Paramètres!$A$1:$I$89,3,0)*0.475*44/12</f>
        <v>2.8531576357634236</v>
      </c>
      <c r="AW173" s="21">
        <f>EXP(-LN(2)/2)*AW172+(1-EXP(-LN(2)/2))/(LN(2)/2)*AQ173*AT173*VLOOKUP('Données projet'!$B$10,Paramètres!$A$1:$I$89,3,0)*0.475*44/12</f>
        <v>1.0121971941799046E-12</v>
      </c>
      <c r="AX173" s="21">
        <f t="shared" si="166"/>
        <v>26.784540380370522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337.99164391065369</v>
      </c>
      <c r="T174" s="59">
        <f t="shared" si="142"/>
        <v>421.45428232119559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16.698739106611107</v>
      </c>
      <c r="AA174" s="21">
        <f>EXP(-LN(2)/25)*AA173+(1-EXP(-LN(2)/25))/(LN(2)/25)*Calculateur!V174*Calculateur!X174*VLOOKUP('Données projet'!$B$9,Paramètres!$A$1:$I$89,3,0)*0.475*44/12</f>
        <v>1.8409750006683618</v>
      </c>
      <c r="AB174" s="21">
        <f>EXP(-LN(2)/2)*AB173+(1-EXP(-LN(2)/2))/(LN(2)/2)*V174*Y174*VLOOKUP('Données projet'!$B$9,Paramètres!$A$1:$I$89,3,0)*0.475*44/12</f>
        <v>1.9525156687299926E-16</v>
      </c>
      <c r="AC174" s="22">
        <f t="shared" si="163"/>
        <v>18.539714107279469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-2.0395418687257919E-13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310.96303212465733</v>
      </c>
      <c r="AO174" s="59">
        <f t="shared" si="144"/>
        <v>248.17359812749166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23.46210292568653</v>
      </c>
      <c r="AV174" s="21">
        <f>EXP(-LN(2)/25)*AV173+(1-EXP(-LN(2)/25))/(LN(2)/25)*Calculateur!AQ174*Calculateur!AS174*VLOOKUP('Données projet'!$B$10,Paramètres!$A$1:$I$89,3,0)*0.475*44/12</f>
        <v>2.7751378901724335</v>
      </c>
      <c r="AW174" s="21">
        <f>EXP(-LN(2)/2)*AW173+(1-EXP(-LN(2)/2))/(LN(2)/2)*AQ174*AT174*VLOOKUP('Données projet'!$B$10,Paramètres!$A$1:$I$89,3,0)*0.475*44/12</f>
        <v>7.1573149990260713E-13</v>
      </c>
      <c r="AX174" s="21">
        <f t="shared" si="166"/>
        <v>26.237240815859678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337.99164391065369</v>
      </c>
      <c r="T175" s="59">
        <f t="shared" si="142"/>
        <v>421.45428232119559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16.371287017955613</v>
      </c>
      <c r="AA175" s="21">
        <f>EXP(-LN(2)/25)*AA174+(1-EXP(-LN(2)/25))/(LN(2)/25)*Calculateur!V175*Calculateur!X175*VLOOKUP('Données projet'!$B$9,Paramètres!$A$1:$I$89,3,0)*0.475*44/12</f>
        <v>1.7906334424624177</v>
      </c>
      <c r="AB175" s="21">
        <f>EXP(-LN(2)/2)*AB174+(1-EXP(-LN(2)/2))/(LN(2)/2)*V175*Y175*VLOOKUP('Données projet'!$B$9,Paramètres!$A$1:$I$89,3,0)*0.475*44/12</f>
        <v>1.3806370697319644E-16</v>
      </c>
      <c r="AC175" s="22">
        <f t="shared" si="163"/>
        <v>18.161920460418031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-2.0395418687257919E-13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310.96303212465733</v>
      </c>
      <c r="AO175" s="59">
        <f t="shared" si="144"/>
        <v>248.17359812749166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23.002025397783559</v>
      </c>
      <c r="AV175" s="21">
        <f>EXP(-LN(2)/25)*AV174+(1-EXP(-LN(2)/25))/(LN(2)/25)*Calculateur!AQ175*Calculateur!AS175*VLOOKUP('Données projet'!$B$10,Paramètres!$A$1:$I$89,3,0)*0.475*44/12</f>
        <v>2.6992515986275092</v>
      </c>
      <c r="AW175" s="21">
        <f>EXP(-LN(2)/2)*AW174+(1-EXP(-LN(2)/2))/(LN(2)/2)*AQ175*AT175*VLOOKUP('Données projet'!$B$10,Paramètres!$A$1:$I$89,3,0)*0.475*44/12</f>
        <v>5.0609859708995229E-13</v>
      </c>
      <c r="AX175" s="21">
        <f t="shared" si="166"/>
        <v>25.701276996411572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337.99164391065369</v>
      </c>
      <c r="T176" s="59">
        <f t="shared" si="142"/>
        <v>421.45428232119559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16.050256065032599</v>
      </c>
      <c r="AA176" s="21">
        <f>EXP(-LN(2)/25)*AA175+(1-EXP(-LN(2)/25))/(LN(2)/25)*Calculateur!V176*Calculateur!X176*VLOOKUP('Données projet'!$B$9,Paramètres!$A$1:$I$89,3,0)*0.475*44/12</f>
        <v>1.7416684768129627</v>
      </c>
      <c r="AB176" s="21">
        <f>EXP(-LN(2)/2)*AB175+(1-EXP(-LN(2)/2))/(LN(2)/2)*V176*Y176*VLOOKUP('Données projet'!$B$9,Paramètres!$A$1:$I$89,3,0)*0.475*44/12</f>
        <v>9.7625783436499629E-17</v>
      </c>
      <c r="AC176" s="22">
        <f t="shared" si="163"/>
        <v>17.79192454184556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-2.0395418687257919E-13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310.96303212465733</v>
      </c>
      <c r="AO176" s="59">
        <f t="shared" si="144"/>
        <v>248.17359812749166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22.550969709583182</v>
      </c>
      <c r="AV176" s="21">
        <f>EXP(-LN(2)/25)*AV175+(1-EXP(-LN(2)/25))/(LN(2)/25)*Calculateur!AQ176*Calculateur!AS176*VLOOKUP('Données projet'!$B$10,Paramètres!$A$1:$I$89,3,0)*0.475*44/12</f>
        <v>2.6254404217155676</v>
      </c>
      <c r="AW176" s="21">
        <f>EXP(-LN(2)/2)*AW175+(1-EXP(-LN(2)/2))/(LN(2)/2)*AQ176*AT176*VLOOKUP('Données projet'!$B$10,Paramètres!$A$1:$I$89,3,0)*0.475*44/12</f>
        <v>3.5786574995130357E-13</v>
      </c>
      <c r="AX176" s="21">
        <f t="shared" si="166"/>
        <v>25.176410131299107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337.99164391065369</v>
      </c>
      <c r="T177" s="59">
        <f t="shared" si="142"/>
        <v>421.45428232119559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15.735520333286857</v>
      </c>
      <c r="AA177" s="21">
        <f>EXP(-LN(2)/25)*AA176+(1-EXP(-LN(2)/25))/(LN(2)/25)*Calculateur!V177*Calculateur!X177*VLOOKUP('Données projet'!$B$9,Paramètres!$A$1:$I$89,3,0)*0.475*44/12</f>
        <v>1.6940424607241475</v>
      </c>
      <c r="AB177" s="21">
        <f>EXP(-LN(2)/2)*AB176+(1-EXP(-LN(2)/2))/(LN(2)/2)*V177*Y177*VLOOKUP('Données projet'!$B$9,Paramètres!$A$1:$I$89,3,0)*0.475*44/12</f>
        <v>6.9031853486598218E-17</v>
      </c>
      <c r="AC177" s="22">
        <f t="shared" si="163"/>
        <v>17.429562794011005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-2.0395418687257919E-13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310.96303212465733</v>
      </c>
      <c r="AO177" s="59">
        <f t="shared" si="144"/>
        <v>248.17359812749166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22.10875894831161</v>
      </c>
      <c r="AV177" s="21">
        <f>EXP(-LN(2)/25)*AV176+(1-EXP(-LN(2)/25))/(LN(2)/25)*Calculateur!AQ177*Calculateur!AS177*VLOOKUP('Données projet'!$B$10,Paramètres!$A$1:$I$89,3,0)*0.475*44/12</f>
        <v>2.553647615317844</v>
      </c>
      <c r="AW177" s="21">
        <f>EXP(-LN(2)/2)*AW176+(1-EXP(-LN(2)/2))/(LN(2)/2)*AQ177*AT177*VLOOKUP('Données projet'!$B$10,Paramètres!$A$1:$I$89,3,0)*0.475*44/12</f>
        <v>2.5304929854497614E-13</v>
      </c>
      <c r="AX177" s="21">
        <f t="shared" si="166"/>
        <v>24.662406563629705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337.99164391065369</v>
      </c>
      <c r="T178" s="59">
        <f t="shared" si="142"/>
        <v>421.45428232119559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15.426956377270809</v>
      </c>
      <c r="AA178" s="21">
        <f>EXP(-LN(2)/25)*AA177+(1-EXP(-LN(2)/25))/(LN(2)/25)*Calculateur!V178*Calculateur!X178*VLOOKUP('Données projet'!$B$9,Paramètres!$A$1:$I$89,3,0)*0.475*44/12</f>
        <v>1.6477187805498246</v>
      </c>
      <c r="AB178" s="21">
        <f>EXP(-LN(2)/2)*AB177+(1-EXP(-LN(2)/2))/(LN(2)/2)*V178*Y178*VLOOKUP('Données projet'!$B$9,Paramètres!$A$1:$I$89,3,0)*0.475*44/12</f>
        <v>4.8812891718249814E-17</v>
      </c>
      <c r="AC178" s="22">
        <f t="shared" si="163"/>
        <v>17.074675157820632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-2.0395418687257919E-13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310.96303212465733</v>
      </c>
      <c r="AO178" s="59">
        <f t="shared" si="144"/>
        <v>248.17359812749166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21.675219670346642</v>
      </c>
      <c r="AV178" s="21">
        <f>EXP(-LN(2)/25)*AV177+(1-EXP(-LN(2)/25))/(LN(2)/25)*Calculateur!AQ178*Calculateur!AS178*VLOOKUP('Données projet'!$B$10,Paramètres!$A$1:$I$89,3,0)*0.475*44/12</f>
        <v>2.483817986986486</v>
      </c>
      <c r="AW178" s="21">
        <f>EXP(-LN(2)/2)*AW177+(1-EXP(-LN(2)/2))/(LN(2)/2)*AQ178*AT178*VLOOKUP('Données projet'!$B$10,Paramètres!$A$1:$I$89,3,0)*0.475*44/12</f>
        <v>1.7893287497565178E-13</v>
      </c>
      <c r="AX178" s="21">
        <f t="shared" si="166"/>
        <v>24.159037657333307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337.99164391065369</v>
      </c>
      <c r="T179" s="59">
        <f t="shared" si="142"/>
        <v>421.45428232119559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15.124443172226806</v>
      </c>
      <c r="AA179" s="21">
        <f>EXP(-LN(2)/25)*AA178+(1-EXP(-LN(2)/25))/(LN(2)/25)*Calculateur!V179*Calculateur!X179*VLOOKUP('Données projet'!$B$9,Paramètres!$A$1:$I$89,3,0)*0.475*44/12</f>
        <v>1.6026618238459249</v>
      </c>
      <c r="AB179" s="21">
        <f>EXP(-LN(2)/2)*AB178+(1-EXP(-LN(2)/2))/(LN(2)/2)*V179*Y179*VLOOKUP('Données projet'!$B$9,Paramètres!$A$1:$I$89,3,0)*0.475*44/12</f>
        <v>3.4515926743299109E-17</v>
      </c>
      <c r="AC179" s="22">
        <f t="shared" si="163"/>
        <v>16.727104996072732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-2.0395418687257919E-13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310.96303212465733</v>
      </c>
      <c r="AO179" s="59">
        <f t="shared" si="144"/>
        <v>248.17359812749166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21.250181833189721</v>
      </c>
      <c r="AV179" s="21">
        <f>EXP(-LN(2)/25)*AV178+(1-EXP(-LN(2)/25))/(LN(2)/25)*Calculateur!AQ179*Calculateur!AS179*VLOOKUP('Données projet'!$B$10,Paramètres!$A$1:$I$89,3,0)*0.475*44/12</f>
        <v>2.4158978535140294</v>
      </c>
      <c r="AW179" s="21">
        <f>EXP(-LN(2)/2)*AW178+(1-EXP(-LN(2)/2))/(LN(2)/2)*AQ179*AT179*VLOOKUP('Données projet'!$B$10,Paramètres!$A$1:$I$89,3,0)*0.475*44/12</f>
        <v>1.2652464927248807E-13</v>
      </c>
      <c r="AX179" s="21">
        <f t="shared" si="166"/>
        <v>23.666079686703878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337.99164391065369</v>
      </c>
      <c r="T180" s="59">
        <f t="shared" si="142"/>
        <v>421.45428232119559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14.827862066618881</v>
      </c>
      <c r="AA180" s="21">
        <f>EXP(-LN(2)/25)*AA179+(1-EXP(-LN(2)/25))/(LN(2)/25)*Calculateur!V180*Calculateur!X180*VLOOKUP('Données projet'!$B$9,Paramètres!$A$1:$I$89,3,0)*0.475*44/12</f>
        <v>1.5588369519925358</v>
      </c>
      <c r="AB180" s="21">
        <f>EXP(-LN(2)/2)*AB179+(1-EXP(-LN(2)/2))/(LN(2)/2)*V180*Y180*VLOOKUP('Données projet'!$B$9,Paramètres!$A$1:$I$89,3,0)*0.475*44/12</f>
        <v>2.4406445859124907E-17</v>
      </c>
      <c r="AC180" s="22">
        <f t="shared" si="163"/>
        <v>16.386699018611417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-2.0395418687257919E-13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310.96303212465733</v>
      </c>
      <c r="AO180" s="59">
        <f t="shared" si="144"/>
        <v>248.17359812749166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20.833478728771965</v>
      </c>
      <c r="AV180" s="21">
        <f>EXP(-LN(2)/25)*AV179+(1-EXP(-LN(2)/25))/(LN(2)/25)*Calculateur!AQ180*Calculateur!AS180*VLOOKUP('Données projet'!$B$10,Paramètres!$A$1:$I$89,3,0)*0.475*44/12</f>
        <v>2.3498349996631416</v>
      </c>
      <c r="AW180" s="21">
        <f>EXP(-LN(2)/2)*AW179+(1-EXP(-LN(2)/2))/(LN(2)/2)*AQ180*AT180*VLOOKUP('Données projet'!$B$10,Paramètres!$A$1:$I$89,3,0)*0.475*44/12</f>
        <v>8.9466437487825892E-14</v>
      </c>
      <c r="AX180" s="21">
        <f t="shared" si="166"/>
        <v>23.183313728435195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337.99164391065369</v>
      </c>
      <c r="T181" s="59">
        <f t="shared" si="142"/>
        <v>421.45428232119559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14.537096735595314</v>
      </c>
      <c r="AA181" s="21">
        <f>EXP(-LN(2)/25)*AA180+(1-EXP(-LN(2)/25))/(LN(2)/25)*Calculateur!V181*Calculateur!X181*VLOOKUP('Données projet'!$B$9,Paramètres!$A$1:$I$89,3,0)*0.475*44/12</f>
        <v>1.5162104735646273</v>
      </c>
      <c r="AB181" s="21">
        <f>EXP(-LN(2)/2)*AB180+(1-EXP(-LN(2)/2))/(LN(2)/2)*V181*Y181*VLOOKUP('Données projet'!$B$9,Paramètres!$A$1:$I$89,3,0)*0.475*44/12</f>
        <v>1.7257963371649555E-17</v>
      </c>
      <c r="AC181" s="22">
        <f t="shared" si="163"/>
        <v>16.053307209159943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-2.0395418687257919E-13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310.96303212465733</v>
      </c>
      <c r="AO181" s="59">
        <f t="shared" si="144"/>
        <v>248.17359812749166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20.424946918068041</v>
      </c>
      <c r="AV181" s="21">
        <f>EXP(-LN(2)/25)*AV180+(1-EXP(-LN(2)/25))/(LN(2)/25)*Calculateur!AQ181*Calculateur!AS181*VLOOKUP('Données projet'!$B$10,Paramètres!$A$1:$I$89,3,0)*0.475*44/12</f>
        <v>2.285578638024901</v>
      </c>
      <c r="AW181" s="21">
        <f>EXP(-LN(2)/2)*AW180+(1-EXP(-LN(2)/2))/(LN(2)/2)*AQ181*AT181*VLOOKUP('Données projet'!$B$10,Paramètres!$A$1:$I$89,3,0)*0.475*44/12</f>
        <v>6.3262324636244036E-14</v>
      </c>
      <c r="AX181" s="21">
        <f t="shared" si="166"/>
        <v>22.710525556093007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337.99164391065369</v>
      </c>
      <c r="T182" s="59">
        <f t="shared" si="142"/>
        <v>421.45428232119559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14.25203313536378</v>
      </c>
      <c r="AA182" s="21">
        <f>EXP(-LN(2)/25)*AA181+(1-EXP(-LN(2)/25))/(LN(2)/25)*Calculateur!V182*Calculateur!X182*VLOOKUP('Données projet'!$B$9,Paramètres!$A$1:$I$89,3,0)*0.475*44/12</f>
        <v>1.4747496184309592</v>
      </c>
      <c r="AB182" s="21">
        <f>EXP(-LN(2)/2)*AB181+(1-EXP(-LN(2)/2))/(LN(2)/2)*V182*Y182*VLOOKUP('Données projet'!$B$9,Paramètres!$A$1:$I$89,3,0)*0.475*44/12</f>
        <v>1.2203222929562454E-17</v>
      </c>
      <c r="AC182" s="22">
        <f t="shared" si="163"/>
        <v>15.726782753794739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-2.0395418687257919E-13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310.96303212465733</v>
      </c>
      <c r="AO182" s="59">
        <f t="shared" si="144"/>
        <v>248.17359812749166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20.024426166992225</v>
      </c>
      <c r="AV182" s="21">
        <f>EXP(-LN(2)/25)*AV181+(1-EXP(-LN(2)/25))/(LN(2)/25)*Calculateur!AQ182*Calculateur!AS182*VLOOKUP('Données projet'!$B$10,Paramètres!$A$1:$I$89,3,0)*0.475*44/12</f>
        <v>2.2230793699747533</v>
      </c>
      <c r="AW182" s="21">
        <f>EXP(-LN(2)/2)*AW181+(1-EXP(-LN(2)/2))/(LN(2)/2)*AQ182*AT182*VLOOKUP('Données projet'!$B$10,Paramètres!$A$1:$I$89,3,0)*0.475*44/12</f>
        <v>4.4733218743912946E-14</v>
      </c>
      <c r="AX182" s="21">
        <f t="shared" si="166"/>
        <v>22.247505536967022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337.99164391065369</v>
      </c>
      <c r="T183" s="59">
        <f t="shared" si="142"/>
        <v>421.45428232119559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13.972559458461157</v>
      </c>
      <c r="AA183" s="21">
        <f>EXP(-LN(2)/25)*AA182+(1-EXP(-LN(2)/25))/(LN(2)/25)*Calculateur!V183*Calculateur!X183*VLOOKUP('Données projet'!$B$9,Paramètres!$A$1:$I$89,3,0)*0.475*44/12</f>
        <v>1.4344225125612529</v>
      </c>
      <c r="AB183" s="21">
        <f>EXP(-LN(2)/2)*AB182+(1-EXP(-LN(2)/2))/(LN(2)/2)*V183*Y183*VLOOKUP('Données projet'!$B$9,Paramètres!$A$1:$I$89,3,0)*0.475*44/12</f>
        <v>8.6289816858247773E-18</v>
      </c>
      <c r="AC183" s="22">
        <f t="shared" si="163"/>
        <v>15.406981971022411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-2.0395418687257919E-13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310.96303212465733</v>
      </c>
      <c r="AO183" s="59">
        <f t="shared" si="144"/>
        <v>248.17359812749166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19.631759383551469</v>
      </c>
      <c r="AV183" s="21">
        <f>EXP(-LN(2)/25)*AV182+(1-EXP(-LN(2)/25))/(LN(2)/25)*Calculateur!AQ183*Calculateur!AS183*VLOOKUP('Données projet'!$B$10,Paramètres!$A$1:$I$89,3,0)*0.475*44/12</f>
        <v>2.1622891476961303</v>
      </c>
      <c r="AW183" s="21">
        <f>EXP(-LN(2)/2)*AW182+(1-EXP(-LN(2)/2))/(LN(2)/2)*AQ183*AT183*VLOOKUP('Données projet'!$B$10,Paramètres!$A$1:$I$89,3,0)*0.475*44/12</f>
        <v>3.1631162318122018E-14</v>
      </c>
      <c r="AX183" s="21">
        <f t="shared" si="166"/>
        <v>21.794048531247629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337.99164391065369</v>
      </c>
      <c r="T184" s="59">
        <f t="shared" si="142"/>
        <v>421.45428232119559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13.698566089900485</v>
      </c>
      <c r="AA184" s="21">
        <f>EXP(-LN(2)/25)*AA183+(1-EXP(-LN(2)/25))/(LN(2)/25)*Calculateur!V184*Calculateur!X184*VLOOKUP('Données projet'!$B$9,Paramètres!$A$1:$I$89,3,0)*0.475*44/12</f>
        <v>1.395198153522264</v>
      </c>
      <c r="AB184" s="21">
        <f>EXP(-LN(2)/2)*AB183+(1-EXP(-LN(2)/2))/(LN(2)/2)*V184*Y184*VLOOKUP('Données projet'!$B$9,Paramètres!$A$1:$I$89,3,0)*0.475*44/12</f>
        <v>6.1016114647812268E-18</v>
      </c>
      <c r="AC184" s="22">
        <f t="shared" si="163"/>
        <v>15.093764243422749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-2.0395418687257919E-13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310.96303212465733</v>
      </c>
      <c r="AO184" s="59">
        <f t="shared" si="144"/>
        <v>248.17359812749166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19.246792556230893</v>
      </c>
      <c r="AV184" s="21">
        <f>EXP(-LN(2)/25)*AV183+(1-EXP(-LN(2)/25))/(LN(2)/25)*Calculateur!AQ184*Calculateur!AS184*VLOOKUP('Données projet'!$B$10,Paramètres!$A$1:$I$89,3,0)*0.475*44/12</f>
        <v>2.1031612372425355</v>
      </c>
      <c r="AW184" s="21">
        <f>EXP(-LN(2)/2)*AW183+(1-EXP(-LN(2)/2))/(LN(2)/2)*AQ184*AT184*VLOOKUP('Données projet'!$B$10,Paramètres!$A$1:$I$89,3,0)*0.475*44/12</f>
        <v>2.2366609371956473E-14</v>
      </c>
      <c r="AX184" s="21">
        <f t="shared" si="166"/>
        <v>21.34995379347345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337.99164391065369</v>
      </c>
      <c r="T185" s="59">
        <f t="shared" si="142"/>
        <v>421.45428232119559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13.429945564177833</v>
      </c>
      <c r="AA185" s="21">
        <f>EXP(-LN(2)/25)*AA184+(1-EXP(-LN(2)/25))/(LN(2)/25)*Calculateur!V185*Calculateur!X185*VLOOKUP('Données projet'!$B$9,Paramètres!$A$1:$I$89,3,0)*0.475*44/12</f>
        <v>1.3570463866439155</v>
      </c>
      <c r="AB185" s="21">
        <f>EXP(-LN(2)/2)*AB184+(1-EXP(-LN(2)/2))/(LN(2)/2)*V185*Y185*VLOOKUP('Données projet'!$B$9,Paramètres!$A$1:$I$89,3,0)*0.475*44/12</f>
        <v>4.3144908429123886E-18</v>
      </c>
      <c r="AC185" s="22">
        <f t="shared" si="163"/>
        <v>14.786991950821749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-2.0395418687257919E-13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310.96303212465733</v>
      </c>
      <c r="AO185" s="59">
        <f t="shared" si="144"/>
        <v>248.17359812749166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18.869374693587496</v>
      </c>
      <c r="AV185" s="21">
        <f>EXP(-LN(2)/25)*AV184+(1-EXP(-LN(2)/25))/(LN(2)/25)*Calculateur!AQ185*Calculateur!AS185*VLOOKUP('Données projet'!$B$10,Paramètres!$A$1:$I$89,3,0)*0.475*44/12</f>
        <v>2.0456501826096956</v>
      </c>
      <c r="AW185" s="21">
        <f>EXP(-LN(2)/2)*AW184+(1-EXP(-LN(2)/2))/(LN(2)/2)*AQ185*AT185*VLOOKUP('Données projet'!$B$10,Paramètres!$A$1:$I$89,3,0)*0.475*44/12</f>
        <v>1.5815581159061009E-14</v>
      </c>
      <c r="AX185" s="21">
        <f t="shared" si="166"/>
        <v>20.915024876197204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337.99164391065369</v>
      </c>
      <c r="T186" s="59">
        <f t="shared" si="142"/>
        <v>421.45428232119559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13.166592523122262</v>
      </c>
      <c r="AA186" s="21">
        <f>EXP(-LN(2)/25)*AA185+(1-EXP(-LN(2)/25))/(LN(2)/25)*Calculateur!V186*Calculateur!X186*VLOOKUP('Données projet'!$B$9,Paramètres!$A$1:$I$89,3,0)*0.475*44/12</f>
        <v>1.3199378818371696</v>
      </c>
      <c r="AB186" s="21">
        <f>EXP(-LN(2)/2)*AB185+(1-EXP(-LN(2)/2))/(LN(2)/2)*V186*Y186*VLOOKUP('Données projet'!$B$9,Paramètres!$A$1:$I$89,3,0)*0.475*44/12</f>
        <v>3.0508057323906134E-18</v>
      </c>
      <c r="AC186" s="22">
        <f t="shared" si="163"/>
        <v>14.486530404959431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-2.0395418687257919E-13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310.96303212465733</v>
      </c>
      <c r="AO186" s="59">
        <f t="shared" si="144"/>
        <v>248.17359812749166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18.499357765028371</v>
      </c>
      <c r="AV186" s="21">
        <f>EXP(-LN(2)/25)*AV185+(1-EXP(-LN(2)/25))/(LN(2)/25)*Calculateur!AQ186*Calculateur!AS186*VLOOKUP('Données projet'!$B$10,Paramètres!$A$1:$I$89,3,0)*0.475*44/12</f>
        <v>1.9897117707901657</v>
      </c>
      <c r="AW186" s="21">
        <f>EXP(-LN(2)/2)*AW185+(1-EXP(-LN(2)/2))/(LN(2)/2)*AQ186*AT186*VLOOKUP('Données projet'!$B$10,Paramètres!$A$1:$I$89,3,0)*0.475*44/12</f>
        <v>1.1183304685978236E-14</v>
      </c>
      <c r="AX186" s="21">
        <f t="shared" si="166"/>
        <v>20.489069535818548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337.99164391065369</v>
      </c>
      <c r="T187" s="59">
        <f t="shared" si="142"/>
        <v>421.45428232119559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12.908403674572295</v>
      </c>
      <c r="AA187" s="21">
        <f>EXP(-LN(2)/25)*AA186+(1-EXP(-LN(2)/25))/(LN(2)/25)*Calculateur!V187*Calculateur!X187*VLOOKUP('Données projet'!$B$9,Paramètres!$A$1:$I$89,3,0)*0.475*44/12</f>
        <v>1.2838441110458159</v>
      </c>
      <c r="AB187" s="21">
        <f>EXP(-LN(2)/2)*AB186+(1-EXP(-LN(2)/2))/(LN(2)/2)*V187*Y187*VLOOKUP('Données projet'!$B$9,Paramètres!$A$1:$I$89,3,0)*0.475*44/12</f>
        <v>2.1572454214561943E-18</v>
      </c>
      <c r="AC187" s="22">
        <f t="shared" si="163"/>
        <v>14.192247785618111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-2.0395418687257919E-13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310.96303212465733</v>
      </c>
      <c r="AO187" s="59">
        <f t="shared" si="144"/>
        <v>248.17359812749166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18.136596642750249</v>
      </c>
      <c r="AV187" s="21">
        <f>EXP(-LN(2)/25)*AV186+(1-EXP(-LN(2)/25))/(LN(2)/25)*Calculateur!AQ187*Calculateur!AS187*VLOOKUP('Données projet'!$B$10,Paramètres!$A$1:$I$89,3,0)*0.475*44/12</f>
        <v>1.9353029977835141</v>
      </c>
      <c r="AW187" s="21">
        <f>EXP(-LN(2)/2)*AW186+(1-EXP(-LN(2)/2))/(LN(2)/2)*AQ187*AT187*VLOOKUP('Données projet'!$B$10,Paramètres!$A$1:$I$89,3,0)*0.475*44/12</f>
        <v>7.9077905795305045E-15</v>
      </c>
      <c r="AX187" s="21">
        <f t="shared" si="166"/>
        <v>20.071899640533768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337.99164391065369</v>
      </c>
      <c r="T188" s="59">
        <f t="shared" si="142"/>
        <v>421.45428232119559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12.655277751862744</v>
      </c>
      <c r="AA188" s="21">
        <f>EXP(-LN(2)/25)*AA187+(1-EXP(-LN(2)/25))/(LN(2)/25)*Calculateur!V188*Calculateur!X188*VLOOKUP('Données projet'!$B$9,Paramètres!$A$1:$I$89,3,0)*0.475*44/12</f>
        <v>1.2487373263148405</v>
      </c>
      <c r="AB188" s="21">
        <f>EXP(-LN(2)/2)*AB187+(1-EXP(-LN(2)/2))/(LN(2)/2)*V188*Y188*VLOOKUP('Données projet'!$B$9,Paramètres!$A$1:$I$89,3,0)*0.475*44/12</f>
        <v>1.5254028661953067E-18</v>
      </c>
      <c r="AC188" s="22">
        <f t="shared" si="163"/>
        <v>13.904015078177585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-2.0395418687257919E-13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310.96303212465733</v>
      </c>
      <c r="AO188" s="59">
        <f t="shared" si="144"/>
        <v>248.17359812749166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17.780949044817564</v>
      </c>
      <c r="AV188" s="21">
        <f>EXP(-LN(2)/25)*AV187+(1-EXP(-LN(2)/25))/(LN(2)/25)*Calculateur!AQ188*Calculateur!AS188*VLOOKUP('Données projet'!$B$10,Paramètres!$A$1:$I$89,3,0)*0.475*44/12</f>
        <v>1.8823820355359624</v>
      </c>
      <c r="AW188" s="21">
        <f>EXP(-LN(2)/2)*AW187+(1-EXP(-LN(2)/2))/(LN(2)/2)*AQ188*AT188*VLOOKUP('Données projet'!$B$10,Paramètres!$A$1:$I$89,3,0)*0.475*44/12</f>
        <v>5.5916523429891182E-15</v>
      </c>
      <c r="AX188" s="21">
        <f t="shared" si="166"/>
        <v>19.663331080353533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337.99164391065369</v>
      </c>
      <c r="T189" s="59">
        <f t="shared" si="142"/>
        <v>421.45428232119559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12.407115474105961</v>
      </c>
      <c r="AA189" s="21">
        <f>EXP(-LN(2)/25)*AA188+(1-EXP(-LN(2)/25))/(LN(2)/25)*Calculateur!V189*Calculateur!X189*VLOOKUP('Données projet'!$B$9,Paramètres!$A$1:$I$89,3,0)*0.475*44/12</f>
        <v>1.2145905384585192</v>
      </c>
      <c r="AB189" s="21">
        <f>EXP(-LN(2)/2)*AB188+(1-EXP(-LN(2)/2))/(LN(2)/2)*V189*Y189*VLOOKUP('Données projet'!$B$9,Paramètres!$A$1:$I$89,3,0)*0.475*44/12</f>
        <v>1.0786227107280972E-18</v>
      </c>
      <c r="AC189" s="22">
        <f t="shared" si="163"/>
        <v>13.621706012564481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-2.0395418687257919E-13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310.96303212465733</v>
      </c>
      <c r="AO189" s="59">
        <f t="shared" si="144"/>
        <v>248.17359812749166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17.432275479356726</v>
      </c>
      <c r="AV189" s="21">
        <f>EXP(-LN(2)/25)*AV188+(1-EXP(-LN(2)/25))/(LN(2)/25)*Calculateur!AQ189*Calculateur!AS189*VLOOKUP('Données projet'!$B$10,Paramètres!$A$1:$I$89,3,0)*0.475*44/12</f>
        <v>1.8309081997840626</v>
      </c>
      <c r="AW189" s="21">
        <f>EXP(-LN(2)/2)*AW188+(1-EXP(-LN(2)/2))/(LN(2)/2)*AQ189*AT189*VLOOKUP('Données projet'!$B$10,Paramètres!$A$1:$I$89,3,0)*0.475*44/12</f>
        <v>3.9538952897652522E-15</v>
      </c>
      <c r="AX189" s="21">
        <f t="shared" si="166"/>
        <v>19.263183679140791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337.99164391065369</v>
      </c>
      <c r="T190" s="59">
        <f t="shared" si="142"/>
        <v>421.45428232119559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12.163819507251944</v>
      </c>
      <c r="AA190" s="21">
        <f>EXP(-LN(2)/25)*AA189+(1-EXP(-LN(2)/25))/(LN(2)/25)*Calculateur!V190*Calculateur!X190*VLOOKUP('Données projet'!$B$9,Paramètres!$A$1:$I$89,3,0)*0.475*44/12</f>
        <v>1.1813774963118304</v>
      </c>
      <c r="AB190" s="21">
        <f>EXP(-LN(2)/2)*AB189+(1-EXP(-LN(2)/2))/(LN(2)/2)*V190*Y190*VLOOKUP('Données projet'!$B$9,Paramètres!$A$1:$I$89,3,0)*0.475*44/12</f>
        <v>7.6270143309765335E-19</v>
      </c>
      <c r="AC190" s="22">
        <f t="shared" si="163"/>
        <v>13.345197003563774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-2.0395418687257919E-13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310.96303212465733</v>
      </c>
      <c r="AO190" s="59">
        <f t="shared" si="144"/>
        <v>248.17359812749166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17.090439189844698</v>
      </c>
      <c r="AV190" s="21">
        <f>EXP(-LN(2)/25)*AV189+(1-EXP(-LN(2)/25))/(LN(2)/25)*Calculateur!AQ190*Calculateur!AS190*VLOOKUP('Données projet'!$B$10,Paramètres!$A$1:$I$89,3,0)*0.475*44/12</f>
        <v>1.7808419187776898</v>
      </c>
      <c r="AW190" s="21">
        <f>EXP(-LN(2)/2)*AW189+(1-EXP(-LN(2)/2))/(LN(2)/2)*AQ190*AT190*VLOOKUP('Données projet'!$B$10,Paramètres!$A$1:$I$89,3,0)*0.475*44/12</f>
        <v>2.7958261714945591E-15</v>
      </c>
      <c r="AX190" s="21">
        <f t="shared" si="166"/>
        <v>18.871281108622391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337.99164391065369</v>
      </c>
      <c r="T191" s="59">
        <f t="shared" si="142"/>
        <v>421.45428232119559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11.925294425912048</v>
      </c>
      <c r="AA191" s="21">
        <f>EXP(-LN(2)/25)*AA190+(1-EXP(-LN(2)/25))/(LN(2)/25)*Calculateur!V191*Calculateur!X191*VLOOKUP('Données projet'!$B$9,Paramètres!$A$1:$I$89,3,0)*0.475*44/12</f>
        <v>1.149072666549241</v>
      </c>
      <c r="AB191" s="21">
        <f>EXP(-LN(2)/2)*AB190+(1-EXP(-LN(2)/2))/(LN(2)/2)*V191*Y191*VLOOKUP('Données projet'!$B$9,Paramètres!$A$1:$I$89,3,0)*0.475*44/12</f>
        <v>5.3931135536404858E-19</v>
      </c>
      <c r="AC191" s="22">
        <f t="shared" si="163"/>
        <v>13.074367092461289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-2.0395418687257919E-13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310.96303212465733</v>
      </c>
      <c r="AO191" s="59">
        <f t="shared" si="144"/>
        <v>248.17359812749166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16.755306101470453</v>
      </c>
      <c r="AV191" s="21">
        <f>EXP(-LN(2)/25)*AV190+(1-EXP(-LN(2)/25))/(LN(2)/25)*Calculateur!AQ191*Calculateur!AS191*VLOOKUP('Données projet'!$B$10,Paramètres!$A$1:$I$89,3,0)*0.475*44/12</f>
        <v>1.7321447028583075</v>
      </c>
      <c r="AW191" s="21">
        <f>EXP(-LN(2)/2)*AW190+(1-EXP(-LN(2)/2))/(LN(2)/2)*AQ191*AT191*VLOOKUP('Données projet'!$B$10,Paramètres!$A$1:$I$89,3,0)*0.475*44/12</f>
        <v>1.9769476448826261E-15</v>
      </c>
      <c r="AX191" s="21">
        <f t="shared" si="166"/>
        <v>18.487450804328763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337.99164391065369</v>
      </c>
      <c r="T192" s="59">
        <f t="shared" si="142"/>
        <v>421.45428232119559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11.691446675931292</v>
      </c>
      <c r="AA192" s="21">
        <f>EXP(-LN(2)/25)*AA191+(1-EXP(-LN(2)/25))/(LN(2)/25)*Calculateur!V192*Calculateur!X192*VLOOKUP('Données projet'!$B$9,Paramètres!$A$1:$I$89,3,0)*0.475*44/12</f>
        <v>1.1176512140553467</v>
      </c>
      <c r="AB192" s="21">
        <f>EXP(-LN(2)/2)*AB191+(1-EXP(-LN(2)/2))/(LN(2)/2)*V192*Y192*VLOOKUP('Données projet'!$B$9,Paramètres!$A$1:$I$89,3,0)*0.475*44/12</f>
        <v>3.8135071654882668E-19</v>
      </c>
      <c r="AC192" s="22">
        <f t="shared" si="163"/>
        <v>12.809097889986639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-2.0395418687257919E-13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310.96303212465733</v>
      </c>
      <c r="AO192" s="59">
        <f t="shared" si="144"/>
        <v>248.17359812749166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16.426744768548225</v>
      </c>
      <c r="AV192" s="21">
        <f>EXP(-LN(2)/25)*AV191+(1-EXP(-LN(2)/25))/(LN(2)/25)*Calculateur!AQ192*Calculateur!AS192*VLOOKUP('Données projet'!$B$10,Paramètres!$A$1:$I$89,3,0)*0.475*44/12</f>
        <v>1.684779114869116</v>
      </c>
      <c r="AW192" s="21">
        <f>EXP(-LN(2)/2)*AW191+(1-EXP(-LN(2)/2))/(LN(2)/2)*AQ192*AT192*VLOOKUP('Données projet'!$B$10,Paramètres!$A$1:$I$89,3,0)*0.475*44/12</f>
        <v>1.3979130857472796E-15</v>
      </c>
      <c r="AX192" s="21">
        <f t="shared" si="166"/>
        <v>18.111523883417341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337.99164391065369</v>
      </c>
      <c r="T193" s="59">
        <f t="shared" si="142"/>
        <v>421.45428232119559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11.462184537694617</v>
      </c>
      <c r="AA193" s="21">
        <f>EXP(-LN(2)/25)*AA192+(1-EXP(-LN(2)/25))/(LN(2)/25)*Calculateur!V193*Calculateur!X193*VLOOKUP('Données projet'!$B$9,Paramètres!$A$1:$I$89,3,0)*0.475*44/12</f>
        <v>1.0870889828322803</v>
      </c>
      <c r="AB193" s="21">
        <f>EXP(-LN(2)/2)*AB192+(1-EXP(-LN(2)/2))/(LN(2)/2)*V193*Y193*VLOOKUP('Données projet'!$B$9,Paramètres!$A$1:$I$89,3,0)*0.475*44/12</f>
        <v>2.6965567768202429E-19</v>
      </c>
      <c r="AC193" s="22">
        <f t="shared" si="163"/>
        <v>12.549273520526897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-2.0395418687257919E-13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310.96303212465733</v>
      </c>
      <c r="AO193" s="59">
        <f t="shared" si="144"/>
        <v>248.17359812749166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16.104626322961977</v>
      </c>
      <c r="AV193" s="21">
        <f>EXP(-LN(2)/25)*AV192+(1-EXP(-LN(2)/25))/(LN(2)/25)*Calculateur!AQ193*Calculateur!AS193*VLOOKUP('Données projet'!$B$10,Paramètres!$A$1:$I$89,3,0)*0.475*44/12</f>
        <v>1.6387087413743371</v>
      </c>
      <c r="AW193" s="21">
        <f>EXP(-LN(2)/2)*AW192+(1-EXP(-LN(2)/2))/(LN(2)/2)*AQ193*AT193*VLOOKUP('Données projet'!$B$10,Paramètres!$A$1:$I$89,3,0)*0.475*44/12</f>
        <v>9.8847382244131306E-16</v>
      </c>
      <c r="AX193" s="21">
        <f t="shared" si="166"/>
        <v>17.743335064336314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337.99164391065369</v>
      </c>
      <c r="T194" s="59">
        <f t="shared" si="142"/>
        <v>421.45428232119559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11.237418090152666</v>
      </c>
      <c r="AA194" s="21">
        <f>EXP(-LN(2)/25)*AA193+(1-EXP(-LN(2)/25))/(LN(2)/25)*Calculateur!V194*Calculateur!X194*VLOOKUP('Données projet'!$B$9,Paramètres!$A$1:$I$89,3,0)*0.475*44/12</f>
        <v>1.0573624774292065</v>
      </c>
      <c r="AB194" s="21">
        <f>EXP(-LN(2)/2)*AB193+(1-EXP(-LN(2)/2))/(LN(2)/2)*V194*Y194*VLOOKUP('Données projet'!$B$9,Paramètres!$A$1:$I$89,3,0)*0.475*44/12</f>
        <v>1.9067535827441334E-19</v>
      </c>
      <c r="AC194" s="22">
        <f t="shared" si="163"/>
        <v>12.294780567581872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-2.0395418687257919E-13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310.96303212465733</v>
      </c>
      <c r="AO194" s="59">
        <f t="shared" si="144"/>
        <v>248.17359812749166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15.788824423620824</v>
      </c>
      <c r="AV194" s="21">
        <f>EXP(-LN(2)/25)*AV193+(1-EXP(-LN(2)/25))/(LN(2)/25)*Calculateur!AQ194*Calculateur!AS194*VLOOKUP('Données projet'!$B$10,Paramètres!$A$1:$I$89,3,0)*0.475*44/12</f>
        <v>1.5938981646655084</v>
      </c>
      <c r="AW194" s="21">
        <f>EXP(-LN(2)/2)*AW193+(1-EXP(-LN(2)/2))/(LN(2)/2)*AQ194*AT194*VLOOKUP('Données projet'!$B$10,Paramètres!$A$1:$I$89,3,0)*0.475*44/12</f>
        <v>6.9895654287363978E-16</v>
      </c>
      <c r="AX194" s="21">
        <f t="shared" si="166"/>
        <v>17.382722588286331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337.99164391065369</v>
      </c>
      <c r="T195" s="59">
        <f t="shared" si="142"/>
        <v>421.45428232119559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11.017059175553015</v>
      </c>
      <c r="AA195" s="21">
        <f>EXP(-LN(2)/25)*AA194+(1-EXP(-LN(2)/25))/(LN(2)/25)*Calculateur!V195*Calculateur!X195*VLOOKUP('Données projet'!$B$9,Paramètres!$A$1:$I$89,3,0)*0.475*44/12</f>
        <v>1.0284488448796287</v>
      </c>
      <c r="AB195" s="21">
        <f>EXP(-LN(2)/2)*AB194+(1-EXP(-LN(2)/2))/(LN(2)/2)*V195*Y195*VLOOKUP('Données projet'!$B$9,Paramètres!$A$1:$I$89,3,0)*0.475*44/12</f>
        <v>1.3482783884101214E-19</v>
      </c>
      <c r="AC195" s="22">
        <f t="shared" si="163"/>
        <v>12.045508020432644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-2.0395418687257919E-13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310.96303212465733</v>
      </c>
      <c r="AO195" s="59">
        <f t="shared" si="144"/>
        <v>248.17359812749166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15.479215206905611</v>
      </c>
      <c r="AV195" s="21">
        <f>EXP(-LN(2)/25)*AV194+(1-EXP(-LN(2)/25))/(LN(2)/25)*Calculateur!AQ195*Calculateur!AS195*VLOOKUP('Données projet'!$B$10,Paramètres!$A$1:$I$89,3,0)*0.475*44/12</f>
        <v>1.5503129355332685</v>
      </c>
      <c r="AW195" s="21">
        <f>EXP(-LN(2)/2)*AW194+(1-EXP(-LN(2)/2))/(LN(2)/2)*AQ195*AT195*VLOOKUP('Données projet'!$B$10,Paramètres!$A$1:$I$89,3,0)*0.475*44/12</f>
        <v>4.9423691122065653E-16</v>
      </c>
      <c r="AX195" s="21">
        <f t="shared" si="166"/>
        <v>17.029528142438878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337.99164391065369</v>
      </c>
      <c r="T196" s="59">
        <f t="shared" si="142"/>
        <v>421.45428232119559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10.801021364862999</v>
      </c>
      <c r="AA196" s="21">
        <f>EXP(-LN(2)/25)*AA195+(1-EXP(-LN(2)/25))/(LN(2)/25)*Calculateur!V196*Calculateur!X196*VLOOKUP('Données projet'!$B$9,Paramètres!$A$1:$I$89,3,0)*0.475*44/12</f>
        <v>1.000325857132621</v>
      </c>
      <c r="AB196" s="21">
        <f>EXP(-LN(2)/2)*AB195+(1-EXP(-LN(2)/2))/(LN(2)/2)*V196*Y196*VLOOKUP('Données projet'!$B$9,Paramètres!$A$1:$I$89,3,0)*0.475*44/12</f>
        <v>9.5337679137206669E-20</v>
      </c>
      <c r="AC196" s="22">
        <f t="shared" si="163"/>
        <v>11.80134722199562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-2.0395418687257919E-13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310.96303212465733</v>
      </c>
      <c r="AO196" s="59">
        <f t="shared" si="144"/>
        <v>248.17359812749166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15.175677238087209</v>
      </c>
      <c r="AV196" s="21">
        <f>EXP(-LN(2)/25)*AV195+(1-EXP(-LN(2)/25))/(LN(2)/25)*Calculateur!AQ196*Calculateur!AS196*VLOOKUP('Données projet'!$B$10,Paramètres!$A$1:$I$89,3,0)*0.475*44/12</f>
        <v>1.5079195467836972</v>
      </c>
      <c r="AW196" s="21">
        <f>EXP(-LN(2)/2)*AW195+(1-EXP(-LN(2)/2))/(LN(2)/2)*AQ196*AT196*VLOOKUP('Données projet'!$B$10,Paramètres!$A$1:$I$89,3,0)*0.475*44/12</f>
        <v>3.4947827143681989E-16</v>
      </c>
      <c r="AX196" s="21">
        <f t="shared" si="166"/>
        <v>16.683596784870907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337.99164391065369</v>
      </c>
      <c r="T197" s="59">
        <f t="shared" ref="T197:T203" si="204">$T$3</f>
        <v>421.45428232119559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10.58921992387056</v>
      </c>
      <c r="AA197" s="21">
        <f>EXP(-LN(2)/25)*AA196+(1-EXP(-LN(2)/25))/(LN(2)/25)*Calculateur!V197*Calculateur!X197*VLOOKUP('Données projet'!$B$9,Paramètres!$A$1:$I$89,3,0)*0.475*44/12</f>
        <v>0.97297189396447892</v>
      </c>
      <c r="AB197" s="21">
        <f>EXP(-LN(2)/2)*AB196+(1-EXP(-LN(2)/2))/(LN(2)/2)*V197*Y197*VLOOKUP('Données projet'!$B$9,Paramètres!$A$1:$I$89,3,0)*0.475*44/12</f>
        <v>6.7413919420506072E-20</v>
      </c>
      <c r="AC197" s="22">
        <f t="shared" si="163"/>
        <v>11.562191817835039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-2.0395418687257919E-13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310.96303212465733</v>
      </c>
      <c r="AO197" s="59">
        <f t="shared" ref="AO197:AO203" si="205">$AO$3</f>
        <v>248.17359812749166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14.878091463697455</v>
      </c>
      <c r="AV197" s="21">
        <f>EXP(-LN(2)/25)*AV196+(1-EXP(-LN(2)/25))/(LN(2)/25)*Calculateur!AQ197*Calculateur!AS197*VLOOKUP('Données projet'!$B$10,Paramètres!$A$1:$I$89,3,0)*0.475*44/12</f>
        <v>1.4666854074788545</v>
      </c>
      <c r="AW197" s="21">
        <f>EXP(-LN(2)/2)*AW196+(1-EXP(-LN(2)/2))/(LN(2)/2)*AQ197*AT197*VLOOKUP('Données projet'!$B$10,Paramètres!$A$1:$I$89,3,0)*0.475*44/12</f>
        <v>2.4711845561032826E-16</v>
      </c>
      <c r="AX197" s="21">
        <f t="shared" si="166"/>
        <v>16.344776871176311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337.99164391065369</v>
      </c>
      <c r="T198" s="59">
        <f t="shared" si="204"/>
        <v>421.45428232119559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10.38157177994986</v>
      </c>
      <c r="AA198" s="21">
        <f>EXP(-LN(2)/25)*AA197+(1-EXP(-LN(2)/25))/(LN(2)/25)*Calculateur!V198*Calculateur!X198*VLOOKUP('Données projet'!$B$9,Paramètres!$A$1:$I$89,3,0)*0.475*44/12</f>
        <v>0.94636592635765204</v>
      </c>
      <c r="AB198" s="21">
        <f>EXP(-LN(2)/2)*AB197+(1-EXP(-LN(2)/2))/(LN(2)/2)*V198*Y198*VLOOKUP('Données projet'!$B$9,Paramètres!$A$1:$I$89,3,0)*0.475*44/12</f>
        <v>4.7668839568603334E-20</v>
      </c>
      <c r="AC198" s="22">
        <f t="shared" si="163"/>
        <v>11.327937706307512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-2.0395418687257919E-13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310.96303212465733</v>
      </c>
      <c r="AO198" s="59">
        <f t="shared" si="205"/>
        <v>248.17359812749166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14.586341164834085</v>
      </c>
      <c r="AV198" s="21">
        <f>EXP(-LN(2)/25)*AV197+(1-EXP(-LN(2)/25))/(LN(2)/25)*Calculateur!AQ198*Calculateur!AS198*VLOOKUP('Données projet'!$B$10,Paramètres!$A$1:$I$89,3,0)*0.475*44/12</f>
        <v>1.4265788178817118</v>
      </c>
      <c r="AW198" s="21">
        <f>EXP(-LN(2)/2)*AW197+(1-EXP(-LN(2)/2))/(LN(2)/2)*AQ198*AT198*VLOOKUP('Données projet'!$B$10,Paramètres!$A$1:$I$89,3,0)*0.475*44/12</f>
        <v>1.7473913571840995E-16</v>
      </c>
      <c r="AX198" s="21">
        <f t="shared" si="166"/>
        <v>16.012919982715797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337.99164391065369</v>
      </c>
      <c r="T199" s="59">
        <f t="shared" si="204"/>
        <v>421.45428232119559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10.177995489478583</v>
      </c>
      <c r="AA199" s="21">
        <f>EXP(-LN(2)/25)*AA198+(1-EXP(-LN(2)/25))/(LN(2)/25)*Calculateur!V199*Calculateur!X199*VLOOKUP('Données projet'!$B$9,Paramètres!$A$1:$I$89,3,0)*0.475*44/12</f>
        <v>0.92048750033418092</v>
      </c>
      <c r="AB199" s="21">
        <f>EXP(-LN(2)/2)*AB198+(1-EXP(-LN(2)/2))/(LN(2)/2)*V199*Y199*VLOOKUP('Données projet'!$B$9,Paramètres!$A$1:$I$89,3,0)*0.475*44/12</f>
        <v>3.3706959710253036E-20</v>
      </c>
      <c r="AC199" s="22">
        <f t="shared" si="163"/>
        <v>11.098482989812764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-2.0395418687257919E-13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310.96303212465733</v>
      </c>
      <c r="AO199" s="59">
        <f t="shared" si="205"/>
        <v>248.17359812749166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14.300311911381314</v>
      </c>
      <c r="AV199" s="21">
        <f>EXP(-LN(2)/25)*AV198+(1-EXP(-LN(2)/25))/(LN(2)/25)*Calculateur!AQ199*Calculateur!AS199*VLOOKUP('Données projet'!$B$10,Paramètres!$A$1:$I$89,3,0)*0.475*44/12</f>
        <v>1.3875689450862168</v>
      </c>
      <c r="AW199" s="21">
        <f>EXP(-LN(2)/2)*AW198+(1-EXP(-LN(2)/2))/(LN(2)/2)*AQ199*AT199*VLOOKUP('Données projet'!$B$10,Paramètres!$A$1:$I$89,3,0)*0.475*44/12</f>
        <v>1.2355922780516413E-16</v>
      </c>
      <c r="AX199" s="21">
        <f t="shared" si="166"/>
        <v>15.687880856467531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337.99164391065369</v>
      </c>
      <c r="T200" s="59">
        <f t="shared" si="204"/>
        <v>421.45428232119559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9.9784112058941705</v>
      </c>
      <c r="AA200" s="21">
        <f>EXP(-LN(2)/25)*AA199+(1-EXP(-LN(2)/25))/(LN(2)/25)*Calculateur!V200*Calculateur!X200*VLOOKUP('Données projet'!$B$9,Paramètres!$A$1:$I$89,3,0)*0.475*44/12</f>
        <v>0.89531672123120887</v>
      </c>
      <c r="AB200" s="21">
        <f>EXP(-LN(2)/2)*AB199+(1-EXP(-LN(2)/2))/(LN(2)/2)*V200*Y200*VLOOKUP('Données projet'!$B$9,Paramètres!$A$1:$I$89,3,0)*0.475*44/12</f>
        <v>2.3834419784301667E-20</v>
      </c>
      <c r="AC200" s="22">
        <f t="shared" si="163"/>
        <v>10.87372792712538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-2.0395418687257919E-13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310.96303212465733</v>
      </c>
      <c r="AO200" s="59">
        <f t="shared" si="205"/>
        <v>248.17359812749166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14.019891517128134</v>
      </c>
      <c r="AV200" s="21">
        <f>EXP(-LN(2)/25)*AV199+(1-EXP(-LN(2)/25))/(LN(2)/25)*Calculateur!AQ200*Calculateur!AS200*VLOOKUP('Données projet'!$B$10,Paramètres!$A$1:$I$89,3,0)*0.475*44/12</f>
        <v>1.3496257993137546</v>
      </c>
      <c r="AW200" s="21">
        <f>EXP(-LN(2)/2)*AW199+(1-EXP(-LN(2)/2))/(LN(2)/2)*AQ200*AT200*VLOOKUP('Données projet'!$B$10,Paramètres!$A$1:$I$89,3,0)*0.475*44/12</f>
        <v>8.7369567859204973E-17</v>
      </c>
      <c r="AX200" s="21">
        <f t="shared" si="166"/>
        <v>15.369517316441888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337.99164391065369</v>
      </c>
      <c r="T201" s="59">
        <f t="shared" si="204"/>
        <v>421.45428232119559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9.782740648376457</v>
      </c>
      <c r="AA201" s="21">
        <f>EXP(-LN(2)/25)*AA200+(1-EXP(-LN(2)/25))/(LN(2)/25)*Calculateur!V201*Calculateur!X201*VLOOKUP('Données projet'!$B$9,Paramètres!$A$1:$I$89,3,0)*0.475*44/12</f>
        <v>0.87083423840648133</v>
      </c>
      <c r="AB201" s="21">
        <f>EXP(-LN(2)/2)*AB200+(1-EXP(-LN(2)/2))/(LN(2)/2)*V201*Y201*VLOOKUP('Données projet'!$B$9,Paramètres!$A$1:$I$89,3,0)*0.475*44/12</f>
        <v>1.6853479855126518E-20</v>
      </c>
      <c r="AC201" s="22">
        <f t="shared" si="163"/>
        <v>10.653574886782938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-2.0395418687257919E-13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310.96303212465733</v>
      </c>
      <c r="AO201" s="59">
        <f t="shared" si="205"/>
        <v>248.17359812749166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13.744969995766706</v>
      </c>
      <c r="AV201" s="21">
        <f>EXP(-LN(2)/25)*AV200+(1-EXP(-LN(2)/25))/(LN(2)/25)*Calculateur!AQ201*Calculateur!AS201*VLOOKUP('Données projet'!$B$10,Paramètres!$A$1:$I$89,3,0)*0.475*44/12</f>
        <v>1.3127202108577838</v>
      </c>
      <c r="AW201" s="21">
        <f>EXP(-LN(2)/2)*AW200+(1-EXP(-LN(2)/2))/(LN(2)/2)*AQ201*AT201*VLOOKUP('Données projet'!$B$10,Paramètres!$A$1:$I$89,3,0)*0.475*44/12</f>
        <v>6.1779613902582066E-17</v>
      </c>
      <c r="AX201" s="21">
        <f t="shared" si="166"/>
        <v>15.057690206624489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337.99164391065369</v>
      </c>
      <c r="T202" s="59">
        <f t="shared" si="204"/>
        <v>421.45428232119559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9.5909070711444091</v>
      </c>
      <c r="AA202" s="21">
        <f>EXP(-LN(2)/25)*AA201+(1-EXP(-LN(2)/25))/(LN(2)/25)*Calculateur!V202*Calculateur!X202*VLOOKUP('Données projet'!$B$9,Paramètres!$A$1:$I$89,3,0)*0.475*44/12</f>
        <v>0.84702123036207377</v>
      </c>
      <c r="AB202" s="21">
        <f>EXP(-LN(2)/2)*AB201+(1-EXP(-LN(2)/2))/(LN(2)/2)*V202*Y202*VLOOKUP('Données projet'!$B$9,Paramètres!$A$1:$I$89,3,0)*0.475*44/12</f>
        <v>1.1917209892150834E-20</v>
      </c>
      <c r="AC202" s="22">
        <f t="shared" si="163"/>
        <v>10.437928301506483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-2.0395418687257919E-13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310.96303212465733</v>
      </c>
      <c r="AO202" s="59">
        <f t="shared" si="205"/>
        <v>248.17359812749166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13.475439517753607</v>
      </c>
      <c r="AV202" s="21">
        <f>EXP(-LN(2)/25)*AV201+(1-EXP(-LN(2)/25))/(LN(2)/25)*Calculateur!AQ202*Calculateur!AS202*VLOOKUP('Données projet'!$B$10,Paramètres!$A$1:$I$89,3,0)*0.475*44/12</f>
        <v>1.276823807658922</v>
      </c>
      <c r="AW202" s="21">
        <f>EXP(-LN(2)/2)*AW201+(1-EXP(-LN(2)/2))/(LN(2)/2)*AQ202*AT202*VLOOKUP('Données projet'!$B$10,Paramètres!$A$1:$I$89,3,0)*0.475*44/12</f>
        <v>4.3684783929602486E-17</v>
      </c>
      <c r="AX202" s="21">
        <f t="shared" si="166"/>
        <v>14.752263325412528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337.99164391065369</v>
      </c>
      <c r="T203" s="59">
        <f t="shared" si="204"/>
        <v>421.45428232119559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9.4028352333549527</v>
      </c>
      <c r="AA203" s="21">
        <f>EXP(-LN(2)/25)*AA202+(1-EXP(-LN(2)/25))/(LN(2)/25)*Calculateur!V203*Calculateur!X203*VLOOKUP('Données projet'!$B$9,Paramètres!$A$1:$I$89,3,0)*0.475*44/12</f>
        <v>0.82385939027491228</v>
      </c>
      <c r="AB203" s="21">
        <f>EXP(-LN(2)/2)*AB202+(1-EXP(-LN(2)/2))/(LN(2)/2)*V203*Y203*VLOOKUP('Données projet'!$B$9,Paramètres!$A$1:$I$89,3,0)*0.475*44/12</f>
        <v>8.4267399275632591E-21</v>
      </c>
      <c r="AC203" s="22">
        <f t="shared" si="163"/>
        <v>10.226694623629864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-2.0395418687257919E-13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310.96303212465733</v>
      </c>
      <c r="AO203" s="59">
        <f t="shared" si="205"/>
        <v>248.17359812749166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13.211194368016985</v>
      </c>
      <c r="AV203" s="21">
        <f>EXP(-LN(2)/25)*AV202+(1-EXP(-LN(2)/25))/(LN(2)/25)*Calculateur!AQ203*Calculateur!AS203*VLOOKUP('Données projet'!$B$10,Paramètres!$A$1:$I$89,3,0)*0.475*44/12</f>
        <v>1.241908993493243</v>
      </c>
      <c r="AW203" s="21">
        <f>EXP(-LN(2)/2)*AW202+(1-EXP(-LN(2)/2))/(LN(2)/2)*AQ203*AT203*VLOOKUP('Données projet'!$B$10,Paramètres!$A$1:$I$89,3,0)*0.475*44/12</f>
        <v>3.0889806951291033E-17</v>
      </c>
      <c r="AX203" s="21">
        <f t="shared" si="166"/>
        <v>14.453103361510228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1.3909694153478751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1.2476305424068326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defaultColWidth="11.42578125" defaultRowHeight="14.4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4.1" thickBot="1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7" t="s">
        <v>112</v>
      </c>
      <c r="P2" s="121">
        <v>0</v>
      </c>
    </row>
    <row r="3" spans="1:16" ht="15" thickBot="1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8"/>
      <c r="P3" s="128">
        <v>0.2</v>
      </c>
    </row>
    <row r="4" spans="1:16" ht="15" thickBot="1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7" t="s">
        <v>119</v>
      </c>
      <c r="P5" s="121">
        <v>0</v>
      </c>
    </row>
    <row r="6" spans="1:16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9"/>
      <c r="P6" s="129">
        <v>0.05</v>
      </c>
    </row>
    <row r="7" spans="1:16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9"/>
      <c r="P7" s="129">
        <v>0.1</v>
      </c>
    </row>
    <row r="8" spans="1:16" ht="15" thickBot="1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8"/>
      <c r="P8" s="128">
        <v>0.15</v>
      </c>
    </row>
    <row r="9" spans="1:16" ht="15" thickBot="1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7" t="s">
        <v>131</v>
      </c>
      <c r="P10" s="121">
        <v>0</v>
      </c>
    </row>
    <row r="11" spans="1:16" ht="15" thickBot="1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8"/>
      <c r="P11" s="128">
        <v>0.1</v>
      </c>
    </row>
    <row r="12" spans="1:16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147</v>
      </c>
      <c r="B18" s="123" t="s">
        <v>148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149</v>
      </c>
      <c r="B19" s="123" t="s">
        <v>150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110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155</v>
      </c>
      <c r="B21" s="123" t="s">
        <v>156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157</v>
      </c>
      <c r="B22" s="123" t="s">
        <v>158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159</v>
      </c>
      <c r="B23" s="123" t="s">
        <v>160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161</v>
      </c>
      <c r="B24" s="123" t="s">
        <v>162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163</v>
      </c>
      <c r="B25" s="123" t="s">
        <v>164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165</v>
      </c>
      <c r="B26" s="123" t="s">
        <v>166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168</v>
      </c>
      <c r="B27" s="123" t="s">
        <v>169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170</v>
      </c>
      <c r="B28" s="123" t="s">
        <v>171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172</v>
      </c>
      <c r="B29" s="123" t="s">
        <v>172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173</v>
      </c>
      <c r="B30" s="123" t="s">
        <v>174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175</v>
      </c>
      <c r="B31" s="123" t="s">
        <v>176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177</v>
      </c>
      <c r="B32" s="123" t="s">
        <v>178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180</v>
      </c>
      <c r="B33" s="123" t="s">
        <v>181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110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186</v>
      </c>
      <c r="B35" s="123" t="s">
        <v>187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188</v>
      </c>
      <c r="B36" s="123" t="s">
        <v>189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190</v>
      </c>
      <c r="B37" s="123" t="s">
        <v>191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192</v>
      </c>
      <c r="B38" s="123" t="s">
        <v>193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110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110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110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110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110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110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110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110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110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110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110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110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209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110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210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110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211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110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212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110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213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110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214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110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215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110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216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110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217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110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218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110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219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110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220</v>
      </c>
      <c r="B62" s="123" t="s">
        <v>221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222</v>
      </c>
      <c r="B63" s="123" t="s">
        <v>223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224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225</v>
      </c>
      <c r="B64" s="123" t="s">
        <v>226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224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227</v>
      </c>
      <c r="B65" s="123" t="s">
        <v>228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224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19</v>
      </c>
      <c r="B66" s="123" t="s">
        <v>229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224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16</v>
      </c>
      <c r="B67" s="123" t="s">
        <v>230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231</v>
      </c>
      <c r="B68" s="123" t="s">
        <v>232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224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233</v>
      </c>
      <c r="B69" s="123" t="s">
        <v>234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224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235</v>
      </c>
      <c r="B70" s="123" t="s">
        <v>236</v>
      </c>
      <c r="C70" s="124">
        <v>0.48</v>
      </c>
      <c r="D70" s="124" t="s">
        <v>109</v>
      </c>
      <c r="E70" s="124">
        <v>2.4</v>
      </c>
      <c r="F70" s="124" t="s">
        <v>237</v>
      </c>
      <c r="G70" s="126">
        <v>0.45</v>
      </c>
      <c r="H70" s="124" t="s">
        <v>224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110</v>
      </c>
      <c r="G71" s="126">
        <v>0.45</v>
      </c>
      <c r="H71" s="124" t="s">
        <v>224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241</v>
      </c>
      <c r="B72" s="123" t="s">
        <v>242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224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110</v>
      </c>
      <c r="G73" s="126">
        <v>0.45</v>
      </c>
      <c r="H73" s="124" t="s">
        <v>224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246</v>
      </c>
      <c r="B74" s="123" t="s">
        <v>247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224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248</v>
      </c>
      <c r="B75" s="123" t="s">
        <v>249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250</v>
      </c>
      <c r="B76" s="123" t="s">
        <v>251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253</v>
      </c>
      <c r="B77" s="123" t="s">
        <v>254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255</v>
      </c>
      <c r="B78" s="123" t="s">
        <v>256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257</v>
      </c>
      <c r="B79" s="123" t="s">
        <v>258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259</v>
      </c>
      <c r="B80" s="123" t="s">
        <v>260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261</v>
      </c>
      <c r="B81" s="123" t="s">
        <v>262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266</v>
      </c>
      <c r="B83" s="123" t="s">
        <v>267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268</v>
      </c>
      <c r="B84" s="123" t="s">
        <v>269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270</v>
      </c>
      <c r="B85" s="123" t="s">
        <v>271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272</v>
      </c>
      <c r="B86" s="123" t="s">
        <v>273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69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>
      <c r="A89" s="133" t="s">
        <v>278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>
      <c r="A93" s="122" t="s">
        <v>70</v>
      </c>
    </row>
    <row r="94" spans="1:14">
      <c r="A94" s="122" t="s">
        <v>71</v>
      </c>
    </row>
    <row r="95" spans="1:14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6" zoomScale="90" zoomScaleNormal="90" workbookViewId="0">
      <selection activeCell="I29" sqref="I29"/>
    </sheetView>
  </sheetViews>
  <sheetFormatPr defaultColWidth="11.42578125" defaultRowHeight="14.4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5" thickBot="1">
      <c r="A2" s="278" t="s">
        <v>279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80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95" thickBot="1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Pin maritime</v>
      </c>
      <c r="B6" s="146">
        <f>'Données projet'!D9</f>
        <v>3.2760000000000002</v>
      </c>
      <c r="C6" s="147">
        <f ca="1">IF(OR('Données projet'!B9="",'Données projet'!C9="",'Données projet'!C9=0%),0,Calculateur!S3)</f>
        <v>337.99164391065369</v>
      </c>
      <c r="D6" s="147">
        <f>IF(OR('Données projet'!B9="",'Données projet'!C9="",'Données projet'!C9=0%),0,Calculateur!T3)</f>
        <v>421.45428232119559</v>
      </c>
      <c r="E6" s="147">
        <f ca="1">MIN(C6,D6)</f>
        <v>337.99164391065369</v>
      </c>
      <c r="F6" s="147">
        <f ca="1">E6*B6</f>
        <v>1107.2606254513016</v>
      </c>
      <c r="G6" s="147">
        <f ca="1">F6*(100%-'Données projet'!$C$24)*(100%-'Données projet'!$C$25)*(100%-'Données projet'!$C$26)*(100%-'Données projet'!$C$27)</f>
        <v>847.05437847024575</v>
      </c>
      <c r="H6" s="148">
        <f>IF(OR('Données projet'!B9="",'Données projet'!C9="",'Données projet'!C9=0%),0,AVERAGE(Calculateur!$AC$3:$AC$33)*B6)</f>
        <v>42.647875186816151</v>
      </c>
      <c r="I6" s="149">
        <f>H6*(100%-'Données projet'!$C$24)*(100%-'Données projet'!$C$25)*(100%-'Données projet'!$C$26)*(100%-'Données projet'!$C$27)</f>
        <v>32.625624517914353</v>
      </c>
      <c r="J6" s="150">
        <f>IF(OR('Données projet'!B9="",'Données projet'!C9="",'Données projet'!C9=0%),0,SUM(Calculateur!$V$3:$V$33)*VLOOKUP('Données projet'!$B$9,Paramètres!$A$1:$I$89,9,0)*B6)</f>
        <v>281.21335197621124</v>
      </c>
      <c r="K6" s="151">
        <f>J6*(100%-'Données projet'!$C$24)*(100%-'Données projet'!$C$25)*(100%-'Données projet'!$C$26)*(100%-'Données projet'!$C$27)</f>
        <v>215.12821426180162</v>
      </c>
      <c r="L6" s="152">
        <f ca="1">G6+I6+K6</f>
        <v>1094.8082172499617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Pin laricio</v>
      </c>
      <c r="B7" s="154">
        <f>'Données projet'!D10</f>
        <v>1.7639999999999998</v>
      </c>
      <c r="C7" s="147">
        <f ca="1">IF(OR('Données projet'!B10="",'Données projet'!C10="",'Données projet'!C10=0%),0,Calculateur!AN3)</f>
        <v>310.96303212465733</v>
      </c>
      <c r="D7" s="147">
        <f>IF(OR('Données projet'!B10="",'Données projet'!C10="",'Données projet'!C10=0%),0,Calculateur!AO3)</f>
        <v>248.17359812749166</v>
      </c>
      <c r="E7" s="147">
        <f t="shared" ref="E7:E15" ca="1" si="0">MIN(C7,D7)</f>
        <v>248.17359812749166</v>
      </c>
      <c r="F7" s="147">
        <f t="shared" ref="F7:F15" ca="1" si="1">E7*B7</f>
        <v>437.77822709689525</v>
      </c>
      <c r="G7" s="147">
        <f ca="1">F7*(100%-'Données projet'!$C$24)*(100%-'Données projet'!$C$25)*(100%-'Données projet'!$C$26)*(100%-'Données projet'!$C$27)</f>
        <v>334.90034372912487</v>
      </c>
      <c r="H7" s="155">
        <f>IF(OR('Données projet'!B10="",'Données projet'!C10="",'Données projet'!C10=0%),0,AVERAGE(Calculateur!$AX$3:$AX$33)*B7)</f>
        <v>10.559665544583197</v>
      </c>
      <c r="I7" s="149">
        <f>H7*(100%-'Données projet'!$C$24)*(100%-'Données projet'!$C$25)*(100%-'Données projet'!$C$26)*(100%-'Données projet'!$C$27)</f>
        <v>8.0781441416061455</v>
      </c>
      <c r="J7" s="150">
        <f>IF(OR('Données projet'!B10="",'Données projet'!C10="",'Données projet'!C10=0%),0,SUM(Calculateur!$AQ$3:$AQ$33)*VLOOKUP('Données projet'!$B$10,Paramètres!$A$1:$I$89,9,0)*B7)</f>
        <v>66.288813236603986</v>
      </c>
      <c r="K7" s="151">
        <f>J7*(100%-'Données projet'!$C$24)*(100%-'Données projet'!$C$25)*(100%-'Données projet'!$C$26)*(100%-'Données projet'!$C$27)</f>
        <v>50.710942126002053</v>
      </c>
      <c r="L7" s="152">
        <f t="shared" ref="L7:L15" ca="1" si="2">G7+I7+K7</f>
        <v>393.68942999673305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1545.0388525481969</v>
      </c>
      <c r="G16" s="166">
        <f t="shared" ca="1" si="3"/>
        <v>1181.9547221993707</v>
      </c>
      <c r="H16" s="167">
        <f t="shared" si="3"/>
        <v>53.207540731399348</v>
      </c>
      <c r="I16" s="167">
        <f t="shared" si="3"/>
        <v>40.703768659520499</v>
      </c>
      <c r="J16" s="168">
        <f t="shared" si="3"/>
        <v>347.50216521281521</v>
      </c>
      <c r="K16" s="168">
        <f t="shared" si="3"/>
        <v>265.83915638780365</v>
      </c>
      <c r="L16" s="169">
        <f t="shared" ca="1" si="3"/>
        <v>1488.4976472466947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90" t="s">
        <v>290</v>
      </c>
      <c r="G17" s="291"/>
      <c r="H17" s="291"/>
      <c r="I17" s="291"/>
      <c r="J17" s="291"/>
      <c r="K17" s="291"/>
      <c r="L17" s="291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7"/>
      <c r="G18" s="277"/>
      <c r="H18" s="277"/>
      <c r="I18" s="277"/>
      <c r="J18" s="277"/>
      <c r="K18" s="277"/>
      <c r="L18" s="277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2" zoomScale="80" zoomScaleNormal="80" workbookViewId="0">
      <selection activeCell="T25" sqref="T25:V25"/>
    </sheetView>
  </sheetViews>
  <sheetFormatPr defaultColWidth="11.42578125" defaultRowHeight="14.4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5" thickBot="1">
      <c r="A2" s="4"/>
      <c r="B2" s="278" t="s">
        <v>291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8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64" t="s">
        <v>292</v>
      </c>
      <c r="I4" s="264"/>
      <c r="K4" s="306" t="s">
        <v>293</v>
      </c>
      <c r="L4" s="30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8" t="s">
        <v>294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3349.8568349910684</v>
      </c>
      <c r="U10" s="178">
        <f>'Données projet'!D9</f>
        <v>3.2760000000000002</v>
      </c>
      <c r="V10" s="177">
        <f>U10*T10</f>
        <v>10974.13099143074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897.81606660553666</v>
      </c>
      <c r="U11" s="178">
        <f>'Données projet'!D10</f>
        <v>1.7639999999999998</v>
      </c>
      <c r="V11" s="177">
        <f t="shared" ref="V11" si="0">U11*T11</f>
        <v>1583.7475414921664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74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30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46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9"/>
      <c r="H16" s="190"/>
      <c r="I16" s="191"/>
      <c r="J16" s="202"/>
      <c r="K16" s="208"/>
      <c r="L16" s="306" t="s">
        <v>311</v>
      </c>
      <c r="M16" s="30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195</v>
      </c>
      <c r="C17" s="198" t="s">
        <v>195</v>
      </c>
      <c r="D17" s="197" t="s">
        <v>195</v>
      </c>
      <c r="E17" s="193"/>
      <c r="F17" s="230"/>
      <c r="G17" s="309"/>
      <c r="J17" s="202"/>
      <c r="K17" s="208"/>
      <c r="L17" s="266" t="s">
        <v>312</v>
      </c>
      <c r="M17" s="268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195</v>
      </c>
      <c r="C18" s="198" t="s">
        <v>195</v>
      </c>
      <c r="D18" s="197" t="s">
        <v>195</v>
      </c>
      <c r="E18" s="193"/>
      <c r="F18" s="230"/>
      <c r="G18" s="309"/>
      <c r="J18" s="202"/>
      <c r="K18" s="208"/>
      <c r="L18" s="266" t="s">
        <v>308</v>
      </c>
      <c r="M18" s="268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195</v>
      </c>
      <c r="C19" s="198" t="s">
        <v>195</v>
      </c>
      <c r="D19" s="197" t="s">
        <v>195</v>
      </c>
      <c r="E19" s="193"/>
      <c r="F19" s="230"/>
      <c r="G19" s="309"/>
      <c r="H19" s="212" t="s">
        <v>74</v>
      </c>
      <c r="I19" s="212" t="s">
        <v>313</v>
      </c>
      <c r="J19" s="93"/>
      <c r="K19" s="173"/>
      <c r="L19" s="306" t="s">
        <v>314</v>
      </c>
      <c r="M19" s="30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195</v>
      </c>
      <c r="C20" s="198" t="s">
        <v>195</v>
      </c>
      <c r="D20" s="197" t="s">
        <v>195</v>
      </c>
      <c r="E20" s="193"/>
      <c r="F20" s="230"/>
      <c r="G20" s="309"/>
      <c r="H20" s="190">
        <v>1</v>
      </c>
      <c r="I20" s="191">
        <v>5764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195</v>
      </c>
      <c r="C21" s="198" t="s">
        <v>195</v>
      </c>
      <c r="D21" s="197" t="s">
        <v>195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195</v>
      </c>
      <c r="C22" s="198" t="s">
        <v>195</v>
      </c>
      <c r="D22" s="197" t="s">
        <v>195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15</v>
      </c>
      <c r="B23" s="181">
        <f>'Données projet'!D36</f>
        <v>49.784615379999998</v>
      </c>
      <c r="C23" s="193">
        <v>10</v>
      </c>
      <c r="D23" s="182">
        <f>B23*C23</f>
        <v>497.84615379999997</v>
      </c>
      <c r="E23" s="193">
        <v>150</v>
      </c>
      <c r="F23" s="230"/>
      <c r="H23" s="190"/>
      <c r="I23" s="191"/>
      <c r="K23" s="208"/>
      <c r="L23" s="308" t="s">
        <v>315</v>
      </c>
      <c r="M23" s="308"/>
      <c r="N23" s="308"/>
      <c r="O23" s="23"/>
      <c r="P23" s="23"/>
      <c r="Q23" s="234"/>
      <c r="R23" s="23"/>
      <c r="S23" s="36" t="s">
        <v>316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-15241.700414445517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20</v>
      </c>
      <c r="B24" s="181">
        <f>'Données projet'!D37</f>
        <v>48.723076919999997</v>
      </c>
      <c r="C24" s="193">
        <v>18</v>
      </c>
      <c r="D24" s="182">
        <f t="shared" ref="D24:D42" si="2">B24*C24</f>
        <v>877.01538455999992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215036.98307954482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26</v>
      </c>
      <c r="B25" s="181">
        <f>'Données projet'!D38</f>
        <v>46.984615380000001</v>
      </c>
      <c r="C25" s="193">
        <v>25</v>
      </c>
      <c r="D25" s="182">
        <f t="shared" si="2"/>
        <v>1174.6153845000001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2000</v>
      </c>
      <c r="Q25" s="234"/>
      <c r="R25" s="23"/>
      <c r="S25" s="186" t="s">
        <v>319</v>
      </c>
      <c r="T25" s="305">
        <f ca="1">T23-T24</f>
        <v>-230278.68349399033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32</v>
      </c>
      <c r="B26" s="181">
        <f>'Données projet'!D39</f>
        <v>64.523076919999994</v>
      </c>
      <c r="C26" s="193">
        <v>25</v>
      </c>
      <c r="D26" s="182">
        <f t="shared" si="2"/>
        <v>1613.0769229999999</v>
      </c>
      <c r="E26" s="193">
        <v>150</v>
      </c>
      <c r="F26" s="233"/>
      <c r="G26" s="229"/>
      <c r="H26" s="190"/>
      <c r="I26" s="191"/>
      <c r="K26" s="208"/>
      <c r="L26" s="292" t="s">
        <v>320</v>
      </c>
      <c r="M26" s="293"/>
      <c r="N26" s="293"/>
      <c r="O26" s="293"/>
      <c r="P26" s="294"/>
      <c r="Q26" s="234"/>
      <c r="R26" s="23"/>
      <c r="S26" s="186" t="s">
        <v>321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40</v>
      </c>
      <c r="B27" s="181">
        <f>'Données projet'!D40</f>
        <v>92.661538460000003</v>
      </c>
      <c r="C27" s="193">
        <v>35</v>
      </c>
      <c r="D27" s="182">
        <f t="shared" si="2"/>
        <v>3243.1538461</v>
      </c>
      <c r="E27" s="193">
        <v>150</v>
      </c>
      <c r="F27" s="233"/>
      <c r="G27" s="229"/>
      <c r="H27" s="190"/>
      <c r="I27" s="191"/>
      <c r="K27" s="208"/>
      <c r="L27" s="295"/>
      <c r="M27" s="296"/>
      <c r="N27" s="296"/>
      <c r="O27" s="296"/>
      <c r="P27" s="297"/>
      <c r="Q27" s="234"/>
      <c r="R27" s="23"/>
      <c r="S27" s="301" t="s">
        <v>322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48</v>
      </c>
      <c r="B28" s="181">
        <f>'Données projet'!D41</f>
        <v>83.969230769999996</v>
      </c>
      <c r="C28" s="193">
        <v>35</v>
      </c>
      <c r="D28" s="182">
        <f t="shared" si="2"/>
        <v>2938.92307695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56</v>
      </c>
      <c r="B29" s="181">
        <f>'Données projet'!D42</f>
        <v>446.47692310000002</v>
      </c>
      <c r="C29" s="193">
        <v>35</v>
      </c>
      <c r="D29" s="182">
        <f t="shared" si="2"/>
        <v>15626.692308500002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42666.068071338261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1913.8755980861245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1831.4599024747606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1752.5932081098188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1677.1226871864299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1604.9020930013683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1535.7914765563337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1469.6569153649125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1406.3702539377157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1345.8088554427902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1287.8553640600865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1232.3974775694608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18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1179.3277297315417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1128.5432820397527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46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1079.945724439955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195</v>
      </c>
      <c r="C48" s="198" t="s">
        <v>195</v>
      </c>
      <c r="D48" s="197" t="s">
        <v>195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1033.4408846315359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195</v>
      </c>
      <c r="C49" s="198" t="s">
        <v>195</v>
      </c>
      <c r="D49" s="197" t="s">
        <v>195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988.93864558041753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195</v>
      </c>
      <c r="C50" s="198" t="s">
        <v>195</v>
      </c>
      <c r="D50" s="197" t="s">
        <v>195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946.35277089035162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195</v>
      </c>
      <c r="C51" s="198" t="s">
        <v>195</v>
      </c>
      <c r="D51" s="197" t="s">
        <v>195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905.60073769411656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195</v>
      </c>
      <c r="C52" s="198" t="s">
        <v>195</v>
      </c>
      <c r="D52" s="197" t="s">
        <v>195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866.60357674078148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195</v>
      </c>
      <c r="C53" s="198" t="s">
        <v>195</v>
      </c>
      <c r="D53" s="197" t="s">
        <v>195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829.2857193691691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22</v>
      </c>
      <c r="B54" s="181">
        <f>'Données projet'!D62</f>
        <v>52.746153849999999</v>
      </c>
      <c r="C54" s="191">
        <v>10</v>
      </c>
      <c r="D54" s="179">
        <f>B54*C54</f>
        <v>527.46153849999996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793.57485107097511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27</v>
      </c>
      <c r="B55" s="181">
        <f>'Données projet'!D63</f>
        <v>34.646153849999997</v>
      </c>
      <c r="C55" s="191">
        <v>10</v>
      </c>
      <c r="D55" s="179">
        <f t="shared" ref="D55:D73" si="4">B55*C55</f>
        <v>346.46153849999996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759.40177135978502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33</v>
      </c>
      <c r="B56" s="181">
        <f>'Données projet'!D64</f>
        <v>43.007692310000003</v>
      </c>
      <c r="C56" s="191">
        <v>10</v>
      </c>
      <c r="D56" s="179">
        <f t="shared" si="4"/>
        <v>430.07692310000004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726.70025967443542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41</v>
      </c>
      <c r="B57" s="181">
        <f>'Données projet'!D65</f>
        <v>58.484615380000001</v>
      </c>
      <c r="C57" s="191">
        <v>15</v>
      </c>
      <c r="D57" s="179">
        <f t="shared" si="4"/>
        <v>877.26923069999998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695.40694705687611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50</v>
      </c>
      <c r="B58" s="181">
        <f>'Données projet'!D66</f>
        <v>55.292307690000001</v>
      </c>
      <c r="C58" s="191">
        <v>25</v>
      </c>
      <c r="D58" s="179">
        <f t="shared" si="4"/>
        <v>1382.3076922499999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665.46119335586241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60</v>
      </c>
      <c r="B59" s="181">
        <f>'Données projet'!D67</f>
        <v>54.261538459999997</v>
      </c>
      <c r="C59" s="191">
        <v>25</v>
      </c>
      <c r="D59" s="179">
        <f t="shared" si="4"/>
        <v>1356.5384614999998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636.80496971852881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70</v>
      </c>
      <c r="B60" s="181">
        <f>'Données projet'!D68</f>
        <v>52.669230769999999</v>
      </c>
      <c r="C60" s="191">
        <v>25</v>
      </c>
      <c r="D60" s="179">
        <f t="shared" si="4"/>
        <v>1316.7307692499999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609.38274614213276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80</v>
      </c>
      <c r="B61" s="181">
        <f>'Données projet'!D69</f>
        <v>402.90769230000001</v>
      </c>
      <c r="C61" s="191">
        <v>25</v>
      </c>
      <c r="D61" s="179">
        <f t="shared" si="4"/>
        <v>10072.6923075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583.14138386806985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558.03003240963608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534.00003101400603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511.00481436746975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488.99982236121537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467.94241374278988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447.79178348592336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428.50888371858696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410.05634805606417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392.39841919240592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375.50087960995785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359.33098527268697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343.85740217482015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329.05014562183749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314.88052212616032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301.32107380493812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288.34552517218964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46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275.928732222191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264.04663370544603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252.67620450281913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241.79541100748253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231.38316842821294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221.41929993130429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195</v>
      </c>
      <c r="C84" s="198" t="s">
        <v>195</v>
      </c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211.88449754191799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202.76028472910818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194.02898060201738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185.6736656478636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177.67814894532398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170.02693678978378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46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46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46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46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46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46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46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8DD47451-53A2-495B-BACB-17906CADC920}"/>
</file>

<file path=customXml/itemProps2.xml><?xml version="1.0" encoding="utf-8"?>
<ds:datastoreItem xmlns:ds="http://schemas.openxmlformats.org/officeDocument/2006/customXml" ds:itemID="{7A03E1A8-7CA4-4C81-9E1D-F81189CD95DF}"/>
</file>

<file path=customXml/itemProps3.xml><?xml version="1.0" encoding="utf-8"?>
<ds:datastoreItem xmlns:ds="http://schemas.openxmlformats.org/officeDocument/2006/customXml" ds:itemID="{705FA4DC-1DF0-45FE-8E60-10AFB0CCCD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CNPF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Killian Baué</cp:lastModifiedBy>
  <cp:revision/>
  <dcterms:created xsi:type="dcterms:W3CDTF">2021-02-01T08:22:39Z</dcterms:created>
  <dcterms:modified xsi:type="dcterms:W3CDTF">2024-04-03T14:23:06Z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