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eoffroy.Rombaut\Desktop\"/>
    </mc:Choice>
  </mc:AlternateContent>
  <bookViews>
    <workbookView xWindow="0" yWindow="0" windowWidth="11748" windowHeight="5316" tabRatio="866" activeTab="6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3" i="1" l="1"/>
  <c r="B263" i="1"/>
  <c r="B262" i="1"/>
  <c r="D261" i="1"/>
  <c r="B261" i="1"/>
  <c r="B260" i="1"/>
  <c r="D259" i="1"/>
  <c r="B259" i="1"/>
  <c r="B258" i="1"/>
  <c r="D257" i="1"/>
  <c r="B257" i="1"/>
  <c r="B256" i="1"/>
  <c r="D255" i="1"/>
  <c r="B255" i="1"/>
  <c r="B254" i="1"/>
  <c r="D253" i="1"/>
  <c r="B253" i="1"/>
  <c r="B252" i="1"/>
  <c r="D251" i="1"/>
  <c r="B251" i="1"/>
  <c r="B250" i="1"/>
  <c r="D249" i="1"/>
  <c r="B249" i="1"/>
  <c r="B248" i="1"/>
  <c r="D247" i="1"/>
  <c r="B247" i="1"/>
  <c r="B246" i="1"/>
  <c r="D245" i="1"/>
  <c r="B245" i="1"/>
  <c r="B244" i="1"/>
  <c r="D211" i="1"/>
  <c r="B211" i="1"/>
  <c r="D210" i="1"/>
  <c r="B210" i="1"/>
  <c r="D209" i="1"/>
  <c r="B209" i="1"/>
  <c r="D208" i="1"/>
  <c r="B208" i="1"/>
  <c r="D207" i="1"/>
  <c r="B207" i="1"/>
  <c r="D206" i="1"/>
  <c r="B206" i="1"/>
  <c r="D205" i="1"/>
  <c r="B205" i="1"/>
  <c r="D204" i="1"/>
  <c r="B204" i="1"/>
  <c r="B203" i="1"/>
  <c r="D202" i="1"/>
  <c r="B202" i="1"/>
  <c r="B201" i="1"/>
  <c r="D200" i="1"/>
  <c r="B200" i="1"/>
  <c r="B199" i="1"/>
  <c r="D198" i="1"/>
  <c r="B198" i="1"/>
  <c r="B197" i="1"/>
  <c r="D196" i="1"/>
  <c r="B196" i="1"/>
  <c r="B195" i="1"/>
  <c r="D194" i="1"/>
  <c r="B194" i="1"/>
  <c r="B193" i="1"/>
  <c r="B192" i="1"/>
  <c r="D237" i="1"/>
  <c r="B237" i="1"/>
  <c r="D236" i="1"/>
  <c r="B236" i="1"/>
  <c r="D235" i="1"/>
  <c r="B235" i="1"/>
  <c r="D234" i="1"/>
  <c r="B234" i="1"/>
  <c r="D233" i="1"/>
  <c r="B233" i="1"/>
  <c r="D232" i="1"/>
  <c r="B232" i="1"/>
  <c r="D231" i="1"/>
  <c r="B231" i="1"/>
  <c r="D230" i="1"/>
  <c r="B230" i="1"/>
  <c r="B229" i="1"/>
  <c r="D228" i="1"/>
  <c r="B228" i="1"/>
  <c r="B227" i="1"/>
  <c r="D226" i="1"/>
  <c r="B226" i="1"/>
  <c r="B225" i="1"/>
  <c r="D224" i="1"/>
  <c r="B224" i="1"/>
  <c r="B223" i="1"/>
  <c r="D222" i="1"/>
  <c r="B222" i="1"/>
  <c r="B221" i="1"/>
  <c r="D220" i="1"/>
  <c r="B220" i="1"/>
  <c r="B219" i="1"/>
  <c r="B218" i="1"/>
  <c r="D55" i="1"/>
  <c r="D54" i="1"/>
  <c r="D53" i="1"/>
  <c r="D52" i="1"/>
  <c r="D51" i="1"/>
  <c r="D50" i="1"/>
  <c r="D49" i="1"/>
  <c r="D47" i="1"/>
  <c r="D45" i="1"/>
  <c r="D43" i="1"/>
  <c r="D41" i="1"/>
  <c r="D39" i="1"/>
  <c r="D37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D81" i="1"/>
  <c r="D80" i="1"/>
  <c r="D79" i="1"/>
  <c r="D78" i="1"/>
  <c r="D77" i="1"/>
  <c r="D76" i="1"/>
  <c r="D75" i="1"/>
  <c r="D74" i="1"/>
  <c r="D72" i="1"/>
  <c r="D70" i="1"/>
  <c r="D68" i="1"/>
  <c r="D66" i="1"/>
  <c r="D64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D102" i="1" l="1"/>
  <c r="B102" i="1"/>
  <c r="B101" i="1"/>
  <c r="D100" i="1"/>
  <c r="B100" i="1"/>
  <c r="B99" i="1"/>
  <c r="D98" i="1"/>
  <c r="B98" i="1"/>
  <c r="B97" i="1"/>
  <c r="D96" i="1"/>
  <c r="B96" i="1"/>
  <c r="B95" i="1"/>
  <c r="B94" i="1"/>
  <c r="B93" i="1"/>
  <c r="B92" i="1"/>
  <c r="B91" i="1"/>
  <c r="D90" i="1"/>
  <c r="B90" i="1"/>
  <c r="B89" i="1"/>
  <c r="B88" i="1"/>
  <c r="D159" i="1" l="1"/>
  <c r="B159" i="1"/>
  <c r="B158" i="1"/>
  <c r="B157" i="1"/>
  <c r="B156" i="1"/>
  <c r="B155" i="1"/>
  <c r="B154" i="1"/>
  <c r="D153" i="1"/>
  <c r="B153" i="1"/>
  <c r="B152" i="1"/>
  <c r="D151" i="1"/>
  <c r="B151" i="1"/>
  <c r="B150" i="1"/>
  <c r="D149" i="1"/>
  <c r="B149" i="1"/>
  <c r="B148" i="1"/>
  <c r="D147" i="1"/>
  <c r="B147" i="1"/>
  <c r="B146" i="1"/>
  <c r="D145" i="1"/>
  <c r="B145" i="1"/>
  <c r="B144" i="1"/>
  <c r="D143" i="1"/>
  <c r="B143" i="1"/>
  <c r="B142" i="1"/>
  <c r="D141" i="1"/>
  <c r="B141" i="1"/>
  <c r="B140" i="1"/>
  <c r="D174" i="1" l="1"/>
  <c r="D168" i="1"/>
  <c r="B168" i="1"/>
  <c r="B167" i="1"/>
  <c r="D94" i="1"/>
  <c r="D92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HI7" i="2"/>
  <c r="EX7" i="2"/>
  <c r="EW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HH10" i="2"/>
  <c r="HG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HH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W18" i="2" l="1"/>
  <c r="HG18" i="2"/>
  <c r="FS18" i="2"/>
  <c r="EV18" i="2"/>
  <c r="EX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FS20" i="2" l="1"/>
  <c r="EC20" i="2"/>
  <c r="EV20" i="2"/>
  <c r="HG20" i="2"/>
  <c r="HH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HH21" i="2"/>
  <c r="HI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HG22" i="2"/>
  <c r="HH22" i="2"/>
  <c r="EA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V28" i="2"/>
  <c r="HG28" i="2"/>
  <c r="HI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HH33" i="2"/>
  <c r="EW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HH35" i="2" l="1"/>
  <c r="FQ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B37" i="2"/>
  <c r="EA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HI38" i="2"/>
  <c r="HH38" i="2"/>
  <c r="FS38" i="2"/>
  <c r="EX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G43" i="2"/>
  <c r="HI43" i="2"/>
  <c r="EX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FS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I45" i="2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G48" i="2"/>
  <c r="HH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FS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X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HG57" i="2"/>
  <c r="HI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HI60" i="2"/>
  <c r="EV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W61" i="2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HH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G70" i="2"/>
  <c r="HI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H75" i="2"/>
  <c r="HG75" i="2"/>
  <c r="EA75" i="2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V78" i="2"/>
  <c r="HI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HG85" i="2"/>
  <c r="HH85" i="2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EX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HI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HG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FS105" i="2"/>
  <c r="EA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B108" i="2"/>
  <c r="FS108" i="2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EB109" i="2" s="1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FQ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HG113" i="2"/>
  <c r="FS113" i="2"/>
  <c r="EW113" i="2"/>
  <c r="EC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W114" i="2"/>
  <c r="HG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HI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H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FR121" i="2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HH122" i="2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FS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EX130" i="2"/>
  <c r="HG130" i="2"/>
  <c r="FS130" i="2"/>
  <c r="EW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HI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W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R140" i="2" l="1"/>
  <c r="EB140" i="2"/>
  <c r="HH140" i="2"/>
  <c r="HG140" i="2"/>
  <c r="EX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G141" i="2"/>
  <c r="HH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HH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I146" i="2"/>
  <c r="HH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X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G150" i="2" l="1"/>
  <c r="FS150" i="2"/>
  <c r="EC150" i="2"/>
  <c r="HI150" i="2"/>
  <c r="HH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G154" i="2" l="1"/>
  <c r="HH154" i="2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HJ154" i="2"/>
  <c r="EY154" i="2"/>
  <c r="HG155" i="2"/>
  <c r="HH155" i="2"/>
  <c r="EW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EB156" i="2"/>
  <c r="EX156" i="2"/>
  <c r="AB156" i="2"/>
  <c r="HH156" i="2"/>
  <c r="HG156" i="2"/>
  <c r="HI156" i="2"/>
  <c r="FS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H157" i="2" l="1"/>
  <c r="EX157" i="2"/>
  <c r="HG157" i="2"/>
  <c r="EC157" i="2"/>
  <c r="EA157" i="2"/>
  <c r="ED157" i="2" s="1"/>
  <c r="CN156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H158" i="2" l="1"/>
  <c r="EC158" i="2"/>
  <c r="HG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D158" i="2"/>
  <c r="HI159" i="2"/>
  <c r="EA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FS160" i="2"/>
  <c r="EC160" i="2"/>
  <c r="EY159" i="2"/>
  <c r="HI160" i="2"/>
  <c r="HG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HH161" i="2"/>
  <c r="ED160" i="2"/>
  <c r="AB161" i="2"/>
  <c r="HG161" i="2"/>
  <c r="EX161" i="2"/>
  <c r="EB161" i="2"/>
  <c r="EA161" i="2"/>
  <c r="AW161" i="2"/>
  <c r="EC161" i="2"/>
  <c r="ED161" i="2" s="1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H162" i="2" l="1"/>
  <c r="EB162" i="2"/>
  <c r="HG162" i="2"/>
  <c r="EW162" i="2"/>
  <c r="EY161" i="2"/>
  <c r="EC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H163" i="2" l="1"/>
  <c r="ED162" i="2"/>
  <c r="EY162" i="2"/>
  <c r="HI163" i="2"/>
  <c r="HG163" i="2"/>
  <c r="EV163" i="2"/>
  <c r="EA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HH164" i="2" l="1"/>
  <c r="EA164" i="2"/>
  <c r="EY163" i="2"/>
  <c r="EV164" i="2"/>
  <c r="HG164" i="2"/>
  <c r="FR164" i="2"/>
  <c r="FS164" i="2"/>
  <c r="EX164" i="2"/>
  <c r="DH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EX165" i="2"/>
  <c r="HG165" i="2"/>
  <c r="EB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HG166" i="2"/>
  <c r="FS166" i="2"/>
  <c r="CN165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J166" i="2" l="1"/>
  <c r="EB167" i="2"/>
  <c r="EY166" i="2"/>
  <c r="HH167" i="2"/>
  <c r="HI167" i="2"/>
  <c r="FR167" i="2"/>
  <c r="EX167" i="2"/>
  <c r="EA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HH168" i="2"/>
  <c r="HI168" i="2"/>
  <c r="EV168" i="2"/>
  <c r="EW168" i="2"/>
  <c r="DG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EX169" i="2"/>
  <c r="EY168" i="2"/>
  <c r="FS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V172" i="2"/>
  <c r="HG172" i="2"/>
  <c r="HI172" i="2"/>
  <c r="EW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J172" i="2"/>
  <c r="EX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EC174" i="2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EA175" i="2"/>
  <c r="EB175" i="2"/>
  <c r="EW175" i="2"/>
  <c r="HI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EW177" i="2"/>
  <c r="EC177" i="2"/>
  <c r="HH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FS178" i="2"/>
  <c r="EW178" i="2"/>
  <c r="HG178" i="2"/>
  <c r="HH178" i="2"/>
  <c r="EA178" i="2"/>
  <c r="EB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EA179" i="2"/>
  <c r="HI179" i="2"/>
  <c r="HH179" i="2"/>
  <c r="HG179" i="2"/>
  <c r="EV179" i="2"/>
  <c r="DF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EX180" i="2"/>
  <c r="EY179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EW181" i="2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D182" i="2"/>
  <c r="EA183" i="2"/>
  <c r="EY182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I185" i="2"/>
  <c r="HH185" i="2"/>
  <c r="HG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D185" i="2"/>
  <c r="EB186" i="2"/>
  <c r="HG186" i="2"/>
  <c r="HH186" i="2"/>
  <c r="FR186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EY186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I188" i="2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V189" i="2" l="1"/>
  <c r="EY188" i="2"/>
  <c r="HH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V190" i="2" l="1"/>
  <c r="HJ189" i="2"/>
  <c r="EB190" i="2"/>
  <c r="ED189" i="2"/>
  <c r="EY189" i="2"/>
  <c r="HH190" i="2"/>
  <c r="HG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H191" i="2"/>
  <c r="ED190" i="2"/>
  <c r="HG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HH192" i="2"/>
  <c r="EC192" i="2"/>
  <c r="EW192" i="2"/>
  <c r="EV192" i="2"/>
  <c r="HG192" i="2"/>
  <c r="HI192" i="2"/>
  <c r="EA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Y192" i="2" l="1"/>
  <c r="ED192" i="2"/>
  <c r="EB193" i="2"/>
  <c r="EA193" i="2"/>
  <c r="HI193" i="2"/>
  <c r="FQ193" i="2"/>
  <c r="EX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CN193" i="2" l="1"/>
  <c r="FQ194" i="2"/>
  <c r="ED193" i="2"/>
  <c r="EB194" i="2"/>
  <c r="EA194" i="2"/>
  <c r="HI194" i="2"/>
  <c r="HG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Y194" i="2" l="1"/>
  <c r="EA195" i="2"/>
  <c r="EB195" i="2"/>
  <c r="AA195" i="2"/>
  <c r="HG195" i="2"/>
  <c r="HI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H196" i="2"/>
  <c r="HG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H197" i="2"/>
  <c r="EW197" i="2"/>
  <c r="EY196" i="2"/>
  <c r="HG197" i="2"/>
  <c r="FS197" i="2"/>
  <c r="EA197" i="2"/>
  <c r="EC197" i="2"/>
  <c r="EX197" i="2"/>
  <c r="EB197" i="2"/>
  <c r="ED197" i="2" s="1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W199" i="2" l="1"/>
  <c r="EV199" i="2"/>
  <c r="EB199" i="2"/>
  <c r="HH199" i="2"/>
  <c r="HG199" i="2"/>
  <c r="FS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J199" i="2"/>
  <c r="EX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DI200" i="2"/>
  <c r="HJ200" i="2"/>
  <c r="HH201" i="2"/>
  <c r="HG201" i="2"/>
  <c r="FS201" i="2"/>
  <c r="EA201" i="2"/>
  <c r="EB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W202" i="2" l="1"/>
  <c r="FZ6" i="2"/>
  <c r="FS202" i="2"/>
  <c r="HH202" i="2"/>
  <c r="HG202" i="2"/>
  <c r="EX202" i="2"/>
  <c r="HI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BC82" i="2" a="1"/>
  <c r="BC82" i="2" s="1"/>
  <c r="DN56" i="2" a="1"/>
  <c r="DN56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CS161" i="2" a="1"/>
  <c r="CS161" i="2" s="1"/>
  <c r="CS105" i="2" a="1"/>
  <c r="CS105" i="2" s="1"/>
  <c r="CS38" i="2" a="1"/>
  <c r="CS38" i="2" s="1"/>
  <c r="FD194" i="2" a="1"/>
  <c r="FD194" i="2" s="1"/>
  <c r="BC31" i="2" a="1"/>
  <c r="BC31" i="2" s="1"/>
  <c r="DN63" i="2" a="1"/>
  <c r="DN63" i="2" s="1"/>
  <c r="CS120" i="2" a="1"/>
  <c r="CS120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EY202" i="2"/>
  <c r="AX200" i="2"/>
  <c r="FY164" i="2" l="1" a="1"/>
  <c r="FY164" i="2" s="1"/>
  <c r="FY120" i="2" a="1"/>
  <c r="FY120" i="2" s="1"/>
  <c r="FY196" i="2" a="1"/>
  <c r="FY196" i="2" s="1"/>
  <c r="FY99" i="2" a="1"/>
  <c r="FY99" i="2" s="1"/>
  <c r="FY159" i="2" a="1"/>
  <c r="FY159" i="2" s="1"/>
  <c r="AH19" i="2" a="1"/>
  <c r="AH19" i="2" s="1"/>
  <c r="AH163" i="2" a="1"/>
  <c r="AH163" i="2" s="1"/>
  <c r="AH62" i="2" a="1"/>
  <c r="AH62" i="2" s="1"/>
  <c r="AH199" i="2" a="1"/>
  <c r="AH199" i="2" s="1"/>
  <c r="AH151" i="2" a="1"/>
  <c r="AH151" i="2" s="1"/>
  <c r="AH166" i="2" a="1"/>
  <c r="AH166" i="2" s="1"/>
  <c r="AH92" i="2" a="1"/>
  <c r="AH92" i="2" s="1"/>
  <c r="HJ202" i="2"/>
  <c r="GT15" i="2" a="1"/>
  <c r="GT15" i="2" s="1"/>
  <c r="GT107" i="2" a="1"/>
  <c r="GT107" i="2" s="1"/>
  <c r="GT190" i="2" a="1"/>
  <c r="GT190" i="2" s="1"/>
  <c r="GT38" i="2" a="1"/>
  <c r="GT38" i="2" s="1"/>
  <c r="GT138" i="2" a="1"/>
  <c r="GT138" i="2" s="1"/>
  <c r="HH203" i="2"/>
  <c r="GT178" i="2" a="1"/>
  <c r="GT178" i="2" s="1"/>
  <c r="GT74" i="2" a="1"/>
  <c r="GT74" i="2" s="1"/>
  <c r="GT198" i="2" a="1"/>
  <c r="GT198" i="2" s="1"/>
  <c r="GT174" i="2" a="1"/>
  <c r="GT174" i="2" s="1"/>
  <c r="GT191" i="2" a="1"/>
  <c r="GT191" i="2" s="1"/>
  <c r="GT126" i="2" a="1"/>
  <c r="GT126" i="2" s="1"/>
  <c r="GT12" i="2" a="1"/>
  <c r="GT12" i="2" s="1"/>
  <c r="GT11" i="2" a="1"/>
  <c r="GT11" i="2" s="1"/>
  <c r="GT33" i="2" a="1"/>
  <c r="GT33" i="2" s="1"/>
  <c r="GT189" i="2" a="1"/>
  <c r="GT189" i="2" s="1"/>
  <c r="GT21" i="2" a="1"/>
  <c r="GT21" i="2" s="1"/>
  <c r="GT147" i="2" a="1"/>
  <c r="GT147" i="2" s="1"/>
  <c r="HG203" i="2"/>
  <c r="GT122" i="2" a="1"/>
  <c r="GT122" i="2" s="1"/>
  <c r="GT51" i="2" a="1"/>
  <c r="GT51" i="2" s="1"/>
  <c r="GT102" i="2" a="1"/>
  <c r="GT102" i="2" s="1"/>
  <c r="BX107" i="2" a="1"/>
  <c r="BX107" i="2" s="1"/>
  <c r="GT68" i="2" a="1"/>
  <c r="GT68" i="2" s="1"/>
  <c r="GT181" i="2" a="1"/>
  <c r="GT181" i="2" s="1"/>
  <c r="GT152" i="2" a="1"/>
  <c r="GT152" i="2" s="1"/>
  <c r="GT133" i="2" a="1"/>
  <c r="GT133" i="2" s="1"/>
  <c r="GT184" i="2" a="1"/>
  <c r="GT184" i="2" s="1"/>
  <c r="GT115" i="2" a="1"/>
  <c r="GT115" i="2" s="1"/>
  <c r="GT121" i="2" a="1"/>
  <c r="GT121" i="2" s="1"/>
  <c r="FD187" i="2" a="1"/>
  <c r="FD187" i="2" s="1"/>
  <c r="FD43" i="2" a="1"/>
  <c r="FD43" i="2" s="1"/>
  <c r="FD159" i="2" a="1"/>
  <c r="FD159" i="2" s="1"/>
  <c r="FD131" i="2" a="1"/>
  <c r="FD131" i="2" s="1"/>
  <c r="FD60" i="2" a="1"/>
  <c r="FD60" i="2" s="1"/>
  <c r="FD19" i="2" a="1"/>
  <c r="FD19" i="2" s="1"/>
  <c r="FD64" i="2" a="1"/>
  <c r="FD64" i="2" s="1"/>
  <c r="FD160" i="2" a="1"/>
  <c r="FD160" i="2" s="1"/>
  <c r="FD189" i="2" a="1"/>
  <c r="FD189" i="2" s="1"/>
  <c r="FD137" i="2" a="1"/>
  <c r="FD137" i="2" s="1"/>
  <c r="FD14" i="2" a="1"/>
  <c r="FD14" i="2" s="1"/>
  <c r="FD48" i="2" a="1"/>
  <c r="FD48" i="2" s="1"/>
  <c r="FD59" i="2" a="1"/>
  <c r="FD59" i="2" s="1"/>
  <c r="FD107" i="2" a="1"/>
  <c r="FD107" i="2" s="1"/>
  <c r="FD44" i="2" a="1"/>
  <c r="FD44" i="2" s="1"/>
  <c r="FD144" i="2" a="1"/>
  <c r="FD144" i="2" s="1"/>
  <c r="FD167" i="2" a="1"/>
  <c r="FD167" i="2" s="1"/>
  <c r="FD188" i="2" a="1"/>
  <c r="FD188" i="2" s="1"/>
  <c r="FD21" i="2" a="1"/>
  <c r="FD21" i="2" s="1"/>
  <c r="BC18" i="2" a="1"/>
  <c r="BC18" i="2" s="1"/>
  <c r="BC84" i="2" a="1"/>
  <c r="BC84" i="2" s="1"/>
  <c r="BC47" i="2" a="1"/>
  <c r="BC47" i="2" s="1"/>
  <c r="BC83" i="2" a="1"/>
  <c r="BC83" i="2" s="1"/>
  <c r="BC164" i="2" a="1"/>
  <c r="BC164" i="2" s="1"/>
  <c r="BC117" i="2" a="1"/>
  <c r="BC117" i="2" s="1"/>
  <c r="BC58" i="2" a="1"/>
  <c r="BC58" i="2" s="1"/>
  <c r="BC38" i="2" a="1"/>
  <c r="BC38" i="2" s="1"/>
  <c r="BC192" i="2" a="1"/>
  <c r="BC192" i="2" s="1"/>
  <c r="BC181" i="2" a="1"/>
  <c r="BC181" i="2" s="1"/>
  <c r="BC34" i="2" a="1"/>
  <c r="BC34" i="2" s="1"/>
  <c r="BC151" i="2" a="1"/>
  <c r="BC151" i="2" s="1"/>
  <c r="BC55" i="2" a="1"/>
  <c r="BC55" i="2" s="1"/>
  <c r="BC65" i="2" a="1"/>
  <c r="BC65" i="2" s="1"/>
  <c r="BC32" i="2" a="1"/>
  <c r="BC32" i="2" s="1"/>
  <c r="BC7" i="2" a="1"/>
  <c r="BC7" i="2" s="1"/>
  <c r="BC130" i="2" a="1"/>
  <c r="BC130" i="2" s="1"/>
  <c r="BC114" i="2" a="1"/>
  <c r="BC114" i="2" s="1"/>
  <c r="BC68" i="2" a="1"/>
  <c r="BC68" i="2" s="1"/>
  <c r="BC185" i="2" a="1"/>
  <c r="BC185" i="2" s="1"/>
  <c r="BC143" i="2" a="1"/>
  <c r="BC143" i="2" s="1"/>
  <c r="BC126" i="2" a="1"/>
  <c r="BC126" i="2" s="1"/>
  <c r="FY42" i="2" a="1"/>
  <c r="FY42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82" i="2" a="1"/>
  <c r="FY82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121" i="2" a="1"/>
  <c r="FY121" i="2" s="1"/>
  <c r="FY182" i="2" a="1"/>
  <c r="FY182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115" i="2" a="1"/>
  <c r="FY115" i="2" s="1"/>
  <c r="FY124" i="2" a="1"/>
  <c r="FY124" i="2" s="1"/>
  <c r="FY126" i="2" a="1"/>
  <c r="FY126" i="2" s="1"/>
  <c r="FY111" i="2" a="1"/>
  <c r="FY111" i="2" s="1"/>
  <c r="FY110" i="2" a="1"/>
  <c r="FY110" i="2" s="1"/>
  <c r="FY165" i="2" a="1"/>
  <c r="FY165" i="2" s="1"/>
  <c r="FY167" i="2" a="1"/>
  <c r="FY167" i="2" s="1"/>
  <c r="FY142" i="2" a="1"/>
  <c r="FY142" i="2" s="1"/>
  <c r="FY86" i="2" a="1"/>
  <c r="FY86" i="2" s="1"/>
  <c r="FY169" i="2" a="1"/>
  <c r="FY169" i="2" s="1"/>
  <c r="FY188" i="2" a="1"/>
  <c r="FY188" i="2" s="1"/>
  <c r="FY73" i="2" a="1"/>
  <c r="FY73" i="2" s="1"/>
  <c r="FY153" i="2" a="1"/>
  <c r="FY153" i="2" s="1"/>
  <c r="FY80" i="2" a="1"/>
  <c r="FY80" i="2" s="1"/>
  <c r="FY58" i="2" a="1"/>
  <c r="FY58" i="2" s="1"/>
  <c r="FY172" i="2" a="1"/>
  <c r="FY172" i="2" s="1"/>
  <c r="FY62" i="2" a="1"/>
  <c r="FY62" i="2" s="1"/>
  <c r="FY28" i="2" a="1"/>
  <c r="FY28" i="2" s="1"/>
  <c r="FY152" i="2" a="1"/>
  <c r="FY152" i="2" s="1"/>
  <c r="FY102" i="2" a="1"/>
  <c r="FY102" i="2" s="1"/>
  <c r="FY30" i="2" a="1"/>
  <c r="FY30" i="2" s="1"/>
  <c r="FY104" i="2" a="1"/>
  <c r="FY104" i="2" s="1"/>
  <c r="FY190" i="2" a="1"/>
  <c r="FY190" i="2" s="1"/>
  <c r="FY78" i="2" a="1"/>
  <c r="FY78" i="2" s="1"/>
  <c r="FY186" i="2" a="1"/>
  <c r="FY186" i="2" s="1"/>
  <c r="FY69" i="2" a="1"/>
  <c r="FY69" i="2" s="1"/>
  <c r="FY35" i="2" a="1"/>
  <c r="FY35" i="2" s="1"/>
  <c r="FY146" i="2" a="1"/>
  <c r="FY146" i="2" s="1"/>
  <c r="FY32" i="2" a="1"/>
  <c r="FY32" i="2" s="1"/>
  <c r="FY50" i="2" a="1"/>
  <c r="FY50" i="2" s="1"/>
  <c r="FY133" i="2" a="1"/>
  <c r="FY133" i="2" s="1"/>
  <c r="FY140" i="2" a="1"/>
  <c r="FY140" i="2" s="1"/>
  <c r="FY29" i="2" a="1"/>
  <c r="FY29" i="2" s="1"/>
  <c r="FY54" i="2" a="1"/>
  <c r="FY54" i="2" s="1"/>
  <c r="FY109" i="2" a="1"/>
  <c r="FY109" i="2" s="1"/>
  <c r="FY79" i="2" a="1"/>
  <c r="FY79" i="2" s="1"/>
  <c r="FY47" i="2" a="1"/>
  <c r="FY47" i="2" s="1"/>
  <c r="FY22" i="2" a="1"/>
  <c r="FY22" i="2" s="1"/>
  <c r="FY90" i="2" a="1"/>
  <c r="FY90" i="2" s="1"/>
  <c r="FY57" i="2" a="1"/>
  <c r="FY57" i="2" s="1"/>
  <c r="BP203" i="2"/>
  <c r="EC203" i="2"/>
  <c r="EX203" i="2"/>
  <c r="EY203" i="2" s="1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FJ72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J112" i="2" l="1"/>
  <c r="FJ29" i="2"/>
  <c r="FJ123" i="2"/>
  <c r="FJ202" i="2"/>
  <c r="FJ16" i="2"/>
  <c r="FJ128" i="2"/>
  <c r="FJ196" i="2"/>
  <c r="FJ58" i="2"/>
  <c r="FJ164" i="2"/>
  <c r="FJ188" i="2"/>
  <c r="FJ120" i="2"/>
  <c r="FJ50" i="2"/>
  <c r="FJ174" i="2"/>
  <c r="FJ26" i="2"/>
  <c r="FJ99" i="2"/>
  <c r="FJ79" i="2"/>
  <c r="FJ36" i="2"/>
  <c r="FJ135" i="2"/>
  <c r="FJ4" i="2"/>
  <c r="FJ134" i="2"/>
  <c r="FJ113" i="2"/>
  <c r="FJ157" i="2"/>
  <c r="FJ71" i="2"/>
  <c r="FJ8" i="2"/>
  <c r="FJ39" i="2"/>
  <c r="FJ171" i="2"/>
  <c r="FJ199" i="2"/>
  <c r="FJ22" i="2"/>
  <c r="FJ168" i="2"/>
  <c r="FJ143" i="2"/>
  <c r="FJ201" i="2"/>
  <c r="FJ126" i="2"/>
  <c r="FJ48" i="2"/>
  <c r="FJ38" i="2"/>
  <c r="FJ10" i="2"/>
  <c r="FJ9" i="2"/>
  <c r="FJ111" i="2"/>
  <c r="FJ163" i="2"/>
  <c r="FJ197" i="2"/>
  <c r="FJ80" i="2"/>
  <c r="FJ28" i="2"/>
  <c r="FJ24" i="2"/>
  <c r="FJ166" i="2"/>
  <c r="FJ181" i="2"/>
  <c r="FJ33" i="2"/>
  <c r="FJ23" i="2"/>
  <c r="FJ34" i="2"/>
  <c r="FJ11" i="2"/>
  <c r="FJ5" i="2"/>
  <c r="FJ191" i="2"/>
  <c r="FJ37" i="2"/>
  <c r="FJ97" i="2"/>
  <c r="FJ60" i="2"/>
  <c r="FJ184" i="2"/>
  <c r="FJ158" i="2"/>
  <c r="FJ200" i="2"/>
  <c r="FJ66" i="2"/>
  <c r="FJ144" i="2"/>
  <c r="FJ133" i="2"/>
  <c r="FJ43" i="2"/>
  <c r="FJ25" i="2"/>
  <c r="FJ119" i="2"/>
  <c r="FJ189" i="2"/>
  <c r="FJ17" i="2"/>
  <c r="FJ108" i="2"/>
  <c r="FJ59" i="2"/>
  <c r="FJ147" i="2"/>
  <c r="FJ91" i="2"/>
  <c r="FJ30" i="2"/>
  <c r="FJ19" i="2"/>
  <c r="FJ116" i="2"/>
  <c r="FJ74" i="2"/>
  <c r="FJ175" i="2"/>
  <c r="FJ140" i="2"/>
  <c r="FJ96" i="2"/>
  <c r="FJ176" i="2"/>
  <c r="FJ18" i="2"/>
  <c r="FJ159" i="2"/>
  <c r="FJ165" i="2"/>
  <c r="FJ98" i="2"/>
  <c r="FJ145" i="2"/>
  <c r="FJ167" i="2"/>
  <c r="FJ89" i="2"/>
  <c r="FJ194" i="2"/>
  <c r="FJ46" i="2"/>
  <c r="FJ73" i="2"/>
  <c r="FJ56" i="2"/>
  <c r="FJ109" i="2"/>
  <c r="FJ142" i="2"/>
  <c r="FJ178" i="2"/>
  <c r="FJ110" i="2"/>
  <c r="FJ177" i="2"/>
  <c r="FJ183" i="2"/>
  <c r="FJ95" i="2"/>
  <c r="FJ160" i="2"/>
  <c r="FJ152" i="2"/>
  <c r="FJ67" i="2"/>
  <c r="FJ94" i="2"/>
  <c r="FJ55" i="2"/>
  <c r="FJ51" i="2"/>
  <c r="FJ172" i="2"/>
  <c r="FJ198" i="2"/>
  <c r="FJ100" i="2"/>
  <c r="FJ185" i="2"/>
  <c r="FJ150" i="2"/>
  <c r="FJ107" i="2"/>
  <c r="FJ148" i="2"/>
  <c r="FJ40" i="2"/>
  <c r="FJ127" i="2"/>
  <c r="FJ104" i="2"/>
  <c r="FJ75" i="2"/>
  <c r="FJ14" i="2"/>
  <c r="FJ121" i="2"/>
  <c r="FJ103" i="2"/>
  <c r="FJ47" i="2"/>
  <c r="FJ192" i="2"/>
  <c r="FJ124" i="2"/>
  <c r="FJ173" i="2"/>
  <c r="FJ170" i="2"/>
  <c r="FJ161" i="2"/>
  <c r="FJ131" i="2"/>
  <c r="FJ151" i="2"/>
  <c r="FJ81" i="2"/>
  <c r="FJ62" i="2"/>
  <c r="FJ41" i="2"/>
  <c r="FJ179" i="2"/>
  <c r="FJ190" i="2"/>
  <c r="FJ105" i="2"/>
  <c r="FJ86" i="2"/>
  <c r="FJ7" i="2"/>
  <c r="FJ162" i="2"/>
  <c r="FJ155" i="2"/>
  <c r="FJ182" i="2"/>
  <c r="FJ88" i="2"/>
  <c r="FJ53" i="2"/>
  <c r="FJ32" i="2"/>
  <c r="FJ187" i="2"/>
  <c r="FJ138" i="2"/>
  <c r="FJ70" i="2"/>
  <c r="FJ193" i="2"/>
  <c r="FJ21" i="2"/>
  <c r="FJ84" i="2"/>
  <c r="FJ63" i="2"/>
  <c r="FJ31" i="2"/>
  <c r="FJ141" i="2"/>
  <c r="FJ137" i="2"/>
  <c r="FJ76" i="2"/>
  <c r="FJ106" i="2"/>
  <c r="FJ129" i="2"/>
  <c r="FJ6" i="2"/>
  <c r="FJ54" i="2"/>
  <c r="FJ87" i="2"/>
  <c r="FJ156" i="2"/>
  <c r="FJ101" i="2"/>
  <c r="FJ153" i="2"/>
  <c r="FJ117" i="2"/>
  <c r="FJ92" i="2"/>
  <c r="FJ136" i="2"/>
  <c r="FJ169" i="2"/>
  <c r="FJ195" i="2"/>
  <c r="FJ90" i="2"/>
  <c r="FJ85" i="2"/>
  <c r="FJ180" i="2"/>
  <c r="FJ83" i="2"/>
  <c r="FJ149" i="2"/>
  <c r="FJ118" i="2"/>
  <c r="FJ13" i="2"/>
  <c r="FJ130" i="2"/>
  <c r="FJ139" i="2"/>
  <c r="FJ64" i="2"/>
  <c r="FJ78" i="2"/>
  <c r="FJ35" i="2"/>
  <c r="FJ49" i="2"/>
  <c r="FJ82" i="2"/>
  <c r="FJ44" i="2"/>
  <c r="FJ114" i="2"/>
  <c r="FJ93" i="2"/>
  <c r="FJ102" i="2"/>
  <c r="FJ69" i="2"/>
  <c r="FJ68" i="2"/>
  <c r="FJ3" i="2"/>
  <c r="C13" i="4" s="1"/>
  <c r="E13" i="4" s="1"/>
  <c r="F13" i="4" s="1"/>
  <c r="G13" i="4" s="1"/>
  <c r="L13" i="4" s="1"/>
  <c r="FJ15" i="2"/>
  <c r="FJ45" i="2"/>
  <c r="FJ203" i="2"/>
  <c r="FJ42" i="2"/>
  <c r="FJ154" i="2"/>
  <c r="FJ115" i="2"/>
  <c r="FJ65" i="2"/>
  <c r="FJ57" i="2"/>
  <c r="FJ132" i="2"/>
  <c r="FJ20" i="2"/>
  <c r="FJ125" i="2"/>
  <c r="FJ61" i="2"/>
  <c r="FJ146" i="2"/>
  <c r="FJ52" i="2"/>
  <c r="FJ186" i="2"/>
  <c r="FJ77" i="2"/>
  <c r="FJ12" i="2"/>
  <c r="FJ122" i="2"/>
  <c r="FJ27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CD48" i="2" l="1"/>
  <c r="CD63" i="2"/>
  <c r="CD192" i="2"/>
  <c r="CD37" i="2"/>
  <c r="CD66" i="2"/>
  <c r="CD8" i="2"/>
  <c r="CD120" i="2"/>
  <c r="CD118" i="2"/>
  <c r="CD122" i="2"/>
  <c r="CD201" i="2"/>
  <c r="CD127" i="2"/>
  <c r="CD181" i="2"/>
  <c r="CD186" i="2"/>
  <c r="CD124" i="2"/>
  <c r="CD35" i="2"/>
  <c r="CD175" i="2"/>
  <c r="CD159" i="2"/>
  <c r="CD24" i="2"/>
  <c r="CD166" i="2"/>
  <c r="CD79" i="2"/>
  <c r="CD88" i="2"/>
  <c r="CD7" i="2"/>
  <c r="CD167" i="2"/>
  <c r="CD38" i="2"/>
  <c r="CD98" i="2"/>
  <c r="CD5" i="2"/>
  <c r="CD141" i="2"/>
  <c r="CD165" i="2"/>
  <c r="CD94" i="2"/>
  <c r="CD187" i="2"/>
  <c r="CD30" i="2"/>
  <c r="CD183" i="2"/>
  <c r="CD131" i="2"/>
  <c r="CD145" i="2"/>
  <c r="CD91" i="2"/>
  <c r="CD170" i="2"/>
  <c r="CD53" i="2"/>
  <c r="CD69" i="2"/>
  <c r="CD152" i="2"/>
  <c r="CD194" i="2"/>
  <c r="CD4" i="2"/>
  <c r="CD89" i="2"/>
  <c r="CD42" i="2"/>
  <c r="CD156" i="2"/>
  <c r="CD172" i="2"/>
  <c r="CD40" i="2"/>
  <c r="CD161" i="2"/>
  <c r="CD76" i="2"/>
  <c r="CD133" i="2"/>
  <c r="CD25" i="2"/>
  <c r="CD47" i="2"/>
  <c r="CD109" i="2"/>
  <c r="CD162" i="2"/>
  <c r="CD27" i="2"/>
  <c r="CD78" i="2"/>
  <c r="CD136" i="2"/>
  <c r="CD179" i="2"/>
  <c r="CD36" i="2"/>
  <c r="CD185" i="2"/>
  <c r="CD99" i="2"/>
  <c r="CD87" i="2"/>
  <c r="CD119" i="2"/>
  <c r="CD148" i="2"/>
  <c r="CD96" i="2"/>
  <c r="CD134" i="2"/>
  <c r="CD173" i="2"/>
  <c r="CD157" i="2"/>
  <c r="CD14" i="2"/>
  <c r="CD177" i="2"/>
  <c r="CD147" i="2"/>
  <c r="CD138" i="2"/>
  <c r="CD13" i="2"/>
  <c r="CD132" i="2"/>
  <c r="CD29" i="2"/>
  <c r="CD34" i="2"/>
  <c r="CD26" i="2"/>
  <c r="CD126" i="2"/>
  <c r="CD10" i="2"/>
  <c r="CD51" i="2"/>
  <c r="CD41" i="2"/>
  <c r="CD176" i="2"/>
  <c r="CD202" i="2"/>
  <c r="CD11" i="2"/>
  <c r="CD68" i="2"/>
  <c r="CD188" i="2"/>
  <c r="CD17" i="2"/>
  <c r="CD72" i="2"/>
  <c r="CD75" i="2"/>
  <c r="CD82" i="2"/>
  <c r="CD6" i="2"/>
  <c r="CD150" i="2"/>
  <c r="CD95" i="2"/>
  <c r="CD90" i="2"/>
  <c r="CD67" i="2"/>
  <c r="CD158" i="2"/>
  <c r="CD57" i="2"/>
  <c r="CD125" i="2"/>
  <c r="CD21" i="2"/>
  <c r="CD114" i="2"/>
  <c r="CD105" i="2"/>
  <c r="CD184" i="2"/>
  <c r="CD12" i="2"/>
  <c r="CD115" i="2"/>
  <c r="CD104" i="2"/>
  <c r="CD149" i="2"/>
  <c r="CD169" i="2"/>
  <c r="CD70" i="2"/>
  <c r="CD121" i="2"/>
  <c r="CD189" i="2"/>
  <c r="CD62" i="2"/>
  <c r="CD3" i="2"/>
  <c r="C9" i="4" s="1"/>
  <c r="E9" i="4" s="1"/>
  <c r="F9" i="4" s="1"/>
  <c r="G9" i="4" s="1"/>
  <c r="L9" i="4" s="1"/>
  <c r="CD60" i="2"/>
  <c r="CD203" i="2"/>
  <c r="CD59" i="2"/>
  <c r="CD171" i="2"/>
  <c r="CD111" i="2"/>
  <c r="CD73" i="2"/>
  <c r="CD55" i="2"/>
  <c r="CD97" i="2"/>
  <c r="CD22" i="2"/>
  <c r="CD123" i="2"/>
  <c r="CD61" i="2"/>
  <c r="CD86" i="2"/>
  <c r="CD193" i="2"/>
  <c r="CD56" i="2"/>
  <c r="CD164" i="2"/>
  <c r="CD199" i="2"/>
  <c r="CD92" i="2"/>
  <c r="CD33" i="2"/>
  <c r="CD178" i="2"/>
  <c r="CD16" i="2"/>
  <c r="CD113" i="2"/>
  <c r="CD146" i="2"/>
  <c r="CD163" i="2"/>
  <c r="CD174" i="2"/>
  <c r="CD128" i="2"/>
  <c r="CD168" i="2"/>
  <c r="CD32" i="2"/>
  <c r="CD198" i="2"/>
  <c r="CD101" i="2"/>
  <c r="CD45" i="2"/>
  <c r="CD9" i="2"/>
  <c r="CD50" i="2"/>
  <c r="CD129" i="2"/>
  <c r="CD195" i="2"/>
  <c r="CD151" i="2"/>
  <c r="CD110" i="2"/>
  <c r="CD85" i="2"/>
  <c r="CD84" i="2"/>
  <c r="CD52" i="2"/>
  <c r="CD106" i="2"/>
  <c r="CD49" i="2"/>
  <c r="CD54" i="2"/>
  <c r="CD144" i="2"/>
  <c r="CD23" i="2"/>
  <c r="CD18" i="2"/>
  <c r="CD107" i="2"/>
  <c r="CD182" i="2"/>
  <c r="CD155" i="2"/>
  <c r="CD71" i="2"/>
  <c r="CD81" i="2"/>
  <c r="CD153" i="2"/>
  <c r="CD64" i="2"/>
  <c r="CD112" i="2"/>
  <c r="CD200" i="2"/>
  <c r="CD130" i="2"/>
  <c r="CD117" i="2"/>
  <c r="CD39" i="2"/>
  <c r="CD140" i="2"/>
  <c r="CD108" i="2"/>
  <c r="CD77" i="2"/>
  <c r="CD135" i="2"/>
  <c r="CD137" i="2"/>
  <c r="CD31" i="2"/>
  <c r="CD15" i="2"/>
  <c r="CD20" i="2"/>
  <c r="CD143" i="2"/>
  <c r="CD80" i="2"/>
  <c r="CD103" i="2"/>
  <c r="CD28" i="2"/>
  <c r="CD154" i="2"/>
  <c r="CD102" i="2"/>
  <c r="CD65" i="2"/>
  <c r="CD191" i="2"/>
  <c r="CD58" i="2"/>
  <c r="CD46" i="2"/>
  <c r="CD142" i="2"/>
  <c r="CD190" i="2"/>
  <c r="CD100" i="2"/>
  <c r="CD197" i="2"/>
  <c r="CD44" i="2"/>
  <c r="CD196" i="2"/>
  <c r="CD83" i="2"/>
  <c r="CD93" i="2"/>
  <c r="CD116" i="2"/>
  <c r="CD74" i="2"/>
  <c r="CD19" i="2"/>
  <c r="CD160" i="2"/>
  <c r="CD180" i="2"/>
  <c r="CD139" i="2"/>
  <c r="CD43" i="2"/>
  <c r="FE108" i="2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CY24" i="2" l="1"/>
  <c r="CY168" i="2"/>
  <c r="CY106" i="2"/>
  <c r="CY57" i="2"/>
  <c r="CY144" i="2"/>
  <c r="CY150" i="2"/>
  <c r="CY186" i="2"/>
  <c r="CY194" i="2"/>
  <c r="CY138" i="2"/>
  <c r="CY87" i="2"/>
  <c r="CY86" i="2"/>
  <c r="CY154" i="2"/>
  <c r="CY65" i="2"/>
  <c r="CY172" i="2"/>
  <c r="CY26" i="2"/>
  <c r="CY183" i="2"/>
  <c r="CY126" i="2"/>
  <c r="CY7" i="2"/>
  <c r="CY78" i="2"/>
  <c r="CY167" i="2"/>
  <c r="CY73" i="2"/>
  <c r="CY14" i="2"/>
  <c r="CY92" i="2"/>
  <c r="CY192" i="2"/>
  <c r="CY62" i="2"/>
  <c r="CY41" i="2"/>
  <c r="CY38" i="2"/>
  <c r="CY71" i="2"/>
  <c r="CY76" i="2"/>
  <c r="CY13" i="2"/>
  <c r="CY40" i="2"/>
  <c r="CY120" i="2"/>
  <c r="CY49" i="2"/>
  <c r="CY4" i="2"/>
  <c r="CY36" i="2"/>
  <c r="CY42" i="2"/>
  <c r="CY184" i="2"/>
  <c r="CY195" i="2"/>
  <c r="CY134" i="2"/>
  <c r="CY177" i="2"/>
  <c r="CY161" i="2"/>
  <c r="CY29" i="2"/>
  <c r="CY101" i="2"/>
  <c r="CY8" i="2"/>
  <c r="CY85" i="2"/>
  <c r="CY142" i="2"/>
  <c r="CY135" i="2"/>
  <c r="CY180" i="2"/>
  <c r="CY94" i="2"/>
  <c r="CY123" i="2"/>
  <c r="CY64" i="2"/>
  <c r="CY191" i="2"/>
  <c r="CY9" i="2"/>
  <c r="CY196" i="2"/>
  <c r="CY140" i="2"/>
  <c r="CY132" i="2"/>
  <c r="CY102" i="2"/>
  <c r="CY56" i="2"/>
  <c r="CY18" i="2"/>
  <c r="CY155" i="2"/>
  <c r="CY141" i="2"/>
  <c r="CY110" i="2"/>
  <c r="CY53" i="2"/>
  <c r="CY28" i="2"/>
  <c r="CY77" i="2"/>
  <c r="CY54" i="2"/>
  <c r="CY125" i="2"/>
  <c r="CY11" i="2"/>
  <c r="CY116" i="2"/>
  <c r="CY3" i="2"/>
  <c r="C10" i="4" s="1"/>
  <c r="E10" i="4" s="1"/>
  <c r="F10" i="4" s="1"/>
  <c r="G10" i="4" s="1"/>
  <c r="L10" i="4" s="1"/>
  <c r="CY148" i="2"/>
  <c r="CY112" i="2"/>
  <c r="CY153" i="2"/>
  <c r="CY176" i="2"/>
  <c r="CY163" i="2"/>
  <c r="CY103" i="2"/>
  <c r="CY21" i="2"/>
  <c r="CY25" i="2"/>
  <c r="CY81" i="2"/>
  <c r="CY90" i="2"/>
  <c r="CY61" i="2"/>
  <c r="CY119" i="2"/>
  <c r="CY139" i="2"/>
  <c r="CY89" i="2"/>
  <c r="CY122" i="2"/>
  <c r="CY181" i="2"/>
  <c r="CY46" i="2"/>
  <c r="CY75" i="2"/>
  <c r="CY20" i="2"/>
  <c r="CY131" i="2"/>
  <c r="CY32" i="2"/>
  <c r="CY91" i="2"/>
  <c r="CY15" i="2"/>
  <c r="CY121" i="2"/>
  <c r="CY160" i="2"/>
  <c r="CY178" i="2"/>
  <c r="CY59" i="2"/>
  <c r="CY109" i="2"/>
  <c r="CY97" i="2"/>
  <c r="CY111" i="2"/>
  <c r="CY113" i="2"/>
  <c r="CY48" i="2"/>
  <c r="CY70" i="2"/>
  <c r="CY63" i="2"/>
  <c r="CY44" i="2"/>
  <c r="CY190" i="2"/>
  <c r="CY104" i="2"/>
  <c r="CY96" i="2"/>
  <c r="CY5" i="2"/>
  <c r="CY34" i="2"/>
  <c r="CY127" i="2"/>
  <c r="CY27" i="2"/>
  <c r="CY93" i="2"/>
  <c r="CY95" i="2"/>
  <c r="CY118" i="2"/>
  <c r="CY128" i="2"/>
  <c r="CY143" i="2"/>
  <c r="CY31" i="2"/>
  <c r="CY69" i="2"/>
  <c r="CY169" i="2"/>
  <c r="CY6" i="2"/>
  <c r="CY185" i="2"/>
  <c r="CY50" i="2"/>
  <c r="CY175" i="2"/>
  <c r="CY79" i="2"/>
  <c r="CY45" i="2"/>
  <c r="CY99" i="2"/>
  <c r="CY165" i="2"/>
  <c r="CY51" i="2"/>
  <c r="CY149" i="2"/>
  <c r="CY60" i="2"/>
  <c r="CY202" i="2"/>
  <c r="CY37" i="2"/>
  <c r="CY200" i="2"/>
  <c r="CY115" i="2"/>
  <c r="CY105" i="2"/>
  <c r="CY124" i="2"/>
  <c r="CY162" i="2"/>
  <c r="CY203" i="2"/>
  <c r="CY84" i="2"/>
  <c r="CY68" i="2"/>
  <c r="CY108" i="2"/>
  <c r="CY170" i="2"/>
  <c r="CY80" i="2"/>
  <c r="CY173" i="2"/>
  <c r="CY156" i="2"/>
  <c r="CY23" i="2"/>
  <c r="CY35" i="2"/>
  <c r="CY174" i="2"/>
  <c r="CY164" i="2"/>
  <c r="CY136" i="2"/>
  <c r="CY17" i="2"/>
  <c r="CY182" i="2"/>
  <c r="CY199" i="2"/>
  <c r="CY22" i="2"/>
  <c r="CY159" i="2"/>
  <c r="CY179" i="2"/>
  <c r="CY52" i="2"/>
  <c r="CY67" i="2"/>
  <c r="CY133" i="2"/>
  <c r="CY198" i="2"/>
  <c r="CY16" i="2"/>
  <c r="CY152" i="2"/>
  <c r="CY188" i="2"/>
  <c r="CY72" i="2"/>
  <c r="CY74" i="2"/>
  <c r="CY129" i="2"/>
  <c r="CY117" i="2"/>
  <c r="CY88" i="2"/>
  <c r="CY151" i="2"/>
  <c r="CY146" i="2"/>
  <c r="CY58" i="2"/>
  <c r="CY19" i="2"/>
  <c r="CY10" i="2"/>
  <c r="CY157" i="2"/>
  <c r="CY166" i="2"/>
  <c r="CY83" i="2"/>
  <c r="CY100" i="2"/>
  <c r="CY98" i="2"/>
  <c r="CY33" i="2"/>
  <c r="CY107" i="2"/>
  <c r="CY158" i="2"/>
  <c r="CY30" i="2"/>
  <c r="CY189" i="2"/>
  <c r="CY82" i="2"/>
  <c r="CY137" i="2"/>
  <c r="CY171" i="2"/>
  <c r="CY39" i="2"/>
  <c r="CY43" i="2"/>
  <c r="CY114" i="2"/>
  <c r="CY193" i="2"/>
  <c r="CY130" i="2"/>
  <c r="CY47" i="2"/>
  <c r="CY145" i="2"/>
  <c r="CY201" i="2"/>
  <c r="CY147" i="2"/>
  <c r="CY197" i="2"/>
  <c r="CY55" i="2"/>
  <c r="CY66" i="2"/>
  <c r="CY187" i="2"/>
  <c r="CY12" i="2"/>
  <c r="GZ76" i="2"/>
  <c r="GZ45" i="2"/>
  <c r="GZ149" i="2"/>
  <c r="GZ154" i="2"/>
  <c r="GZ103" i="2"/>
  <c r="GZ35" i="2"/>
  <c r="GZ54" i="2"/>
  <c r="GZ97" i="2"/>
  <c r="GZ85" i="2"/>
  <c r="GZ82" i="2"/>
  <c r="GZ64" i="2"/>
  <c r="GZ150" i="2"/>
  <c r="GZ193" i="2"/>
  <c r="GZ38" i="2"/>
  <c r="GZ151" i="2"/>
  <c r="GZ178" i="2"/>
  <c r="GZ67" i="2"/>
  <c r="GZ131" i="2"/>
  <c r="GZ81" i="2"/>
  <c r="GZ62" i="2"/>
  <c r="GZ182" i="2"/>
  <c r="GZ23" i="2"/>
  <c r="GZ55" i="2"/>
  <c r="GZ188" i="2"/>
  <c r="GZ129" i="2"/>
  <c r="GZ140" i="2"/>
  <c r="GZ127" i="2"/>
  <c r="GZ74" i="2"/>
  <c r="GZ57" i="2"/>
  <c r="GZ32" i="2"/>
  <c r="GZ7" i="2"/>
  <c r="GZ48" i="2"/>
  <c r="GZ6" i="2"/>
  <c r="GZ135" i="2"/>
  <c r="GZ73" i="2"/>
  <c r="GZ9" i="2"/>
  <c r="GZ166" i="2"/>
  <c r="GZ5" i="2"/>
  <c r="GZ179" i="2"/>
  <c r="GZ195" i="2"/>
  <c r="GZ109" i="2"/>
  <c r="GZ174" i="2"/>
  <c r="GZ18" i="2"/>
  <c r="GZ125" i="2"/>
  <c r="GZ11" i="2"/>
  <c r="GZ91" i="2"/>
  <c r="GZ60" i="2"/>
  <c r="GZ115" i="2"/>
  <c r="GZ198" i="2"/>
  <c r="GZ70" i="2"/>
  <c r="GZ200" i="2"/>
  <c r="GZ51" i="2"/>
  <c r="GZ142" i="2"/>
  <c r="GZ58" i="2"/>
  <c r="GZ68" i="2"/>
  <c r="GZ36" i="2"/>
  <c r="GZ79" i="2"/>
  <c r="GZ28" i="2"/>
  <c r="GZ161" i="2"/>
  <c r="GZ155" i="2"/>
  <c r="GZ199" i="2"/>
  <c r="GZ157" i="2"/>
  <c r="GZ41" i="2"/>
  <c r="GZ153" i="2"/>
  <c r="GZ19" i="2"/>
  <c r="GZ21" i="2"/>
  <c r="GZ12" i="2"/>
  <c r="GZ156" i="2"/>
  <c r="GZ134" i="2"/>
  <c r="GZ194" i="2"/>
  <c r="GZ189" i="2"/>
  <c r="GZ173" i="2"/>
  <c r="GZ183" i="2"/>
  <c r="GZ16" i="2"/>
  <c r="GZ141" i="2"/>
  <c r="GZ29" i="2"/>
  <c r="GZ33" i="2"/>
  <c r="GZ119" i="2"/>
  <c r="GZ192" i="2"/>
  <c r="GZ148" i="2"/>
  <c r="GZ30" i="2"/>
  <c r="GZ146" i="2"/>
  <c r="GZ162" i="2"/>
  <c r="GZ43" i="2"/>
  <c r="GZ165" i="2"/>
  <c r="GZ121" i="2"/>
  <c r="GZ196" i="2"/>
  <c r="GZ98" i="2"/>
  <c r="GZ39" i="2"/>
  <c r="GZ203" i="2"/>
  <c r="GZ83" i="2"/>
  <c r="GZ160" i="2"/>
  <c r="GZ26" i="2"/>
  <c r="GZ46" i="2"/>
  <c r="GZ186" i="2"/>
  <c r="GZ136" i="2"/>
  <c r="GZ87" i="2"/>
  <c r="GZ126" i="2"/>
  <c r="GZ124" i="2"/>
  <c r="GZ180" i="2"/>
  <c r="GZ163" i="2"/>
  <c r="GZ138" i="2"/>
  <c r="GZ61" i="2"/>
  <c r="GZ145" i="2"/>
  <c r="GZ170" i="2"/>
  <c r="GZ71" i="2"/>
  <c r="GZ132" i="2"/>
  <c r="GZ40" i="2"/>
  <c r="GZ95" i="2"/>
  <c r="GZ172" i="2"/>
  <c r="GZ117" i="2"/>
  <c r="GZ80" i="2"/>
  <c r="GZ13" i="2"/>
  <c r="GZ118" i="2"/>
  <c r="GZ177" i="2"/>
  <c r="GZ128" i="2"/>
  <c r="GZ90" i="2"/>
  <c r="GZ158" i="2"/>
  <c r="GZ133" i="2"/>
  <c r="GZ152" i="2"/>
  <c r="GZ78" i="2"/>
  <c r="GZ53" i="2"/>
  <c r="GZ10" i="2"/>
  <c r="GZ27" i="2"/>
  <c r="GZ176" i="2"/>
  <c r="GZ120" i="2"/>
  <c r="GZ113" i="2"/>
  <c r="GZ159" i="2"/>
  <c r="GZ69" i="2"/>
  <c r="GZ137" i="2"/>
  <c r="GZ22" i="2"/>
  <c r="GZ202" i="2"/>
  <c r="GZ17" i="2"/>
  <c r="GZ105" i="2"/>
  <c r="GZ65" i="2"/>
  <c r="GZ44" i="2"/>
  <c r="GZ4" i="2"/>
  <c r="GZ114" i="2"/>
  <c r="GZ123" i="2"/>
  <c r="GZ77" i="2"/>
  <c r="GZ143" i="2"/>
  <c r="GZ50" i="2"/>
  <c r="GZ110" i="2"/>
  <c r="GZ42" i="2"/>
  <c r="GZ101" i="2"/>
  <c r="GZ66" i="2"/>
  <c r="GZ93" i="2"/>
  <c r="GZ190" i="2"/>
  <c r="GZ184" i="2"/>
  <c r="GZ20" i="2"/>
  <c r="GZ37" i="2"/>
  <c r="GZ108" i="2"/>
  <c r="GZ144" i="2"/>
  <c r="GZ181" i="2"/>
  <c r="GZ185" i="2"/>
  <c r="GZ34" i="2"/>
  <c r="GZ75" i="2"/>
  <c r="GZ171" i="2"/>
  <c r="GZ14" i="2"/>
  <c r="GZ104" i="2"/>
  <c r="GZ175" i="2"/>
  <c r="GZ89" i="2"/>
  <c r="GZ111" i="2"/>
  <c r="GZ100" i="2"/>
  <c r="GZ112" i="2"/>
  <c r="GZ49" i="2"/>
  <c r="GZ31" i="2"/>
  <c r="GZ86" i="2"/>
  <c r="GZ106" i="2"/>
  <c r="GZ169" i="2"/>
  <c r="GZ191" i="2"/>
  <c r="GZ8" i="2"/>
  <c r="GZ107" i="2"/>
  <c r="GZ167" i="2"/>
  <c r="GZ24" i="2"/>
  <c r="GZ187" i="2"/>
  <c r="GZ72" i="2"/>
  <c r="GZ139" i="2"/>
  <c r="GZ197" i="2"/>
  <c r="GZ25" i="2"/>
  <c r="GZ63" i="2"/>
  <c r="GZ164" i="2"/>
  <c r="GZ94" i="2"/>
  <c r="GZ168" i="2"/>
  <c r="GZ88" i="2"/>
  <c r="GZ102" i="2"/>
  <c r="GZ15" i="2"/>
  <c r="GZ201" i="2"/>
  <c r="GZ52" i="2"/>
  <c r="GZ130" i="2"/>
  <c r="GZ147" i="2"/>
  <c r="GZ116" i="2"/>
  <c r="GZ96" i="2"/>
  <c r="GZ56" i="2"/>
  <c r="GZ92" i="2"/>
  <c r="GZ99" i="2"/>
  <c r="GZ59" i="2"/>
  <c r="GZ47" i="2"/>
  <c r="GZ122" i="2"/>
  <c r="GZ84" i="2"/>
  <c r="GZ3" i="2"/>
  <c r="C15" i="4" s="1"/>
  <c r="E15" i="4" s="1"/>
  <c r="F15" i="4" s="1"/>
  <c r="G15" i="4" s="1"/>
  <c r="L15" i="4" s="1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GE152" i="2" l="1"/>
  <c r="GE3" i="2"/>
  <c r="C14" i="4" s="1"/>
  <c r="E14" i="4" s="1"/>
  <c r="F14" i="4" s="1"/>
  <c r="G14" i="4" s="1"/>
  <c r="L14" i="4" s="1"/>
  <c r="GE93" i="2"/>
  <c r="GE186" i="2"/>
  <c r="GE51" i="2"/>
  <c r="GE36" i="2"/>
  <c r="GE57" i="2"/>
  <c r="GE193" i="2"/>
  <c r="GE153" i="2"/>
  <c r="GE112" i="2"/>
  <c r="GE143" i="2"/>
  <c r="GE95" i="2"/>
  <c r="GE170" i="2"/>
  <c r="GE19" i="2"/>
  <c r="GE122" i="2"/>
  <c r="GE167" i="2"/>
  <c r="GE35" i="2"/>
  <c r="GE58" i="2"/>
  <c r="GE190" i="2"/>
  <c r="GE68" i="2"/>
  <c r="GE56" i="2"/>
  <c r="GE60" i="2"/>
  <c r="GE123" i="2"/>
  <c r="GE139" i="2"/>
  <c r="GE5" i="2"/>
  <c r="GE157" i="2"/>
  <c r="GE165" i="2"/>
  <c r="GE32" i="2"/>
  <c r="GE161" i="2"/>
  <c r="GE71" i="2"/>
  <c r="GE55" i="2"/>
  <c r="GE171" i="2"/>
  <c r="GE159" i="2"/>
  <c r="GE16" i="2"/>
  <c r="GE135" i="2"/>
  <c r="GE6" i="2"/>
  <c r="GE187" i="2"/>
  <c r="GE173" i="2"/>
  <c r="GE197" i="2"/>
  <c r="GE198" i="2"/>
  <c r="GE26" i="2"/>
  <c r="GE61" i="2"/>
  <c r="GE14" i="2"/>
  <c r="GE147" i="2"/>
  <c r="GE203" i="2"/>
  <c r="GE53" i="2"/>
  <c r="GE164" i="2"/>
  <c r="GE59" i="2"/>
  <c r="GE78" i="2"/>
  <c r="GE201" i="2"/>
  <c r="GE179" i="2"/>
  <c r="GE124" i="2"/>
  <c r="GE38" i="2"/>
  <c r="GE88" i="2"/>
  <c r="GE47" i="2"/>
  <c r="GE132" i="2"/>
  <c r="GE62" i="2"/>
  <c r="GE178" i="2"/>
  <c r="GE21" i="2"/>
  <c r="GE77" i="2"/>
  <c r="GE140" i="2"/>
  <c r="GE189" i="2"/>
  <c r="GE23" i="2"/>
  <c r="GE104" i="2"/>
  <c r="GE13" i="2"/>
  <c r="GE48" i="2"/>
  <c r="GE49" i="2"/>
  <c r="GE31" i="2"/>
  <c r="GE12" i="2"/>
  <c r="GE33" i="2"/>
  <c r="GE50" i="2"/>
  <c r="GE90" i="2"/>
  <c r="GE181" i="2"/>
  <c r="GE86" i="2"/>
  <c r="GE11" i="2"/>
  <c r="GE92" i="2"/>
  <c r="GE117" i="2"/>
  <c r="GE43" i="2"/>
  <c r="GE175" i="2"/>
  <c r="GE134" i="2"/>
  <c r="GE89" i="2"/>
  <c r="GE195" i="2"/>
  <c r="GE192" i="2"/>
  <c r="GE27" i="2"/>
  <c r="GE37" i="2"/>
  <c r="GE142" i="2"/>
  <c r="GE103" i="2"/>
  <c r="GE44" i="2"/>
  <c r="GE96" i="2"/>
  <c r="GE100" i="2"/>
  <c r="GE54" i="2"/>
  <c r="GE129" i="2"/>
  <c r="GE154" i="2"/>
  <c r="GE131" i="2"/>
  <c r="GE110" i="2"/>
  <c r="GE183" i="2"/>
  <c r="GE180" i="2"/>
  <c r="GE158" i="2"/>
  <c r="GE76" i="2"/>
  <c r="GE127" i="2"/>
  <c r="GE160" i="2"/>
  <c r="GE174" i="2"/>
  <c r="GE136" i="2"/>
  <c r="GE67" i="2"/>
  <c r="GE52" i="2"/>
  <c r="GE4" i="2"/>
  <c r="GE200" i="2"/>
  <c r="GE69" i="2"/>
  <c r="GE166" i="2"/>
  <c r="GE109" i="2"/>
  <c r="GE25" i="2"/>
  <c r="GE73" i="2"/>
  <c r="GE74" i="2"/>
  <c r="GE91" i="2"/>
  <c r="GE72" i="2"/>
  <c r="GE113" i="2"/>
  <c r="GE145" i="2"/>
  <c r="GE111" i="2"/>
  <c r="GE98" i="2"/>
  <c r="GE83" i="2"/>
  <c r="GE116" i="2"/>
  <c r="GE24" i="2"/>
  <c r="GE188" i="2"/>
  <c r="GE155" i="2"/>
  <c r="GE29" i="2"/>
  <c r="GE108" i="2"/>
  <c r="GE185" i="2"/>
  <c r="GE65" i="2"/>
  <c r="GE146" i="2"/>
  <c r="GE79" i="2"/>
  <c r="GE94" i="2"/>
  <c r="GE128" i="2"/>
  <c r="GE70" i="2"/>
  <c r="GE150" i="2"/>
  <c r="GE196" i="2"/>
  <c r="GE133" i="2"/>
  <c r="GE194" i="2"/>
  <c r="GE9" i="2"/>
  <c r="GE162" i="2"/>
  <c r="GE138" i="2"/>
  <c r="GE87" i="2"/>
  <c r="GE102" i="2"/>
  <c r="GE82" i="2"/>
  <c r="GE176" i="2"/>
  <c r="GE126" i="2"/>
  <c r="GE106" i="2"/>
  <c r="GE7" i="2"/>
  <c r="GE63" i="2"/>
  <c r="GE172" i="2"/>
  <c r="GE41" i="2"/>
  <c r="GE42" i="2"/>
  <c r="GE184" i="2"/>
  <c r="GE17" i="2"/>
  <c r="GE97" i="2"/>
  <c r="GE115" i="2"/>
  <c r="GE199" i="2"/>
  <c r="GE105" i="2"/>
  <c r="GE10" i="2"/>
  <c r="GE120" i="2"/>
  <c r="GE30" i="2"/>
  <c r="GE99" i="2"/>
  <c r="GE182" i="2"/>
  <c r="GE64" i="2"/>
  <c r="GE191" i="2"/>
  <c r="GE118" i="2"/>
  <c r="GE81" i="2"/>
  <c r="GE8" i="2"/>
  <c r="GE149" i="2"/>
  <c r="GE75" i="2"/>
  <c r="GE125" i="2"/>
  <c r="GE163" i="2"/>
  <c r="GE137" i="2"/>
  <c r="GE85" i="2"/>
  <c r="GE101" i="2"/>
  <c r="GE66" i="2"/>
  <c r="GE46" i="2"/>
  <c r="GE121" i="2"/>
  <c r="GE40" i="2"/>
  <c r="GE141" i="2"/>
  <c r="GE39" i="2"/>
  <c r="GE28" i="2"/>
  <c r="GE169" i="2"/>
  <c r="GE15" i="2"/>
  <c r="GE22" i="2"/>
  <c r="GE34" i="2"/>
  <c r="GE168" i="2"/>
  <c r="GE84" i="2"/>
  <c r="GE80" i="2"/>
  <c r="GE114" i="2"/>
  <c r="GE144" i="2"/>
  <c r="GE20" i="2"/>
  <c r="GE202" i="2"/>
  <c r="GE107" i="2"/>
  <c r="GE148" i="2"/>
  <c r="GE151" i="2"/>
  <c r="GE18" i="2"/>
  <c r="GE177" i="2"/>
  <c r="GE130" i="2"/>
  <c r="GE119" i="2"/>
  <c r="GE156" i="2"/>
  <c r="GE45" i="2"/>
  <c r="EO136" i="2"/>
  <c r="EO121" i="2"/>
  <c r="EO67" i="2"/>
  <c r="EO95" i="2"/>
  <c r="EO191" i="2"/>
  <c r="EO78" i="2"/>
  <c r="EO104" i="2"/>
  <c r="EO145" i="2"/>
  <c r="EO189" i="2"/>
  <c r="EO202" i="2"/>
  <c r="EO31" i="2"/>
  <c r="EO135" i="2"/>
  <c r="EO155" i="2"/>
  <c r="EO112" i="2"/>
  <c r="EO178" i="2"/>
  <c r="EO26" i="2"/>
  <c r="EO13" i="2"/>
  <c r="EO158" i="2"/>
  <c r="EO162" i="2"/>
  <c r="EO169" i="2"/>
  <c r="EO24" i="2"/>
  <c r="EO19" i="2"/>
  <c r="EO101" i="2"/>
  <c r="EO127" i="2"/>
  <c r="EO201" i="2"/>
  <c r="EO72" i="2"/>
  <c r="EO90" i="2"/>
  <c r="EO25" i="2"/>
  <c r="EO88" i="2"/>
  <c r="EO183" i="2"/>
  <c r="EO6" i="2"/>
  <c r="EO179" i="2"/>
  <c r="EO11" i="2"/>
  <c r="EO52" i="2"/>
  <c r="EO109" i="2"/>
  <c r="EO157" i="2"/>
  <c r="EO66" i="2"/>
  <c r="EO147" i="2"/>
  <c r="EO150" i="2"/>
  <c r="EO161" i="2"/>
  <c r="EO16" i="2"/>
  <c r="EO93" i="2"/>
  <c r="EO123" i="2"/>
  <c r="EO119" i="2"/>
  <c r="EO43" i="2"/>
  <c r="EO28" i="2"/>
  <c r="EO73" i="2"/>
  <c r="EO193" i="2"/>
  <c r="EO89" i="2"/>
  <c r="EO102" i="2"/>
  <c r="EO197" i="2"/>
  <c r="EO61" i="2"/>
  <c r="EO97" i="2"/>
  <c r="EO53" i="2"/>
  <c r="EO46" i="2"/>
  <c r="EO163" i="2"/>
  <c r="EO70" i="2"/>
  <c r="EO34" i="2"/>
  <c r="EO74" i="2"/>
  <c r="EO177" i="2"/>
  <c r="EO22" i="2"/>
  <c r="EO192" i="2"/>
  <c r="EO35" i="2"/>
  <c r="EO130" i="2"/>
  <c r="EO120" i="2"/>
  <c r="EO124" i="2"/>
  <c r="EO33" i="2"/>
  <c r="EO68" i="2"/>
  <c r="EO152" i="2"/>
  <c r="EO10" i="2"/>
  <c r="EO40" i="2"/>
  <c r="EO185" i="2"/>
  <c r="EO160" i="2"/>
  <c r="EO14" i="2"/>
  <c r="EO60" i="2"/>
  <c r="EO114" i="2"/>
  <c r="EO87" i="2"/>
  <c r="EO44" i="2"/>
  <c r="EO84" i="2"/>
  <c r="EO65" i="2"/>
  <c r="EO116" i="2"/>
  <c r="EO140" i="2"/>
  <c r="EO170" i="2"/>
  <c r="EO30" i="2"/>
  <c r="EO126" i="2"/>
  <c r="EO39" i="2"/>
  <c r="EO186" i="2"/>
  <c r="EO83" i="2"/>
  <c r="EO62" i="2"/>
  <c r="EO190" i="2"/>
  <c r="EO21" i="2"/>
  <c r="EO139" i="2"/>
  <c r="EO129" i="2"/>
  <c r="EO156" i="2"/>
  <c r="EO149" i="2"/>
  <c r="EO29" i="2"/>
  <c r="EO80" i="2"/>
  <c r="EO106" i="2"/>
  <c r="EO81" i="2"/>
  <c r="EO159" i="2"/>
  <c r="EO188" i="2"/>
  <c r="EO45" i="2"/>
  <c r="EO82" i="2"/>
  <c r="EO203" i="2"/>
  <c r="EO17" i="2"/>
  <c r="EO94" i="2"/>
  <c r="EO108" i="2"/>
  <c r="EO187" i="2"/>
  <c r="EO36" i="2"/>
  <c r="EO175" i="2"/>
  <c r="EO91" i="2"/>
  <c r="EO173" i="2"/>
  <c r="EO12" i="2"/>
  <c r="EO49" i="2"/>
  <c r="EO134" i="2"/>
  <c r="EO195" i="2"/>
  <c r="EO115" i="2"/>
  <c r="EO56" i="2"/>
  <c r="EO184" i="2"/>
  <c r="EO142" i="2"/>
  <c r="EO57" i="2"/>
  <c r="EO107" i="2"/>
  <c r="EO182" i="2"/>
  <c r="EO63" i="2"/>
  <c r="EO86" i="2"/>
  <c r="EO125" i="2"/>
  <c r="EO64" i="2"/>
  <c r="EO113" i="2"/>
  <c r="EO138" i="2"/>
  <c r="EO15" i="2"/>
  <c r="EO27" i="2"/>
  <c r="EO71" i="2"/>
  <c r="EO166" i="2"/>
  <c r="EO7" i="2"/>
  <c r="EO54" i="2"/>
  <c r="EO103" i="2"/>
  <c r="EO55" i="2"/>
  <c r="EO99" i="2"/>
  <c r="EO171" i="2"/>
  <c r="EO110" i="2"/>
  <c r="EO92" i="2"/>
  <c r="EO176" i="2"/>
  <c r="EO42" i="2"/>
  <c r="EO146" i="2"/>
  <c r="EO174" i="2"/>
  <c r="EO151" i="2"/>
  <c r="EO100" i="2"/>
  <c r="EO75" i="2"/>
  <c r="EO58" i="2"/>
  <c r="EO38" i="2"/>
  <c r="EO76" i="2"/>
  <c r="EO117" i="2"/>
  <c r="EO153" i="2"/>
  <c r="EO98" i="2"/>
  <c r="EO199" i="2"/>
  <c r="EO122" i="2"/>
  <c r="EO4" i="2"/>
  <c r="EO194" i="2"/>
  <c r="EO180" i="2"/>
  <c r="EO41" i="2"/>
  <c r="EO47" i="2"/>
  <c r="EO20" i="2"/>
  <c r="EO8" i="2"/>
  <c r="EO148" i="2"/>
  <c r="EO37" i="2"/>
  <c r="EO3" i="2"/>
  <c r="C12" i="4" s="1"/>
  <c r="E12" i="4" s="1"/>
  <c r="F12" i="4" s="1"/>
  <c r="G12" i="4" s="1"/>
  <c r="L12" i="4" s="1"/>
  <c r="EO32" i="2"/>
  <c r="EO111" i="2"/>
  <c r="EO96" i="2"/>
  <c r="EO164" i="2"/>
  <c r="EO79" i="2"/>
  <c r="EO85" i="2"/>
  <c r="EO131" i="2"/>
  <c r="EO168" i="2"/>
  <c r="EO128" i="2"/>
  <c r="EO77" i="2"/>
  <c r="EO132" i="2"/>
  <c r="EO9" i="2"/>
  <c r="EO154" i="2"/>
  <c r="EO50" i="2"/>
  <c r="EO172" i="2"/>
  <c r="EO18" i="2"/>
  <c r="EO69" i="2"/>
  <c r="EO144" i="2"/>
  <c r="EO118" i="2"/>
  <c r="EO141" i="2"/>
  <c r="EO23" i="2"/>
  <c r="EO198" i="2"/>
  <c r="EO51" i="2"/>
  <c r="EO133" i="2"/>
  <c r="EO200" i="2"/>
  <c r="EO137" i="2"/>
  <c r="EO181" i="2"/>
  <c r="EO165" i="2"/>
  <c r="EO48" i="2"/>
  <c r="EO5" i="2"/>
  <c r="EO105" i="2"/>
  <c r="EO59" i="2"/>
  <c r="EO143" i="2"/>
  <c r="EO167" i="2"/>
  <c r="EO196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<sst xmlns="http://schemas.openxmlformats.org/spreadsheetml/2006/main" count="1187" uniqueCount="331">
  <si>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</si>
  <si>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</si>
  <si>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</si>
  <si>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</si>
  <si>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</si>
  <si>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</si>
  <si>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</si>
  <si>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</si>
  <si>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</si>
  <si>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</si>
  <si>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</si>
  <si>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</si>
  <si>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</si>
  <si>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</si>
  <si>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</si>
  <si>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</si>
  <si>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</si>
  <si>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</si>
  <si>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</si>
  <si>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</si>
  <si>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</si>
  <si>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</si>
  <si>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</si>
  <si>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</si>
  <si>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</si>
  <si>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</si>
  <si>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</si>
  <si>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</si>
  <si>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</si>
  <si>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</si>
  <si>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</si>
  <si>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</si>
  <si>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</si>
  <si>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</si>
  <si>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</si>
  <si>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</si>
  <si>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</si>
  <si>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</si>
  <si>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</si>
  <si>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</si>
  <si>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</si>
  <si>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</si>
  <si>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</si>
  <si>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</si>
  <si>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</si>
  <si>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</si>
  <si>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</si>
  <si>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</si>
  <si>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</si>
  <si>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</si>
  <si>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</si>
  <si>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</si>
  <si>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</si>
  <si>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</si>
  <si>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</si>
  <si>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</si>
  <si>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</si>
  <si>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</si>
  <si>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</si>
  <si>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</si>
  <si>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</si>
  <si>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</si>
  <si>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</si>
  <si>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</si>
  <si>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</si>
  <si>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</si>
  <si>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</si>
  <si>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</si>
  <si>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</si>
  <si>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</si>
  <si>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</si>
  <si>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</si>
  <si>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</si>
  <si>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</si>
  <si>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</si>
  <si>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</si>
  <si>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</si>
  <si>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</si>
  <si>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</si>
  <si>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</si>
  <si>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</si>
  <si>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</si>
  <si>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</si>
  <si>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</si>
  <si>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</si>
  <si>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</si>
  <si>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</si>
  <si>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</si>
  <si>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</si>
  <si>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</si>
  <si>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</si>
  <si>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</si>
  <si>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</si>
  <si>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</si>
  <si>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</si>
  <si>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</si>
  <si>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</si>
  <si>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</si>
  <si>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</si>
  <si>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</si>
  <si>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</si>
  <si>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</si>
  <si>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</si>
  <si>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</si>
  <si>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</si>
  <si>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</si>
  <si>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</si>
  <si>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</si>
  <si>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</si>
  <si>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</si>
  <si>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</si>
  <si>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</si>
  <si>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</si>
  <si>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</si>
  <si>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</si>
  <si>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</si>
  <si>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</si>
  <si>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</si>
  <si>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</si>
  <si>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</si>
  <si>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</si>
  <si>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</si>
  <si>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</si>
  <si>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</si>
  <si>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</si>
  <si>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</si>
  <si>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</si>
  <si>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</si>
  <si>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</si>
  <si>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</si>
  <si>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</si>
  <si>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</si>
  <si>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</si>
  <si>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</si>
  <si>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</si>
  <si>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</si>
  <si>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</si>
  <si>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</si>
  <si>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</si>
  <si>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</si>
  <si>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</si>
  <si>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</si>
  <si>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</si>
  <si>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</si>
  <si>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</si>
  <si>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</si>
  <si>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</si>
  <si>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</si>
  <si>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</si>
  <si>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</si>
  <si>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</si>
  <si>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</si>
  <si>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</si>
  <si>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</si>
  <si>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</si>
  <si>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</si>
  <si>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</si>
  <si>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</si>
  <si>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</si>
  <si>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</si>
  <si>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</si>
  <si>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</si>
  <si>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</si>
  <si>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</si>
  <si>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</si>
  <si>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</si>
  <si>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</si>
  <si>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</si>
  <si>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</si>
  <si>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</si>
  <si>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</si>
  <si>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</si>
  <si>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</si>
  <si>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</si>
  <si>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</si>
  <si>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</si>
  <si>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</si>
  <si>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</si>
  <si>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</si>
  <si>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</si>
  <si>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</si>
  <si>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</si>
  <si>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</si>
  <si>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</si>
  <si>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</si>
  <si>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</si>
  <si>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</si>
  <si>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</si>
  <si>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</si>
  <si>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</si>
  <si>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</si>
  <si>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</si>
  <si>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</si>
  <si>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</si>
  <si>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</si>
  <si>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</si>
  <si>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</si>
  <si>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</si>
  <si>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</si>
  <si>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</si>
  <si>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</si>
  <si>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</si>
  <si>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</si>
  <si>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</si>
  <si>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</si>
  <si>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</si>
  <si>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</si>
  <si>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</si>
  <si>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</si>
  <si>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</si>
  <si>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</si>
  <si>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</si>
  <si>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</si>
  <si>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</si>
  <si>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</si>
  <si>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</si>
  <si>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</si>
  <si>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</si>
  <si>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</si>
  <si>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</si>
  <si>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</si>
  <si>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</si>
  <si>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</si>
  <si>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</si>
  <si>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</si>
  <si>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</si>
  <si>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</si>
  <si>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</si>
  <si>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</si>
  <si>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</si>
  <si>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</si>
  <si>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</si>
  <si>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</si>
  <si>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</si>
  <si>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</si>
  <si>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</si>
  <si>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</si>
  <si>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</si>
  <si>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</si>
  <si>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</si>
  <si>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</si>
  <si>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</si>
  <si>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</si>
  <si>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</si>
  <si>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</si>
  <si>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</si>
  <si>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</si>
  <si>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</si>
  <si>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</si>
  <si>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</si>
  <si>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</si>
  <si>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</si>
  <si>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</si>
  <si>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</si>
  <si>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</si>
  <si>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</si>
  <si>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</si>
  <si>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</si>
  <si>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</si>
  <si>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</si>
  <si>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</si>
  <si>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</si>
  <si>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</si>
  <si>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</si>
  <si>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</si>
  <si>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</si>
  <si>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</si>
  <si>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</si>
  <si>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</si>
  <si>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</si>
  <si>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</si>
  <si>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</si>
  <si>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</si>
  <si>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</si>
  <si>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</si>
  <si>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</si>
  <si>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</si>
  <si>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</si>
  <si>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</si>
  <si>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</si>
  <si>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</si>
  <si>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</si>
  <si>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</si>
  <si>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</si>
  <si>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</si>
  <si>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</si>
  <si>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</si>
  <si>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</si>
  <si>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</si>
  <si>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</si>
  <si>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</si>
  <si>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</si>
  <si>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</si>
  <si>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</si>
  <si>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</si>
  <si>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</si>
  <si>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</si>
  <si>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</si>
  <si>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</si>
  <si>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</si>
  <si>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</si>
  <si>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</si>
  <si>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</si>
  <si>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</si>
  <si>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</si>
  <si>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</si>
  <si>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</si>
  <si>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</si>
  <si>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</si>
  <si>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</si>
  <si>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</si>
  <si>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</si>
  <si>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</si>
  <si>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</si>
  <si>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</si>
  <si>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</si>
  <si>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</si>
  <si>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</si>
  <si>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</si>
  <si>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</si>
  <si>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</si>
  <si>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</si>
  <si>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</si>
  <si>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</si>
  <si>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YC6 [2/3]</t>
  </si>
  <si>
    <t>Unique</t>
  </si>
  <si>
    <t>YC8 [1/3]</t>
  </si>
  <si>
    <t>YC 10 (2/5]</t>
  </si>
  <si>
    <t>II-a [2/5]</t>
  </si>
  <si>
    <t>III-a [3/5]</t>
  </si>
  <si>
    <t>F2 [2/3] - 2500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</si>
</sst>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2.6519655211592874</c:v>
                </c:pt>
                <c:pt idx="2">
                  <c:v>3.2610223314459752</c:v>
                </c:pt>
                <c:pt idx="3">
                  <c:v>4.0104905158163051</c:v>
                </c:pt>
                <c:pt idx="4">
                  <c:v>4.9328564726428068</c:v>
                </c:pt>
                <c:pt idx="5">
                  <c:v>6.068147991440398</c:v>
                </c:pt>
                <c:pt idx="6">
                  <c:v>7.4656903389318279</c:v>
                </c:pt>
                <c:pt idx="7">
                  <c:v>9.1862724344194735</c:v>
                </c:pt>
                <c:pt idx="8">
                  <c:v>11.304819130811806</c:v>
                </c:pt>
                <c:pt idx="9">
                  <c:v>13.913688152008866</c:v>
                </c:pt>
                <c:pt idx="10">
                  <c:v>17.126738071781514</c:v>
                </c:pt>
                <c:pt idx="11">
                  <c:v>21.084348102790369</c:v>
                </c:pt>
                <c:pt idx="12">
                  <c:v>25.959612940843225</c:v>
                </c:pt>
                <c:pt idx="13">
                  <c:v>31.965988387315338</c:v>
                </c:pt>
                <c:pt idx="14">
                  <c:v>39.366728311080898</c:v>
                </c:pt>
                <c:pt idx="15">
                  <c:v>48.486533626988098</c:v>
                </c:pt>
                <c:pt idx="16">
                  <c:v>59.725932966858835</c:v>
                </c:pt>
                <c:pt idx="17">
                  <c:v>73.579037059713301</c:v>
                </c:pt>
                <c:pt idx="18">
                  <c:v>90.655460033245092</c:v>
                </c:pt>
                <c:pt idx="19">
                  <c:v>111.70738771533587</c:v>
                </c:pt>
                <c:pt idx="20">
                  <c:v>137.66300398229683</c:v>
                </c:pt>
                <c:pt idx="21">
                  <c:v>150.87513847478246</c:v>
                </c:pt>
                <c:pt idx="22">
                  <c:v>164.05970215478601</c:v>
                </c:pt>
                <c:pt idx="23">
                  <c:v>177.21922452403726</c:v>
                </c:pt>
                <c:pt idx="24">
                  <c:v>190.35582818013089</c:v>
                </c:pt>
                <c:pt idx="25">
                  <c:v>203.47131846209797</c:v>
                </c:pt>
                <c:pt idx="26">
                  <c:v>158.20312733333313</c:v>
                </c:pt>
                <c:pt idx="27">
                  <c:v>175.02761536134474</c:v>
                </c:pt>
                <c:pt idx="28">
                  <c:v>191.81411712876402</c:v>
                </c:pt>
                <c:pt idx="29">
                  <c:v>208.56642615430928</c:v>
                </c:pt>
                <c:pt idx="30">
                  <c:v>225.28767604319731</c:v>
                </c:pt>
                <c:pt idx="31">
                  <c:v>244.88086471160261</c:v>
                </c:pt>
                <c:pt idx="32">
                  <c:v>264.43843589912387</c:v>
                </c:pt>
                <c:pt idx="33">
                  <c:v>283.96339386484857</c:v>
                </c:pt>
                <c:pt idx="34">
                  <c:v>303.45829588181323</c:v>
                </c:pt>
                <c:pt idx="35">
                  <c:v>322.92534379451848</c:v>
                </c:pt>
                <c:pt idx="36">
                  <c:v>241.98049682860949</c:v>
                </c:pt>
                <c:pt idx="37">
                  <c:v>262.26703366253639</c:v>
                </c:pt>
                <c:pt idx="38">
                  <c:v>282.51816051208368</c:v>
                </c:pt>
                <c:pt idx="39">
                  <c:v>302.73677181781744</c:v>
                </c:pt>
                <c:pt idx="40">
                  <c:v>322.92534379451837</c:v>
                </c:pt>
                <c:pt idx="41">
                  <c:v>343.44578806718232</c:v>
                </c:pt>
                <c:pt idx="42">
                  <c:v>363.93929728008408</c:v>
                </c:pt>
                <c:pt idx="43">
                  <c:v>384.40760067247987</c:v>
                </c:pt>
                <c:pt idx="44">
                  <c:v>404.85222837562537</c:v>
                </c:pt>
                <c:pt idx="45">
                  <c:v>425.27454344239982</c:v>
                </c:pt>
                <c:pt idx="46">
                  <c:v>344.52504925832596</c:v>
                </c:pt>
                <c:pt idx="47">
                  <c:v>364.29860280650684</c:v>
                </c:pt>
                <c:pt idx="48">
                  <c:v>384.04871588248375</c:v>
                </c:pt>
                <c:pt idx="49">
                  <c:v>403.77676289014676</c:v>
                </c:pt>
                <c:pt idx="50">
                  <c:v>423.48397302905897</c:v>
                </c:pt>
                <c:pt idx="51">
                  <c:v>441.74027828737439</c:v>
                </c:pt>
                <c:pt idx="52">
                  <c:v>459.98041834329564</c:v>
                </c:pt>
                <c:pt idx="53">
                  <c:v>478.20512408967215</c:v>
                </c:pt>
                <c:pt idx="54">
                  <c:v>496.4150661959215</c:v>
                </c:pt>
                <c:pt idx="55">
                  <c:v>514.61086214265561</c:v>
                </c:pt>
                <c:pt idx="56">
                  <c:v>431.36127413252484</c:v>
                </c:pt>
                <c:pt idx="57">
                  <c:v>448.1797816290819</c:v>
                </c:pt>
                <c:pt idx="58">
                  <c:v>464.98478623960131</c:v>
                </c:pt>
                <c:pt idx="59">
                  <c:v>481.77684446495124</c:v>
                </c:pt>
                <c:pt idx="60">
                  <c:v>498.55647086626527</c:v>
                </c:pt>
                <c:pt idx="61">
                  <c:v>514.25421410888737</c:v>
                </c:pt>
                <c:pt idx="62">
                  <c:v>529.94184508625551</c:v>
                </c:pt>
                <c:pt idx="63">
                  <c:v>545.61970516793383</c:v>
                </c:pt>
                <c:pt idx="64">
                  <c:v>561.28811451546585</c:v>
                </c:pt>
                <c:pt idx="65">
                  <c:v>576.94737396741846</c:v>
                </c:pt>
                <c:pt idx="66">
                  <c:v>491.77468328265195</c:v>
                </c:pt>
                <c:pt idx="67">
                  <c:v>506.40662874127952</c:v>
                </c:pt>
                <c:pt idx="68">
                  <c:v>521.02963842518272</c:v>
                </c:pt>
                <c:pt idx="69">
                  <c:v>535.64399835878714</c:v>
                </c:pt>
                <c:pt idx="70">
                  <c:v>550.24997769212484</c:v>
                </c:pt>
                <c:pt idx="71">
                  <c:v>563.77996485783649</c:v>
                </c:pt>
                <c:pt idx="72">
                  <c:v>577.3031621395595</c:v>
                </c:pt>
                <c:pt idx="73">
                  <c:v>590.81975093891435</c:v>
                </c:pt>
                <c:pt idx="74">
                  <c:v>604.32990368396679</c:v>
                </c:pt>
                <c:pt idx="75">
                  <c:v>617.83378446799861</c:v>
                </c:pt>
                <c:pt idx="76">
                  <c:v>531.01109674664542</c:v>
                </c:pt>
                <c:pt idx="77">
                  <c:v>543.83861192085692</c:v>
                </c:pt>
                <c:pt idx="78">
                  <c:v>556.65977724898164</c:v>
                </c:pt>
                <c:pt idx="79">
                  <c:v>569.4747595509881</c:v>
                </c:pt>
                <c:pt idx="80">
                  <c:v>582.28371752891621</c:v>
                </c:pt>
                <c:pt idx="81">
                  <c:v>588.33034159608326</c:v>
                </c:pt>
                <c:pt idx="82">
                  <c:v>594.37567144551724</c:v>
                </c:pt>
                <c:pt idx="83">
                  <c:v>600.41972210091569</c:v>
                </c:pt>
                <c:pt idx="84">
                  <c:v>606.46250825875734</c:v>
                </c:pt>
                <c:pt idx="85">
                  <c:v>612.50404429868911</c:v>
                </c:pt>
                <c:pt idx="86">
                  <c:v>618.54434429348237</c:v>
                </c:pt>
                <c:pt idx="87">
                  <c:v>624.58342201858113</c:v>
                </c:pt>
                <c:pt idx="88">
                  <c:v>630.62129096125932</c:v>
                </c:pt>
                <c:pt idx="89">
                  <c:v>636.65796432941249</c:v>
                </c:pt>
                <c:pt idx="90">
                  <c:v>642.6934550599957</c:v>
                </c:pt>
                <c:pt idx="91">
                  <c:v>554.34530677131215</c:v>
                </c:pt>
                <c:pt idx="92">
                  <c:v>565.55971684392955</c:v>
                </c:pt>
                <c:pt idx="93">
                  <c:v>576.76947816434256</c:v>
                </c:pt>
                <c:pt idx="94">
                  <c:v>587.97469380198243</c:v>
                </c:pt>
                <c:pt idx="95">
                  <c:v>599.17546257825973</c:v>
                </c:pt>
                <c:pt idx="96">
                  <c:v>610.37187931946221</c:v>
                </c:pt>
                <c:pt idx="97">
                  <c:v>621.56403509013978</c:v>
                </c:pt>
                <c:pt idx="98">
                  <c:v>632.75201740880993</c:v>
                </c:pt>
                <c:pt idx="99">
                  <c:v>643.9359104476199</c:v>
                </c:pt>
                <c:pt idx="100">
                  <c:v>655.11579521742192</c:v>
                </c:pt>
                <c:pt idx="101">
                  <c:v>566.62751179237466</c:v>
                </c:pt>
                <c:pt idx="102">
                  <c:v>575.87998196277476</c:v>
                </c:pt>
                <c:pt idx="103">
                  <c:v>585.12934986312905</c:v>
                </c:pt>
                <c:pt idx="104">
                  <c:v>594.3756714455169</c:v>
                </c:pt>
                <c:pt idx="105">
                  <c:v>603.61900077928851</c:v>
                </c:pt>
                <c:pt idx="106">
                  <c:v>612.8593901428934</c:v>
                </c:pt>
                <c:pt idx="107">
                  <c:v>622.09689010988529</c:v>
                </c:pt>
                <c:pt idx="108">
                  <c:v>631.33154962955359</c:v>
                </c:pt>
                <c:pt idx="109">
                  <c:v>640.56341610259119</c:v>
                </c:pt>
                <c:pt idx="110">
                  <c:v>649.79253545217762</c:v>
                </c:pt>
                <c:pt idx="111">
                  <c:v>567.16139348415516</c:v>
                </c:pt>
                <c:pt idx="112">
                  <c:v>575.16836435383323</c:v>
                </c:pt>
                <c:pt idx="113">
                  <c:v>583.17300871029272</c:v>
                </c:pt>
                <c:pt idx="114">
                  <c:v>591.17536299398296</c:v>
                </c:pt>
                <c:pt idx="115">
                  <c:v>599.1754625782595</c:v>
                </c:pt>
                <c:pt idx="116">
                  <c:v>607.17334181477167</c:v>
                </c:pt>
                <c:pt idx="117">
                  <c:v>615.16903407633242</c:v>
                </c:pt>
                <c:pt idx="118">
                  <c:v>623.16257179744468</c:v>
                </c:pt>
                <c:pt idx="119">
                  <c:v>631.15398651263888</c:v>
                </c:pt>
                <c:pt idx="120">
                  <c:v>639.14330889276994</c:v>
                </c:pt>
                <c:pt idx="121">
                  <c:v>563.06803117603806</c:v>
                </c:pt>
                <c:pt idx="122">
                  <c:v>570.54240067835838</c:v>
                </c:pt>
                <c:pt idx="123">
                  <c:v>578.01472475907735</c:v>
                </c:pt>
                <c:pt idx="124">
                  <c:v>585.48503359426786</c:v>
                </c:pt>
                <c:pt idx="125">
                  <c:v>592.95335652703034</c:v>
                </c:pt>
                <c:pt idx="126">
                  <c:v>600.41972210091535</c:v>
                </c:pt>
                <c:pt idx="127">
                  <c:v>607.88415809159676</c:v>
                </c:pt>
                <c:pt idx="128">
                  <c:v>615.34669153690925</c:v>
                </c:pt>
                <c:pt idx="129">
                  <c:v>622.80734876535121</c:v>
                </c:pt>
                <c:pt idx="130">
                  <c:v>630.26615542315403</c:v>
                </c:pt>
                <c:pt idx="131">
                  <c:v>558.79603262623448</c:v>
                </c:pt>
                <c:pt idx="132">
                  <c:v>565.55971684392932</c:v>
                </c:pt>
                <c:pt idx="133">
                  <c:v>572.32170984162167</c:v>
                </c:pt>
                <c:pt idx="134">
                  <c:v>579.08203442466413</c:v>
                </c:pt>
                <c:pt idx="135">
                  <c:v>585.84071282237733</c:v>
                </c:pt>
                <c:pt idx="136">
                  <c:v>592.59776670922156</c:v>
                </c:pt>
                <c:pt idx="137">
                  <c:v>599.35321722495371</c:v>
                </c:pt>
                <c:pt idx="138">
                  <c:v>606.10708499382747</c:v>
                </c:pt>
                <c:pt idx="139">
                  <c:v>612.85939014289329</c:v>
                </c:pt>
                <c:pt idx="140">
                  <c:v>619.61015231945009</c:v>
                </c:pt>
                <c:pt idx="141">
                  <c:v>552.92091665299165</c:v>
                </c:pt>
                <c:pt idx="142">
                  <c:v>559.15205854563101</c:v>
                </c:pt>
                <c:pt idx="143">
                  <c:v>565.38174692254495</c:v>
                </c:pt>
                <c:pt idx="144">
                  <c:v>571.61000006387712</c:v>
                </c:pt>
                <c:pt idx="145">
                  <c:v>577.83683581878734</c:v>
                </c:pt>
                <c:pt idx="146">
                  <c:v>584.06227162025027</c:v>
                </c:pt>
                <c:pt idx="147">
                  <c:v>590.28632449918791</c:v>
                </c:pt>
                <c:pt idx="148">
                  <c:v>596.5090110979769</c:v>
                </c:pt>
                <c:pt idx="149">
                  <c:v>602.73034768336242</c:v>
                </c:pt>
                <c:pt idx="150">
                  <c:v>608.95035015881115</c:v>
                </c:pt>
                <c:pt idx="151">
                  <c:v>543.12614035455226</c:v>
                </c:pt>
                <c:pt idx="152">
                  <c:v>543.12614035455226</c:v>
                </c:pt>
                <c:pt idx="153">
                  <c:v>543.12614035455226</c:v>
                </c:pt>
                <c:pt idx="154">
                  <c:v>543.12614035455226</c:v>
                </c:pt>
                <c:pt idx="155">
                  <c:v>543.12614035455226</c:v>
                </c:pt>
                <c:pt idx="156">
                  <c:v>543.12614035455226</c:v>
                </c:pt>
                <c:pt idx="157">
                  <c:v>543.12614035455226</c:v>
                </c:pt>
                <c:pt idx="158">
                  <c:v>543.12614035455226</c:v>
                </c:pt>
                <c:pt idx="159">
                  <c:v>543.12614035455226</c:v>
                </c:pt>
                <c:pt idx="160">
                  <c:v>543.12614035455226</c:v>
                </c:pt>
                <c:pt idx="161">
                  <c:v>543.12614035455226</c:v>
                </c:pt>
                <c:pt idx="162">
                  <c:v>543.12614035455226</c:v>
                </c:pt>
                <c:pt idx="163">
                  <c:v>543.12614035455226</c:v>
                </c:pt>
                <c:pt idx="164">
                  <c:v>543.12614035455226</c:v>
                </c:pt>
                <c:pt idx="165">
                  <c:v>543.12614035455226</c:v>
                </c:pt>
                <c:pt idx="166">
                  <c:v>543.12614035455226</c:v>
                </c:pt>
                <c:pt idx="167">
                  <c:v>543.12614035455226</c:v>
                </c:pt>
                <c:pt idx="168">
                  <c:v>543.12614035455226</c:v>
                </c:pt>
                <c:pt idx="169">
                  <c:v>543.12614035455226</c:v>
                </c:pt>
                <c:pt idx="170">
                  <c:v>543.12614035455226</c:v>
                </c:pt>
                <c:pt idx="171">
                  <c:v>543.12614035455226</c:v>
                </c:pt>
                <c:pt idx="172">
                  <c:v>543.12614035455226</c:v>
                </c:pt>
                <c:pt idx="173">
                  <c:v>543.12614035455226</c:v>
                </c:pt>
                <c:pt idx="174">
                  <c:v>543.12614035455226</c:v>
                </c:pt>
                <c:pt idx="175">
                  <c:v>543.12614035455226</c:v>
                </c:pt>
                <c:pt idx="176">
                  <c:v>543.12614035455226</c:v>
                </c:pt>
                <c:pt idx="177">
                  <c:v>543.12614035455226</c:v>
                </c:pt>
                <c:pt idx="178">
                  <c:v>543.12614035455226</c:v>
                </c:pt>
                <c:pt idx="179">
                  <c:v>543.12614035455226</c:v>
                </c:pt>
                <c:pt idx="180">
                  <c:v>543.12614035455226</c:v>
                </c:pt>
                <c:pt idx="181">
                  <c:v>543.12614035455226</c:v>
                </c:pt>
                <c:pt idx="182">
                  <c:v>543.12614035455226</c:v>
                </c:pt>
                <c:pt idx="183">
                  <c:v>543.12614035455226</c:v>
                </c:pt>
                <c:pt idx="184">
                  <c:v>543.12614035455226</c:v>
                </c:pt>
                <c:pt idx="185">
                  <c:v>543.12614035455226</c:v>
                </c:pt>
                <c:pt idx="186">
                  <c:v>543.12614035455226</c:v>
                </c:pt>
                <c:pt idx="187">
                  <c:v>543.12614035455226</c:v>
                </c:pt>
                <c:pt idx="188">
                  <c:v>543.12614035455226</c:v>
                </c:pt>
                <c:pt idx="189">
                  <c:v>543.12614035455226</c:v>
                </c:pt>
                <c:pt idx="190">
                  <c:v>543.12614035455226</c:v>
                </c:pt>
                <c:pt idx="191">
                  <c:v>543.12614035455226</c:v>
                </c:pt>
                <c:pt idx="192">
                  <c:v>543.12614035455226</c:v>
                </c:pt>
                <c:pt idx="193">
                  <c:v>543.12614035455226</c:v>
                </c:pt>
                <c:pt idx="194">
                  <c:v>543.12614035455226</c:v>
                </c:pt>
                <c:pt idx="195">
                  <c:v>543.12614035455226</c:v>
                </c:pt>
                <c:pt idx="196">
                  <c:v>543.12614035455226</c:v>
                </c:pt>
                <c:pt idx="197">
                  <c:v>543.12614035455226</c:v>
                </c:pt>
                <c:pt idx="198">
                  <c:v>543.12614035455226</c:v>
                </c:pt>
                <c:pt idx="199">
                  <c:v>543.12614035455226</c:v>
                </c:pt>
                <c:pt idx="200">
                  <c:v>543.12614035455226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905280"/>
        <c:axId val="1630904736"/>
      </c:scatterChart>
      <c:valAx>
        <c:axId val="16309052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4736"/>
        <c:crosses val="autoZero"/>
        <c:crossBetween val="midCat"/>
      </c:valAx>
      <c:valAx>
        <c:axId val="163090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5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852208"/>
        <c:axId val="1624855472"/>
      </c:scatterChart>
      <c:valAx>
        <c:axId val="16248522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5472"/>
        <c:crosses val="autoZero"/>
        <c:crossBetween val="midCat"/>
      </c:valAx>
      <c:valAx>
        <c:axId val="162485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902560"/>
        <c:axId val="1630904192"/>
      </c:scatterChart>
      <c:valAx>
        <c:axId val="16309025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4192"/>
        <c:crosses val="autoZero"/>
        <c:crossBetween val="midCat"/>
      </c:valAx>
      <c:valAx>
        <c:axId val="163090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2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40.194516673030414</c:v>
                </c:pt>
                <c:pt idx="12">
                  <c:v>59.423997506342801</c:v>
                </c:pt>
                <c:pt idx="13">
                  <c:v>78.488959578049446</c:v>
                </c:pt>
                <c:pt idx="14">
                  <c:v>97.435579235164482</c:v>
                </c:pt>
                <c:pt idx="15">
                  <c:v>116.29027446560372</c:v>
                </c:pt>
                <c:pt idx="16">
                  <c:v>140.27513047395146</c:v>
                </c:pt>
                <c:pt idx="17">
                  <c:v>164.16133458057877</c:v>
                </c:pt>
                <c:pt idx="18">
                  <c:v>187.96529046020362</c:v>
                </c:pt>
                <c:pt idx="19">
                  <c:v>211.698889435729</c:v>
                </c:pt>
                <c:pt idx="20">
                  <c:v>235.3711313482562</c:v>
                </c:pt>
                <c:pt idx="21">
                  <c:v>145.47552012532867</c:v>
                </c:pt>
                <c:pt idx="22">
                  <c:v>171.06890310603498</c:v>
                </c:pt>
                <c:pt idx="23">
                  <c:v>196.57202562416433</c:v>
                </c:pt>
                <c:pt idx="24">
                  <c:v>221.99825658782564</c:v>
                </c:pt>
                <c:pt idx="25">
                  <c:v>247.35764363735257</c:v>
                </c:pt>
                <c:pt idx="26">
                  <c:v>271.63337657752703</c:v>
                </c:pt>
                <c:pt idx="27">
                  <c:v>295.86031593712704</c:v>
                </c:pt>
                <c:pt idx="28">
                  <c:v>320.04301686645277</c:v>
                </c:pt>
                <c:pt idx="29">
                  <c:v>344.18528987135363</c:v>
                </c:pt>
                <c:pt idx="30">
                  <c:v>368.29036734139117</c:v>
                </c:pt>
                <c:pt idx="31">
                  <c:v>270.95024442791083</c:v>
                </c:pt>
                <c:pt idx="32">
                  <c:v>292.79183050888702</c:v>
                </c:pt>
                <c:pt idx="33">
                  <c:v>314.59704855401981</c:v>
                </c:pt>
                <c:pt idx="34">
                  <c:v>336.3687724940782</c:v>
                </c:pt>
                <c:pt idx="35">
                  <c:v>358.10947390735419</c:v>
                </c:pt>
                <c:pt idx="36">
                  <c:v>377.44791553782278</c:v>
                </c:pt>
                <c:pt idx="37">
                  <c:v>396.76479421746438</c:v>
                </c:pt>
                <c:pt idx="38">
                  <c:v>416.06130692450483</c:v>
                </c:pt>
                <c:pt idx="39">
                  <c:v>435.33853059869926</c:v>
                </c:pt>
                <c:pt idx="40">
                  <c:v>454.59743907080428</c:v>
                </c:pt>
                <c:pt idx="41">
                  <c:v>352.6770845621848</c:v>
                </c:pt>
                <c:pt idx="42">
                  <c:v>369.30811574035596</c:v>
                </c:pt>
                <c:pt idx="43">
                  <c:v>385.92281180916171</c:v>
                </c:pt>
                <c:pt idx="44">
                  <c:v>402.52197482878046</c:v>
                </c:pt>
                <c:pt idx="45">
                  <c:v>419.10633532774779</c:v>
                </c:pt>
                <c:pt idx="46">
                  <c:v>433.64829237195022</c:v>
                </c:pt>
                <c:pt idx="47">
                  <c:v>448.17978162908202</c:v>
                </c:pt>
                <c:pt idx="48">
                  <c:v>462.70119023345586</c:v>
                </c:pt>
                <c:pt idx="49">
                  <c:v>477.212879043182</c:v>
                </c:pt>
                <c:pt idx="50">
                  <c:v>491.71518518509515</c:v>
                </c:pt>
                <c:pt idx="51">
                  <c:v>431.61981966331092</c:v>
                </c:pt>
                <c:pt idx="52">
                  <c:v>444.12551245998566</c:v>
                </c:pt>
                <c:pt idx="53">
                  <c:v>456.62366402503358</c:v>
                </c:pt>
                <c:pt idx="54">
                  <c:v>469.11450984619825</c:v>
                </c:pt>
                <c:pt idx="55">
                  <c:v>481.59827184865549</c:v>
                </c:pt>
                <c:pt idx="56">
                  <c:v>492.05233905304067</c:v>
                </c:pt>
                <c:pt idx="57">
                  <c:v>502.50169784424844</c:v>
                </c:pt>
                <c:pt idx="58">
                  <c:v>512.94645994076382</c:v>
                </c:pt>
                <c:pt idx="59">
                  <c:v>523.38673214011703</c:v>
                </c:pt>
                <c:pt idx="60">
                  <c:v>533.82261663157112</c:v>
                </c:pt>
                <c:pt idx="61">
                  <c:v>492.05233905304044</c:v>
                </c:pt>
                <c:pt idx="62">
                  <c:v>500.81663116885539</c:v>
                </c:pt>
                <c:pt idx="63">
                  <c:v>509.57767746501708</c:v>
                </c:pt>
                <c:pt idx="64">
                  <c:v>518.33554162748931</c:v>
                </c:pt>
                <c:pt idx="65">
                  <c:v>527.09028501417185</c:v>
                </c:pt>
                <c:pt idx="66">
                  <c:v>534.49575116718881</c:v>
                </c:pt>
                <c:pt idx="67">
                  <c:v>541.89905996909988</c:v>
                </c:pt>
                <c:pt idx="68">
                  <c:v>549.30024505818949</c:v>
                </c:pt>
                <c:pt idx="69">
                  <c:v>556.69933909209135</c:v>
                </c:pt>
                <c:pt idx="70">
                  <c:v>564.09637378931632</c:v>
                </c:pt>
                <c:pt idx="71">
                  <c:v>527.7635992605982</c:v>
                </c:pt>
                <c:pt idx="72">
                  <c:v>535.16886787415808</c:v>
                </c:pt>
                <c:pt idx="73">
                  <c:v>542.57198223629882</c:v>
                </c:pt>
                <c:pt idx="74">
                  <c:v>549.97297589437528</c:v>
                </c:pt>
                <c:pt idx="75">
                  <c:v>557.37188141896661</c:v>
                </c:pt>
                <c:pt idx="76">
                  <c:v>563.4240003694224</c:v>
                </c:pt>
                <c:pt idx="77">
                  <c:v>569.47475955098753</c:v>
                </c:pt>
                <c:pt idx="78">
                  <c:v>575.52417545438061</c:v>
                </c:pt>
                <c:pt idx="79">
                  <c:v>581.57226419525409</c:v>
                </c:pt>
                <c:pt idx="80">
                  <c:v>587.61904152662294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903648"/>
        <c:axId val="1630905824"/>
      </c:scatterChart>
      <c:valAx>
        <c:axId val="16309036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5824"/>
        <c:crosses val="autoZero"/>
        <c:crossBetween val="midCat"/>
      </c:valAx>
      <c:valAx>
        <c:axId val="16309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3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1.8331935690498111</c:v>
                </c:pt>
                <c:pt idx="2">
                  <c:v>2.2615461053120742</c:v>
                </c:pt>
                <c:pt idx="3">
                  <c:v>2.7903800073445528</c:v>
                </c:pt>
                <c:pt idx="4">
                  <c:v>3.4433524350338836</c:v>
                </c:pt>
                <c:pt idx="5">
                  <c:v>4.249709483078604</c:v>
                </c:pt>
                <c:pt idx="6">
                  <c:v>5.2456107620330483</c:v>
                </c:pt>
                <c:pt idx="7">
                  <c:v>6.475768829717893</c:v>
                </c:pt>
                <c:pt idx="8">
                  <c:v>7.9954785143283473</c:v>
                </c:pt>
                <c:pt idx="9">
                  <c:v>9.8731290999373016</c:v>
                </c:pt>
                <c:pt idx="10">
                  <c:v>12.19331456783428</c:v>
                </c:pt>
                <c:pt idx="11">
                  <c:v>15.060684633434063</c:v>
                </c:pt>
                <c:pt idx="12">
                  <c:v>18.60471346613598</c:v>
                </c:pt>
                <c:pt idx="13">
                  <c:v>22.985605313578915</c:v>
                </c:pt>
                <c:pt idx="14">
                  <c:v>28.401608738536027</c:v>
                </c:pt>
                <c:pt idx="15">
                  <c:v>35.098076255651343</c:v>
                </c:pt>
                <c:pt idx="16">
                  <c:v>43.378686852869599</c:v>
                </c:pt>
                <c:pt idx="17">
                  <c:v>53.619348953910503</c:v>
                </c:pt>
                <c:pt idx="18">
                  <c:v>66.285425482941505</c:v>
                </c:pt>
                <c:pt idx="19">
                  <c:v>81.953076612541665</c:v>
                </c:pt>
                <c:pt idx="20">
                  <c:v>101.33570668607211</c:v>
                </c:pt>
                <c:pt idx="21">
                  <c:v>125.31673860987443</c:v>
                </c:pt>
                <c:pt idx="22">
                  <c:v>154.99023276008774</c:v>
                </c:pt>
                <c:pt idx="23">
                  <c:v>105.84796141179943</c:v>
                </c:pt>
                <c:pt idx="24">
                  <c:v>119.68808546934416</c:v>
                </c:pt>
                <c:pt idx="25">
                  <c:v>133.48918256301928</c:v>
                </c:pt>
                <c:pt idx="26">
                  <c:v>147.2558609521659</c:v>
                </c:pt>
                <c:pt idx="27">
                  <c:v>160.9917946805476</c:v>
                </c:pt>
                <c:pt idx="28">
                  <c:v>174.69997838004591</c:v>
                </c:pt>
                <c:pt idx="29">
                  <c:v>188.38289757944074</c:v>
                </c:pt>
                <c:pt idx="30">
                  <c:v>163.58152579139198</c:v>
                </c:pt>
                <c:pt idx="31">
                  <c:v>177.39635491856583</c:v>
                </c:pt>
                <c:pt idx="32">
                  <c:v>191.18595300859181</c:v>
                </c:pt>
                <c:pt idx="33">
                  <c:v>204.95239713347596</c:v>
                </c:pt>
                <c:pt idx="34">
                  <c:v>218.69746225262691</c:v>
                </c:pt>
                <c:pt idx="35">
                  <c:v>232.422681796706</c:v>
                </c:pt>
                <c:pt idx="36">
                  <c:v>246.12939316547718</c:v>
                </c:pt>
                <c:pt idx="37">
                  <c:v>208.16538715886895</c:v>
                </c:pt>
                <c:pt idx="38">
                  <c:v>221.33188453393223</c:v>
                </c:pt>
                <c:pt idx="39">
                  <c:v>234.4804099415469</c:v>
                </c:pt>
                <c:pt idx="40">
                  <c:v>247.61211352506689</c:v>
                </c:pt>
                <c:pt idx="41">
                  <c:v>260.7280133960374</c:v>
                </c:pt>
                <c:pt idx="42">
                  <c:v>273.8290168129775</c:v>
                </c:pt>
                <c:pt idx="43">
                  <c:v>286.91593709089597</c:v>
                </c:pt>
                <c:pt idx="44">
                  <c:v>299.98950726162889</c:v>
                </c:pt>
                <c:pt idx="45">
                  <c:v>259.68182055845455</c:v>
                </c:pt>
                <c:pt idx="46">
                  <c:v>271.45031881691528</c:v>
                </c:pt>
                <c:pt idx="47">
                  <c:v>283.20734332387474</c:v>
                </c:pt>
                <c:pt idx="48">
                  <c:v>294.95343773307417</c:v>
                </c:pt>
                <c:pt idx="49">
                  <c:v>306.68909884084155</c:v>
                </c:pt>
                <c:pt idx="50">
                  <c:v>318.41478230164324</c:v>
                </c:pt>
                <c:pt idx="51">
                  <c:v>330.13090745724645</c:v>
                </c:pt>
                <c:pt idx="52">
                  <c:v>341.83786144418053</c:v>
                </c:pt>
                <c:pt idx="53">
                  <c:v>295.80363786843697</c:v>
                </c:pt>
                <c:pt idx="54">
                  <c:v>306.35542169661858</c:v>
                </c:pt>
                <c:pt idx="55">
                  <c:v>316.89912950339448</c:v>
                </c:pt>
                <c:pt idx="56">
                  <c:v>327.43506800740545</c:v>
                </c:pt>
                <c:pt idx="57">
                  <c:v>337.96352256705649</c:v>
                </c:pt>
                <c:pt idx="58">
                  <c:v>348.48475930149431</c:v>
                </c:pt>
                <c:pt idx="59">
                  <c:v>358.99902694195083</c:v>
                </c:pt>
                <c:pt idx="60">
                  <c:v>369.50655845478695</c:v>
                </c:pt>
                <c:pt idx="61">
                  <c:v>327.91069603390116</c:v>
                </c:pt>
                <c:pt idx="62">
                  <c:v>337.20503376871869</c:v>
                </c:pt>
                <c:pt idx="63">
                  <c:v>346.49373249164279</c:v>
                </c:pt>
                <c:pt idx="64">
                  <c:v>355.77696477978753</c:v>
                </c:pt>
                <c:pt idx="65">
                  <c:v>365.05489346385633</c:v>
                </c:pt>
                <c:pt idx="66">
                  <c:v>374.32767241767596</c:v>
                </c:pt>
                <c:pt idx="67">
                  <c:v>383.5954472653803</c:v>
                </c:pt>
                <c:pt idx="68">
                  <c:v>392.85835601665866</c:v>
                </c:pt>
                <c:pt idx="69">
                  <c:v>402.11652963894284</c:v>
                </c:pt>
                <c:pt idx="70">
                  <c:v>411.37009257413501</c:v>
                </c:pt>
                <c:pt idx="71">
                  <c:v>358.42885881924531</c:v>
                </c:pt>
                <c:pt idx="72">
                  <c:v>366.41856983155532</c:v>
                </c:pt>
                <c:pt idx="73">
                  <c:v>374.40447734287653</c:v>
                </c:pt>
                <c:pt idx="74">
                  <c:v>382.38667398041827</c:v>
                </c:pt>
                <c:pt idx="75">
                  <c:v>390.36524818605039</c:v>
                </c:pt>
                <c:pt idx="76">
                  <c:v>398.34028448896998</c:v>
                </c:pt>
                <c:pt idx="77">
                  <c:v>406.31186375538374</c:v>
                </c:pt>
                <c:pt idx="78">
                  <c:v>414.28006341756685</c:v>
                </c:pt>
                <c:pt idx="79">
                  <c:v>422.2449576843706</c:v>
                </c:pt>
                <c:pt idx="80">
                  <c:v>430.20661773501496</c:v>
                </c:pt>
                <c:pt idx="81">
                  <c:v>384.08526929627891</c:v>
                </c:pt>
                <c:pt idx="82">
                  <c:v>386.60727266779895</c:v>
                </c:pt>
                <c:pt idx="83">
                  <c:v>389.12891867954744</c:v>
                </c:pt>
                <c:pt idx="84">
                  <c:v>391.6502099777183</c:v>
                </c:pt>
                <c:pt idx="85">
                  <c:v>394.17114917160387</c:v>
                </c:pt>
                <c:pt idx="86">
                  <c:v>396.69173883434729</c:v>
                </c:pt>
                <c:pt idx="87">
                  <c:v>399.21198150367587</c:v>
                </c:pt>
                <c:pt idx="88">
                  <c:v>401.731879682613</c:v>
                </c:pt>
                <c:pt idx="89">
                  <c:v>404.25143584017354</c:v>
                </c:pt>
                <c:pt idx="90">
                  <c:v>406.77065241203974</c:v>
                </c:pt>
                <c:pt idx="91">
                  <c:v>367.65895554246367</c:v>
                </c:pt>
                <c:pt idx="92">
                  <c:v>377.90666214557103</c:v>
                </c:pt>
                <c:pt idx="93">
                  <c:v>388.14832085822269</c:v>
                </c:pt>
                <c:pt idx="94">
                  <c:v>398.38411381613378</c:v>
                </c:pt>
                <c:pt idx="95">
                  <c:v>408.61421302871076</c:v>
                </c:pt>
                <c:pt idx="96">
                  <c:v>418.83878118693025</c:v>
                </c:pt>
                <c:pt idx="97">
                  <c:v>429.05797238819861</c:v>
                </c:pt>
                <c:pt idx="98">
                  <c:v>439.27193278854128</c:v>
                </c:pt>
                <c:pt idx="99">
                  <c:v>449.48080119096113</c:v>
                </c:pt>
                <c:pt idx="100">
                  <c:v>459.68470957755329</c:v>
                </c:pt>
                <c:pt idx="101">
                  <c:v>194.2661470785545</c:v>
                </c:pt>
                <c:pt idx="102">
                  <c:v>197.70917554970424</c:v>
                </c:pt>
                <c:pt idx="103">
                  <c:v>201.15081237442499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906912"/>
        <c:axId val="1630907456"/>
      </c:scatterChart>
      <c:valAx>
        <c:axId val="16309069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7456"/>
        <c:crosses val="autoZero"/>
        <c:crossBetween val="midCat"/>
      </c:valAx>
      <c:valAx>
        <c:axId val="163090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6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2.3838405188329927</c:v>
                </c:pt>
                <c:pt idx="2">
                  <c:v>3.2814354120312434</c:v>
                </c:pt>
                <c:pt idx="3">
                  <c:v>4.5184416668343035</c:v>
                </c:pt>
                <c:pt idx="4">
                  <c:v>6.2237134506951959</c:v>
                </c:pt>
                <c:pt idx="5">
                  <c:v>8.5752041428476442</c:v>
                </c:pt>
                <c:pt idx="6">
                  <c:v>11.818739178387807</c:v>
                </c:pt>
                <c:pt idx="7">
                  <c:v>16.293989034362514</c:v>
                </c:pt>
                <c:pt idx="8">
                  <c:v>22.470411760451736</c:v>
                </c:pt>
                <c:pt idx="9">
                  <c:v>30.997002400327091</c:v>
                </c:pt>
                <c:pt idx="10">
                  <c:v>42.771167371304301</c:v>
                </c:pt>
                <c:pt idx="11">
                  <c:v>55.093353157740296</c:v>
                </c:pt>
                <c:pt idx="12">
                  <c:v>67.342775086397822</c:v>
                </c:pt>
                <c:pt idx="13">
                  <c:v>79.534624123149641</c:v>
                </c:pt>
                <c:pt idx="14">
                  <c:v>91.679006439536593</c:v>
                </c:pt>
                <c:pt idx="15">
                  <c:v>103.78311366213529</c:v>
                </c:pt>
                <c:pt idx="16">
                  <c:v>88.267739561134462</c:v>
                </c:pt>
                <c:pt idx="17">
                  <c:v>102.0831910615842</c:v>
                </c:pt>
                <c:pt idx="18">
                  <c:v>115.85231457718385</c:v>
                </c:pt>
                <c:pt idx="19">
                  <c:v>129.58140203362072</c:v>
                </c:pt>
                <c:pt idx="20">
                  <c:v>143.27529843266893</c:v>
                </c:pt>
                <c:pt idx="21">
                  <c:v>156.75088346387858</c:v>
                </c:pt>
                <c:pt idx="22">
                  <c:v>170.1989658332011</c:v>
                </c:pt>
                <c:pt idx="23">
                  <c:v>183.62202621508791</c:v>
                </c:pt>
                <c:pt idx="24">
                  <c:v>197.02215247522824</c:v>
                </c:pt>
                <c:pt idx="25">
                  <c:v>210.40112494961298</c:v>
                </c:pt>
                <c:pt idx="26">
                  <c:v>173.93000803099332</c:v>
                </c:pt>
                <c:pt idx="27">
                  <c:v>186.78794247300308</c:v>
                </c:pt>
                <c:pt idx="28">
                  <c:v>199.62522507053666</c:v>
                </c:pt>
                <c:pt idx="29">
                  <c:v>212.44337170835345</c:v>
                </c:pt>
                <c:pt idx="30">
                  <c:v>225.24370022974736</c:v>
                </c:pt>
                <c:pt idx="31">
                  <c:v>237.28672059909331</c:v>
                </c:pt>
                <c:pt idx="32">
                  <c:v>249.31581208109557</c:v>
                </c:pt>
                <c:pt idx="33">
                  <c:v>261.33174174990091</c:v>
                </c:pt>
                <c:pt idx="34">
                  <c:v>273.33520033559711</c:v>
                </c:pt>
                <c:pt idx="35">
                  <c:v>285.32681291349411</c:v>
                </c:pt>
                <c:pt idx="36">
                  <c:v>242.6552193545505</c:v>
                </c:pt>
                <c:pt idx="37">
                  <c:v>253.56907009189914</c:v>
                </c:pt>
                <c:pt idx="38">
                  <c:v>264.47228568418126</c:v>
                </c:pt>
                <c:pt idx="39">
                  <c:v>275.36536664429354</c:v>
                </c:pt>
                <c:pt idx="40">
                  <c:v>286.24877062592168</c:v>
                </c:pt>
                <c:pt idx="41">
                  <c:v>296.57021208011378</c:v>
                </c:pt>
                <c:pt idx="42">
                  <c:v>306.88364556713356</c:v>
                </c:pt>
                <c:pt idx="43">
                  <c:v>317.18937830536407</c:v>
                </c:pt>
                <c:pt idx="44">
                  <c:v>327.48769590830915</c:v>
                </c:pt>
                <c:pt idx="45">
                  <c:v>337.77886455023253</c:v>
                </c:pt>
                <c:pt idx="46">
                  <c:v>294.9119574096888</c:v>
                </c:pt>
                <c:pt idx="47">
                  <c:v>304.49015286905723</c:v>
                </c:pt>
                <c:pt idx="48">
                  <c:v>314.06164885604761</c:v>
                </c:pt>
                <c:pt idx="49">
                  <c:v>323.62667847115432</c:v>
                </c:pt>
                <c:pt idx="50">
                  <c:v>333.18545990213522</c:v>
                </c:pt>
                <c:pt idx="51">
                  <c:v>342.18723913127047</c:v>
                </c:pt>
                <c:pt idx="52">
                  <c:v>351.1838133017921</c:v>
                </c:pt>
                <c:pt idx="53">
                  <c:v>360.17533464453732</c:v>
                </c:pt>
                <c:pt idx="54">
                  <c:v>369.1619471646768</c:v>
                </c:pt>
                <c:pt idx="55">
                  <c:v>378.14378727996046</c:v>
                </c:pt>
                <c:pt idx="56">
                  <c:v>339.79952573014128</c:v>
                </c:pt>
                <c:pt idx="57">
                  <c:v>348.24671923697093</c:v>
                </c:pt>
                <c:pt idx="58">
                  <c:v>356.68941678151765</c:v>
                </c:pt>
                <c:pt idx="59">
                  <c:v>365.12773986416681</c:v>
                </c:pt>
                <c:pt idx="60">
                  <c:v>373.56180390729855</c:v>
                </c:pt>
                <c:pt idx="61">
                  <c:v>381.25884465884684</c:v>
                </c:pt>
                <c:pt idx="62">
                  <c:v>388.95250618065228</c:v>
                </c:pt>
                <c:pt idx="63">
                  <c:v>396.6428647905862</c:v>
                </c:pt>
                <c:pt idx="64">
                  <c:v>404.32999360363391</c:v>
                </c:pt>
                <c:pt idx="65">
                  <c:v>412.01396272598663</c:v>
                </c:pt>
                <c:pt idx="66">
                  <c:v>374.47829807012619</c:v>
                </c:pt>
                <c:pt idx="67">
                  <c:v>381.80850305381085</c:v>
                </c:pt>
                <c:pt idx="68">
                  <c:v>389.13564804516926</c:v>
                </c:pt>
                <c:pt idx="69">
                  <c:v>396.45979883257809</c:v>
                </c:pt>
                <c:pt idx="70">
                  <c:v>403.78101857356381</c:v>
                </c:pt>
                <c:pt idx="71">
                  <c:v>410.73351773963401</c:v>
                </c:pt>
                <c:pt idx="72">
                  <c:v>417.68347648311186</c:v>
                </c:pt>
                <c:pt idx="73">
                  <c:v>424.63094306781801</c:v>
                </c:pt>
                <c:pt idx="74">
                  <c:v>431.57596404832128</c:v>
                </c:pt>
                <c:pt idx="75">
                  <c:v>438.51858435761028</c:v>
                </c:pt>
                <c:pt idx="76">
                  <c:v>403.7810185735637</c:v>
                </c:pt>
                <c:pt idx="77">
                  <c:v>410.18472923262584</c:v>
                </c:pt>
                <c:pt idx="78">
                  <c:v>416.58628147770673</c:v>
                </c:pt>
                <c:pt idx="79">
                  <c:v>422.98571318193154</c:v>
                </c:pt>
                <c:pt idx="80">
                  <c:v>429.38306097806168</c:v>
                </c:pt>
                <c:pt idx="81">
                  <c:v>435.77836031740293</c:v>
                </c:pt>
                <c:pt idx="82">
                  <c:v>442.17164552507137</c:v>
                </c:pt>
                <c:pt idx="83">
                  <c:v>448.56294985189771</c:v>
                </c:pt>
                <c:pt idx="84">
                  <c:v>454.95230552321544</c:v>
                </c:pt>
                <c:pt idx="85">
                  <c:v>461.33974378476478</c:v>
                </c:pt>
                <c:pt idx="86">
                  <c:v>427.92099191345005</c:v>
                </c:pt>
                <c:pt idx="87">
                  <c:v>433.76862772797989</c:v>
                </c:pt>
                <c:pt idx="88">
                  <c:v>439.61457098626988</c:v>
                </c:pt>
                <c:pt idx="89">
                  <c:v>445.4588473889209</c:v>
                </c:pt>
                <c:pt idx="90">
                  <c:v>451.30148190662845</c:v>
                </c:pt>
                <c:pt idx="91">
                  <c:v>456.95999128132956</c:v>
                </c:pt>
                <c:pt idx="92">
                  <c:v>462.61700403114037</c:v>
                </c:pt>
                <c:pt idx="93">
                  <c:v>468.2725410526304</c:v>
                </c:pt>
                <c:pt idx="94">
                  <c:v>473.92662269607291</c:v>
                </c:pt>
                <c:pt idx="95">
                  <c:v>479.57926878622084</c:v>
                </c:pt>
                <c:pt idx="96">
                  <c:v>449.29325995855169</c:v>
                </c:pt>
                <c:pt idx="97">
                  <c:v>454.58725142973572</c:v>
                </c:pt>
                <c:pt idx="98">
                  <c:v>459.87992534905925</c:v>
                </c:pt>
                <c:pt idx="99">
                  <c:v>465.171299031422</c:v>
                </c:pt>
                <c:pt idx="100">
                  <c:v>470.46138936536425</c:v>
                </c:pt>
                <c:pt idx="101">
                  <c:v>475.4766838055312</c:v>
                </c:pt>
                <c:pt idx="102">
                  <c:v>480.49085276489518</c:v>
                </c:pt>
                <c:pt idx="103">
                  <c:v>485.50390965442176</c:v>
                </c:pt>
                <c:pt idx="104">
                  <c:v>490.51586758532886</c:v>
                </c:pt>
                <c:pt idx="105">
                  <c:v>495.52673937884811</c:v>
                </c:pt>
                <c:pt idx="106">
                  <c:v>500.53653757557214</c:v>
                </c:pt>
                <c:pt idx="107">
                  <c:v>505.54527444440697</c:v>
                </c:pt>
                <c:pt idx="108">
                  <c:v>510.55296199115151</c:v>
                </c:pt>
                <c:pt idx="109">
                  <c:v>515.55961196672297</c:v>
                </c:pt>
                <c:pt idx="110">
                  <c:v>520.56523587504546</c:v>
                </c:pt>
                <c:pt idx="111">
                  <c:v>6.6944552106818241E-12</c:v>
                </c:pt>
                <c:pt idx="112">
                  <c:v>6.6944552106818241E-12</c:v>
                </c:pt>
                <c:pt idx="113">
                  <c:v>6.6944552106818241E-12</c:v>
                </c:pt>
                <c:pt idx="114">
                  <c:v>6.6944552106818241E-12</c:v>
                </c:pt>
                <c:pt idx="115">
                  <c:v>6.6944552106818241E-12</c:v>
                </c:pt>
                <c:pt idx="116">
                  <c:v>6.6944552106818241E-12</c:v>
                </c:pt>
                <c:pt idx="117">
                  <c:v>6.6944552106818241E-12</c:v>
                </c:pt>
                <c:pt idx="118">
                  <c:v>6.6944552106818241E-12</c:v>
                </c:pt>
                <c:pt idx="119">
                  <c:v>6.6944552106818241E-12</c:v>
                </c:pt>
                <c:pt idx="120">
                  <c:v>6.6944552106818241E-12</c:v>
                </c:pt>
                <c:pt idx="121">
                  <c:v>6.6944552106818241E-12</c:v>
                </c:pt>
                <c:pt idx="122">
                  <c:v>6.6944552106818241E-12</c:v>
                </c:pt>
                <c:pt idx="123">
                  <c:v>6.6944552106818241E-12</c:v>
                </c:pt>
                <c:pt idx="124">
                  <c:v>6.6944552106818241E-12</c:v>
                </c:pt>
                <c:pt idx="125">
                  <c:v>6.6944552106818241E-12</c:v>
                </c:pt>
                <c:pt idx="126">
                  <c:v>6.6944552106818241E-12</c:v>
                </c:pt>
                <c:pt idx="127">
                  <c:v>6.6944552106818241E-12</c:v>
                </c:pt>
                <c:pt idx="128">
                  <c:v>6.6944552106818241E-12</c:v>
                </c:pt>
                <c:pt idx="129">
                  <c:v>6.6944552106818241E-12</c:v>
                </c:pt>
                <c:pt idx="130">
                  <c:v>6.6944552106818241E-12</c:v>
                </c:pt>
                <c:pt idx="131">
                  <c:v>6.6944552106818241E-12</c:v>
                </c:pt>
                <c:pt idx="132">
                  <c:v>6.6944552106818241E-12</c:v>
                </c:pt>
                <c:pt idx="133">
                  <c:v>6.6944552106818241E-12</c:v>
                </c:pt>
                <c:pt idx="134">
                  <c:v>6.6944552106818241E-12</c:v>
                </c:pt>
                <c:pt idx="135">
                  <c:v>6.6944552106818241E-12</c:v>
                </c:pt>
                <c:pt idx="136">
                  <c:v>6.6944552106818241E-12</c:v>
                </c:pt>
                <c:pt idx="137">
                  <c:v>6.6944552106818241E-12</c:v>
                </c:pt>
                <c:pt idx="138">
                  <c:v>6.6944552106818241E-12</c:v>
                </c:pt>
                <c:pt idx="139">
                  <c:v>6.6944552106818241E-12</c:v>
                </c:pt>
                <c:pt idx="140">
                  <c:v>6.6944552106818241E-12</c:v>
                </c:pt>
                <c:pt idx="141">
                  <c:v>6.6944552106818241E-12</c:v>
                </c:pt>
                <c:pt idx="142">
                  <c:v>6.6944552106818241E-12</c:v>
                </c:pt>
                <c:pt idx="143">
                  <c:v>6.6944552106818241E-12</c:v>
                </c:pt>
                <c:pt idx="144">
                  <c:v>6.6944552106818241E-12</c:v>
                </c:pt>
                <c:pt idx="145">
                  <c:v>6.6944552106818241E-12</c:v>
                </c:pt>
                <c:pt idx="146">
                  <c:v>6.6944552106818241E-12</c:v>
                </c:pt>
                <c:pt idx="147">
                  <c:v>6.6944552106818241E-12</c:v>
                </c:pt>
                <c:pt idx="148">
                  <c:v>6.6944552106818241E-12</c:v>
                </c:pt>
                <c:pt idx="149">
                  <c:v>6.6944552106818241E-12</c:v>
                </c:pt>
                <c:pt idx="150">
                  <c:v>6.6944552106818241E-12</c:v>
                </c:pt>
                <c:pt idx="151">
                  <c:v>6.6944552106818241E-12</c:v>
                </c:pt>
                <c:pt idx="152">
                  <c:v>6.6944552106818241E-12</c:v>
                </c:pt>
                <c:pt idx="153">
                  <c:v>6.6944552106818241E-12</c:v>
                </c:pt>
                <c:pt idx="154">
                  <c:v>6.6944552106818241E-12</c:v>
                </c:pt>
                <c:pt idx="155">
                  <c:v>6.6944552106818241E-12</c:v>
                </c:pt>
                <c:pt idx="156">
                  <c:v>6.6944552106818241E-12</c:v>
                </c:pt>
                <c:pt idx="157">
                  <c:v>6.6944552106818241E-12</c:v>
                </c:pt>
                <c:pt idx="158">
                  <c:v>6.6944552106818241E-12</c:v>
                </c:pt>
                <c:pt idx="159">
                  <c:v>6.6944552106818241E-12</c:v>
                </c:pt>
                <c:pt idx="160">
                  <c:v>6.6944552106818241E-12</c:v>
                </c:pt>
                <c:pt idx="161">
                  <c:v>6.6944552106818241E-12</c:v>
                </c:pt>
                <c:pt idx="162">
                  <c:v>6.6944552106818241E-12</c:v>
                </c:pt>
                <c:pt idx="163">
                  <c:v>6.6944552106818241E-12</c:v>
                </c:pt>
                <c:pt idx="164">
                  <c:v>6.6944552106818241E-12</c:v>
                </c:pt>
                <c:pt idx="165">
                  <c:v>6.6944552106818241E-12</c:v>
                </c:pt>
                <c:pt idx="166">
                  <c:v>6.6944552106818241E-12</c:v>
                </c:pt>
                <c:pt idx="167">
                  <c:v>6.6944552106818241E-12</c:v>
                </c:pt>
                <c:pt idx="168">
                  <c:v>6.6944552106818241E-12</c:v>
                </c:pt>
                <c:pt idx="169">
                  <c:v>6.6944552106818241E-12</c:v>
                </c:pt>
                <c:pt idx="170">
                  <c:v>6.6944552106818241E-12</c:v>
                </c:pt>
                <c:pt idx="171">
                  <c:v>6.6944552106818241E-12</c:v>
                </c:pt>
                <c:pt idx="172">
                  <c:v>6.6944552106818241E-12</c:v>
                </c:pt>
                <c:pt idx="173">
                  <c:v>6.6944552106818241E-12</c:v>
                </c:pt>
                <c:pt idx="174">
                  <c:v>6.6944552106818241E-12</c:v>
                </c:pt>
                <c:pt idx="175">
                  <c:v>6.6944552106818241E-12</c:v>
                </c:pt>
                <c:pt idx="176">
                  <c:v>6.6944552106818241E-12</c:v>
                </c:pt>
                <c:pt idx="177">
                  <c:v>6.6944552106818241E-12</c:v>
                </c:pt>
                <c:pt idx="178">
                  <c:v>6.6944552106818241E-12</c:v>
                </c:pt>
                <c:pt idx="179">
                  <c:v>6.6944552106818241E-12</c:v>
                </c:pt>
                <c:pt idx="180">
                  <c:v>6.6944552106818241E-12</c:v>
                </c:pt>
                <c:pt idx="181">
                  <c:v>6.6944552106818241E-12</c:v>
                </c:pt>
                <c:pt idx="182">
                  <c:v>6.6944552106818241E-12</c:v>
                </c:pt>
                <c:pt idx="183">
                  <c:v>6.6944552106818241E-12</c:v>
                </c:pt>
                <c:pt idx="184">
                  <c:v>6.6944552106818241E-12</c:v>
                </c:pt>
                <c:pt idx="185">
                  <c:v>6.6944552106818241E-12</c:v>
                </c:pt>
                <c:pt idx="186">
                  <c:v>6.6944552106818241E-12</c:v>
                </c:pt>
                <c:pt idx="187">
                  <c:v>6.6944552106818241E-12</c:v>
                </c:pt>
                <c:pt idx="188">
                  <c:v>6.6944552106818241E-12</c:v>
                </c:pt>
                <c:pt idx="189">
                  <c:v>6.6944552106818241E-12</c:v>
                </c:pt>
                <c:pt idx="190">
                  <c:v>6.6944552106818241E-12</c:v>
                </c:pt>
                <c:pt idx="191">
                  <c:v>6.6944552106818241E-12</c:v>
                </c:pt>
                <c:pt idx="192">
                  <c:v>6.6944552106818241E-12</c:v>
                </c:pt>
                <c:pt idx="193">
                  <c:v>6.6944552106818241E-12</c:v>
                </c:pt>
                <c:pt idx="194">
                  <c:v>6.6944552106818241E-12</c:v>
                </c:pt>
                <c:pt idx="195">
                  <c:v>6.6944552106818241E-12</c:v>
                </c:pt>
                <c:pt idx="196">
                  <c:v>6.6944552106818241E-12</c:v>
                </c:pt>
                <c:pt idx="197">
                  <c:v>6.6944552106818241E-12</c:v>
                </c:pt>
                <c:pt idx="198">
                  <c:v>6.6944552106818241E-12</c:v>
                </c:pt>
                <c:pt idx="199">
                  <c:v>6.6944552106818241E-12</c:v>
                </c:pt>
                <c:pt idx="200">
                  <c:v>6.6944552106818241E-12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0900928"/>
        <c:axId val="1630901472"/>
      </c:scatterChart>
      <c:valAx>
        <c:axId val="16309009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1472"/>
        <c:crosses val="autoZero"/>
        <c:crossBetween val="midCat"/>
      </c:valAx>
      <c:valAx>
        <c:axId val="16309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0900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171.18397278750868</c:v>
                </c:pt>
                <c:pt idx="22">
                  <c:v>189.09987078266826</c:v>
                </c:pt>
                <c:pt idx="23">
                  <c:v>206.97620217195148</c:v>
                </c:pt>
                <c:pt idx="24">
                  <c:v>224.81686592693052</c:v>
                </c:pt>
                <c:pt idx="25">
                  <c:v>242.62509103866606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606160"/>
        <c:axId val="1899606704"/>
      </c:scatterChart>
      <c:valAx>
        <c:axId val="1899606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99606704"/>
        <c:crosses val="autoZero"/>
        <c:crossBetween val="midCat"/>
      </c:valAx>
      <c:valAx>
        <c:axId val="189960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99606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639072"/>
        <c:axId val="1624850576"/>
      </c:scatterChart>
      <c:valAx>
        <c:axId val="17746390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0576"/>
        <c:crosses val="autoZero"/>
        <c:crossBetween val="midCat"/>
      </c:valAx>
      <c:valAx>
        <c:axId val="162485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74639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3.2703410613260862</c:v>
                </c:pt>
                <c:pt idx="2">
                  <c:v>3.9161437254808931</c:v>
                </c:pt>
                <c:pt idx="3">
                  <c:v>4.6899445270810372</c:v>
                </c:pt>
                <c:pt idx="4">
                  <c:v>5.617200485549847</c:v>
                </c:pt>
                <c:pt idx="5">
                  <c:v>6.7284480012868242</c:v>
                </c:pt>
                <c:pt idx="6">
                  <c:v>8.0603193640911446</c:v>
                </c:pt>
                <c:pt idx="7">
                  <c:v>9.6567632502780452</c:v>
                </c:pt>
                <c:pt idx="8">
                  <c:v>11.570510247422023</c:v>
                </c:pt>
                <c:pt idx="9">
                  <c:v>13.864832720969302</c:v>
                </c:pt>
                <c:pt idx="10">
                  <c:v>16.61565828443106</c:v>
                </c:pt>
                <c:pt idx="11">
                  <c:v>19.914108093024186</c:v>
                </c:pt>
                <c:pt idx="12">
                  <c:v>23.869545556641487</c:v>
                </c:pt>
                <c:pt idx="13">
                  <c:v>28.613238351676909</c:v>
                </c:pt>
                <c:pt idx="14">
                  <c:v>34.302757391640604</c:v>
                </c:pt>
                <c:pt idx="15">
                  <c:v>41.127261402376554</c:v>
                </c:pt>
                <c:pt idx="16">
                  <c:v>49.313845791603399</c:v>
                </c:pt>
                <c:pt idx="17">
                  <c:v>59.135170630109862</c:v>
                </c:pt>
                <c:pt idx="18">
                  <c:v>70.918626007223153</c:v>
                </c:pt>
                <c:pt idx="19">
                  <c:v>85.057345270772814</c:v>
                </c:pt>
                <c:pt idx="20">
                  <c:v>102.02343949799173</c:v>
                </c:pt>
                <c:pt idx="21">
                  <c:v>115.24488471715169</c:v>
                </c:pt>
                <c:pt idx="22">
                  <c:v>128.42920528646451</c:v>
                </c:pt>
                <c:pt idx="23">
                  <c:v>141.58075430337479</c:v>
                </c:pt>
                <c:pt idx="24">
                  <c:v>154.70300795717847</c:v>
                </c:pt>
                <c:pt idx="25">
                  <c:v>167.79880331835713</c:v>
                </c:pt>
                <c:pt idx="26">
                  <c:v>184.1348953873202</c:v>
                </c:pt>
                <c:pt idx="27">
                  <c:v>200.43711831314488</c:v>
                </c:pt>
                <c:pt idx="28">
                  <c:v>216.70861540949173</c:v>
                </c:pt>
                <c:pt idx="29">
                  <c:v>232.95201893246733</c:v>
                </c:pt>
                <c:pt idx="30">
                  <c:v>249.16956379358496</c:v>
                </c:pt>
                <c:pt idx="31">
                  <c:v>200.43711831314488</c:v>
                </c:pt>
                <c:pt idx="32">
                  <c:v>219.03076565248196</c:v>
                </c:pt>
                <c:pt idx="33">
                  <c:v>237.58815254200749</c:v>
                </c:pt>
                <c:pt idx="34">
                  <c:v>256.1125096163592</c:v>
                </c:pt>
                <c:pt idx="35">
                  <c:v>274.60656174697812</c:v>
                </c:pt>
                <c:pt idx="36">
                  <c:v>293.99524327269938</c:v>
                </c:pt>
                <c:pt idx="37">
                  <c:v>313.35539693038533</c:v>
                </c:pt>
                <c:pt idx="38">
                  <c:v>332.68903260064207</c:v>
                </c:pt>
                <c:pt idx="39">
                  <c:v>351.99790751820501</c:v>
                </c:pt>
                <c:pt idx="40">
                  <c:v>371.28357043570503</c:v>
                </c:pt>
                <c:pt idx="41">
                  <c:v>293.99524327269938</c:v>
                </c:pt>
                <c:pt idx="42">
                  <c:v>313.35539693038538</c:v>
                </c:pt>
                <c:pt idx="43">
                  <c:v>332.68903260064207</c:v>
                </c:pt>
                <c:pt idx="44">
                  <c:v>351.99790751820518</c:v>
                </c:pt>
                <c:pt idx="45">
                  <c:v>371.28357043570503</c:v>
                </c:pt>
                <c:pt idx="46">
                  <c:v>390.08897772661572</c:v>
                </c:pt>
                <c:pt idx="47">
                  <c:v>408.87471968472323</c:v>
                </c:pt>
                <c:pt idx="48">
                  <c:v>427.6418265252899</c:v>
                </c:pt>
                <c:pt idx="49">
                  <c:v>446.39123070522641</c:v>
                </c:pt>
                <c:pt idx="50">
                  <c:v>465.12378000022358</c:v>
                </c:pt>
                <c:pt idx="51">
                  <c:v>387.33822121677048</c:v>
                </c:pt>
                <c:pt idx="52">
                  <c:v>405.66874423568089</c:v>
                </c:pt>
                <c:pt idx="53">
                  <c:v>423.98137001578152</c:v>
                </c:pt>
                <c:pt idx="54">
                  <c:v>442.27697999035109</c:v>
                </c:pt>
                <c:pt idx="55">
                  <c:v>460.55637675309475</c:v>
                </c:pt>
                <c:pt idx="56">
                  <c:v>477.9074551778013</c:v>
                </c:pt>
                <c:pt idx="57">
                  <c:v>495.24514214260324</c:v>
                </c:pt>
                <c:pt idx="58">
                  <c:v>512.56997221170479</c:v>
                </c:pt>
                <c:pt idx="59">
                  <c:v>529.88244088560566</c:v>
                </c:pt>
                <c:pt idx="60">
                  <c:v>547.18300866493462</c:v>
                </c:pt>
                <c:pt idx="61">
                  <c:v>467.86376222658549</c:v>
                </c:pt>
                <c:pt idx="62">
                  <c:v>484.29655280391279</c:v>
                </c:pt>
                <c:pt idx="63">
                  <c:v>500.71750586625211</c:v>
                </c:pt>
                <c:pt idx="64">
                  <c:v>517.12706410485578</c:v>
                </c:pt>
                <c:pt idx="65">
                  <c:v>533.52563983842992</c:v>
                </c:pt>
                <c:pt idx="66">
                  <c:v>549.00344654997514</c:v>
                </c:pt>
                <c:pt idx="67">
                  <c:v>564.47210457381163</c:v>
                </c:pt>
                <c:pt idx="68">
                  <c:v>579.93189980305101</c:v>
                </c:pt>
                <c:pt idx="69">
                  <c:v>595.38310165344672</c:v>
                </c:pt>
                <c:pt idx="70">
                  <c:v>610.82596442485954</c:v>
                </c:pt>
                <c:pt idx="71">
                  <c:v>529.42700402201569</c:v>
                </c:pt>
                <c:pt idx="72">
                  <c:v>543.54175115137775</c:v>
                </c:pt>
                <c:pt idx="73">
                  <c:v>557.64880567125817</c:v>
                </c:pt>
                <c:pt idx="74">
                  <c:v>571.74838952524453</c:v>
                </c:pt>
                <c:pt idx="75">
                  <c:v>585.84071282237744</c:v>
                </c:pt>
                <c:pt idx="76">
                  <c:v>599.47171971380669</c:v>
                </c:pt>
                <c:pt idx="77">
                  <c:v>613.09628499771316</c:v>
                </c:pt>
                <c:pt idx="78">
                  <c:v>626.71457192765104</c:v>
                </c:pt>
                <c:pt idx="79">
                  <c:v>640.3267360872029</c:v>
                </c:pt>
                <c:pt idx="80">
                  <c:v>653.93292590911028</c:v>
                </c:pt>
                <c:pt idx="81">
                  <c:v>571.29367866642974</c:v>
                </c:pt>
                <c:pt idx="82">
                  <c:v>584.02274942390272</c:v>
                </c:pt>
                <c:pt idx="83">
                  <c:v>596.74603902946512</c:v>
                </c:pt>
                <c:pt idx="84">
                  <c:v>609.46368807028375</c:v>
                </c:pt>
                <c:pt idx="85">
                  <c:v>622.17583079004874</c:v>
                </c:pt>
                <c:pt idx="86">
                  <c:v>634.88259550167152</c:v>
                </c:pt>
                <c:pt idx="87">
                  <c:v>647.58410496524095</c:v>
                </c:pt>
                <c:pt idx="88">
                  <c:v>660.28047673479932</c:v>
                </c:pt>
                <c:pt idx="89">
                  <c:v>672.97182347707314</c:v>
                </c:pt>
                <c:pt idx="90">
                  <c:v>685.6582532649245</c:v>
                </c:pt>
                <c:pt idx="91">
                  <c:v>601.51581107912773</c:v>
                </c:pt>
                <c:pt idx="92">
                  <c:v>612.64223485726768</c:v>
                </c:pt>
                <c:pt idx="93">
                  <c:v>623.76446791937644</c:v>
                </c:pt>
                <c:pt idx="94">
                  <c:v>634.88259550167152</c:v>
                </c:pt>
                <c:pt idx="95">
                  <c:v>645.9966996124798</c:v>
                </c:pt>
                <c:pt idx="96">
                  <c:v>657.10685920908043</c:v>
                </c:pt>
                <c:pt idx="97">
                  <c:v>668.21315036197109</c:v>
                </c:pt>
                <c:pt idx="98">
                  <c:v>679.31564640764952</c:v>
                </c:pt>
                <c:pt idx="99">
                  <c:v>690.41441809089304</c:v>
                </c:pt>
                <c:pt idx="100">
                  <c:v>701.50953369741819</c:v>
                </c:pt>
                <c:pt idx="101">
                  <c:v>616.27444100355058</c:v>
                </c:pt>
                <c:pt idx="102">
                  <c:v>626.26072851795254</c:v>
                </c:pt>
                <c:pt idx="103">
                  <c:v>636.24372076531768</c:v>
                </c:pt>
                <c:pt idx="104">
                  <c:v>646.22347672875867</c:v>
                </c:pt>
                <c:pt idx="105">
                  <c:v>656.20005342145294</c:v>
                </c:pt>
                <c:pt idx="106">
                  <c:v>666.17350598202211</c:v>
                </c:pt>
                <c:pt idx="107">
                  <c:v>676.14388776390103</c:v>
                </c:pt>
                <c:pt idx="108">
                  <c:v>686.11125041916887</c:v>
                </c:pt>
                <c:pt idx="109">
                  <c:v>696.07564397725127</c:v>
                </c:pt>
                <c:pt idx="110">
                  <c:v>706.03711691888873</c:v>
                </c:pt>
                <c:pt idx="111">
                  <c:v>626.03380426043748</c:v>
                </c:pt>
                <c:pt idx="112">
                  <c:v>634.42887368259915</c:v>
                </c:pt>
                <c:pt idx="113">
                  <c:v>642.82164719403158</c:v>
                </c:pt>
                <c:pt idx="114">
                  <c:v>651.21215899492529</c:v>
                </c:pt>
                <c:pt idx="115">
                  <c:v>659.6004423323792</c:v>
                </c:pt>
                <c:pt idx="116">
                  <c:v>667.98652953900148</c:v>
                </c:pt>
                <c:pt idx="117">
                  <c:v>676.37045206947607</c:v>
                </c:pt>
                <c:pt idx="118">
                  <c:v>684.75224053521981</c:v>
                </c:pt>
                <c:pt idx="119">
                  <c:v>693.13192473725633</c:v>
                </c:pt>
                <c:pt idx="120">
                  <c:v>701.50953369741762</c:v>
                </c:pt>
                <c:pt idx="121">
                  <c:v>629.43748973150025</c:v>
                </c:pt>
                <c:pt idx="122">
                  <c:v>636.6974158068673</c:v>
                </c:pt>
                <c:pt idx="123">
                  <c:v>643.95563156247397</c:v>
                </c:pt>
                <c:pt idx="124">
                  <c:v>651.21215899492529</c:v>
                </c:pt>
                <c:pt idx="125">
                  <c:v>658.46701957061839</c:v>
                </c:pt>
                <c:pt idx="126">
                  <c:v>665.72023424435065</c:v>
                </c:pt>
                <c:pt idx="127">
                  <c:v>672.97182347707178</c:v>
                </c:pt>
                <c:pt idx="128">
                  <c:v>680.22180725283522</c:v>
                </c:pt>
                <c:pt idx="129">
                  <c:v>687.47020509498645</c:v>
                </c:pt>
                <c:pt idx="130">
                  <c:v>694.71703608163534</c:v>
                </c:pt>
                <c:pt idx="131">
                  <c:v>630.57196682840777</c:v>
                </c:pt>
                <c:pt idx="132">
                  <c:v>636.69741580686696</c:v>
                </c:pt>
                <c:pt idx="133">
                  <c:v>642.8216471940309</c:v>
                </c:pt>
                <c:pt idx="134">
                  <c:v>648.94467422770936</c:v>
                </c:pt>
                <c:pt idx="135">
                  <c:v>655.06650987549995</c:v>
                </c:pt>
                <c:pt idx="136">
                  <c:v>661.18716684283038</c:v>
                </c:pt>
                <c:pt idx="137">
                  <c:v>667.30665758069279</c:v>
                </c:pt>
                <c:pt idx="138">
                  <c:v>673.42499429307202</c:v>
                </c:pt>
                <c:pt idx="139">
                  <c:v>679.54218894409837</c:v>
                </c:pt>
                <c:pt idx="140">
                  <c:v>685.65825326492302</c:v>
                </c:pt>
                <c:pt idx="141">
                  <c:v>629.89128564200882</c:v>
                </c:pt>
                <c:pt idx="142">
                  <c:v>635.33631061817096</c:v>
                </c:pt>
                <c:pt idx="143">
                  <c:v>640.78037119677663</c:v>
                </c:pt>
                <c:pt idx="144">
                  <c:v>646.2234767287573</c:v>
                </c:pt>
                <c:pt idx="145">
                  <c:v>651.66563639463936</c:v>
                </c:pt>
                <c:pt idx="146">
                  <c:v>657.10685920907861</c:v>
                </c:pt>
                <c:pt idx="147">
                  <c:v>662.54715402523584</c:v>
                </c:pt>
                <c:pt idx="148">
                  <c:v>667.98652953900034</c:v>
                </c:pt>
                <c:pt idx="149">
                  <c:v>673.42499429307145</c:v>
                </c:pt>
                <c:pt idx="150">
                  <c:v>678.86255668089746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851664"/>
        <c:axId val="1624857104"/>
      </c:scatterChart>
      <c:valAx>
        <c:axId val="1624851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7104"/>
        <c:crosses val="autoZero"/>
        <c:crossBetween val="midCat"/>
      </c:valAx>
      <c:valAx>
        <c:axId val="162485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1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2.2007158170150634</c:v>
                </c:pt>
                <c:pt idx="2">
                  <c:v>2.7962519094118723</c:v>
                </c:pt>
                <c:pt idx="3">
                  <c:v>3.5535861505858075</c:v>
                </c:pt>
                <c:pt idx="4">
                  <c:v>4.5168406960899965</c:v>
                </c:pt>
                <c:pt idx="5">
                  <c:v>5.7422116394973726</c:v>
                </c:pt>
                <c:pt idx="6">
                  <c:v>7.3012836732651438</c:v>
                </c:pt>
                <c:pt idx="7">
                  <c:v>9.2852574241869252</c:v>
                </c:pt>
                <c:pt idx="8">
                  <c:v>11.810341445786392</c:v>
                </c:pt>
                <c:pt idx="9">
                  <c:v>15.024630592214445</c:v>
                </c:pt>
                <c:pt idx="10">
                  <c:v>19.116881586433095</c:v>
                </c:pt>
                <c:pt idx="11">
                  <c:v>24.327710406972969</c:v>
                </c:pt>
                <c:pt idx="12">
                  <c:v>30.963881526939787</c:v>
                </c:pt>
                <c:pt idx="13">
                  <c:v>39.416544835762807</c:v>
                </c:pt>
                <c:pt idx="14">
                  <c:v>50.184513497177107</c:v>
                </c:pt>
                <c:pt idx="15">
                  <c:v>63.903979417585994</c:v>
                </c:pt>
                <c:pt idx="16">
                  <c:v>74.968706876518851</c:v>
                </c:pt>
                <c:pt idx="17">
                  <c:v>85.991728436661262</c:v>
                </c:pt>
                <c:pt idx="18">
                  <c:v>96.979158932691703</c:v>
                </c:pt>
                <c:pt idx="19">
                  <c:v>107.93560770449947</c:v>
                </c:pt>
                <c:pt idx="20">
                  <c:v>118.86466834612668</c:v>
                </c:pt>
                <c:pt idx="21">
                  <c:v>98.303053659061547</c:v>
                </c:pt>
                <c:pt idx="22">
                  <c:v>109.82179441041167</c:v>
                </c:pt>
                <c:pt idx="23">
                  <c:v>121.31083206812384</c:v>
                </c:pt>
                <c:pt idx="24">
                  <c:v>132.77338012241873</c:v>
                </c:pt>
                <c:pt idx="25">
                  <c:v>144.21205048455988</c:v>
                </c:pt>
                <c:pt idx="26">
                  <c:v>155.44200777032023</c:v>
                </c:pt>
                <c:pt idx="27">
                  <c:v>166.65269031760437</c:v>
                </c:pt>
                <c:pt idx="28">
                  <c:v>177.84557863573085</c:v>
                </c:pt>
                <c:pt idx="29">
                  <c:v>189.02195139881817</c:v>
                </c:pt>
                <c:pt idx="30">
                  <c:v>200.1829235327601</c:v>
                </c:pt>
                <c:pt idx="31">
                  <c:v>166.8393804653775</c:v>
                </c:pt>
                <c:pt idx="32">
                  <c:v>177.2863363747648</c:v>
                </c:pt>
                <c:pt idx="33">
                  <c:v>187.71885487389383</c:v>
                </c:pt>
                <c:pt idx="34">
                  <c:v>198.13785215720915</c:v>
                </c:pt>
                <c:pt idx="35">
                  <c:v>208.54414007920562</c:v>
                </c:pt>
                <c:pt idx="36">
                  <c:v>218.56741652515191</c:v>
                </c:pt>
                <c:pt idx="37">
                  <c:v>228.58013248587315</c:v>
                </c:pt>
                <c:pt idx="38">
                  <c:v>238.58281615819627</c:v>
                </c:pt>
                <c:pt idx="39">
                  <c:v>248.57594779020619</c:v>
                </c:pt>
                <c:pt idx="40">
                  <c:v>258.55996582862014</c:v>
                </c:pt>
                <c:pt idx="41">
                  <c:v>221.34976230468507</c:v>
                </c:pt>
                <c:pt idx="42">
                  <c:v>230.43322328514708</c:v>
                </c:pt>
                <c:pt idx="43">
                  <c:v>239.50850040547391</c:v>
                </c:pt>
                <c:pt idx="44">
                  <c:v>248.57594779020619</c:v>
                </c:pt>
                <c:pt idx="45">
                  <c:v>257.63589159264615</c:v>
                </c:pt>
                <c:pt idx="46">
                  <c:v>266.13458534164994</c:v>
                </c:pt>
                <c:pt idx="47">
                  <c:v>274.62716340664088</c:v>
                </c:pt>
                <c:pt idx="48">
                  <c:v>283.11384176239767</c:v>
                </c:pt>
                <c:pt idx="49">
                  <c:v>291.59482236596199</c:v>
                </c:pt>
                <c:pt idx="50">
                  <c:v>300.07029445665904</c:v>
                </c:pt>
                <c:pt idx="51">
                  <c:v>263.91813349471556</c:v>
                </c:pt>
                <c:pt idx="52">
                  <c:v>272.04309993302689</c:v>
                </c:pt>
                <c:pt idx="53">
                  <c:v>280.16260989796962</c:v>
                </c:pt>
                <c:pt idx="54">
                  <c:v>288.27684398861334</c:v>
                </c:pt>
                <c:pt idx="55">
                  <c:v>296.38597179712855</c:v>
                </c:pt>
                <c:pt idx="56">
                  <c:v>303.9377490861047</c:v>
                </c:pt>
                <c:pt idx="57">
                  <c:v>311.48535316475278</c:v>
                </c:pt>
                <c:pt idx="58">
                  <c:v>319.0288995184381</c:v>
                </c:pt>
                <c:pt idx="59">
                  <c:v>326.56849772007598</c:v>
                </c:pt>
                <c:pt idx="60">
                  <c:v>334.10425186536281</c:v>
                </c:pt>
                <c:pt idx="61">
                  <c:v>299.51771063750357</c:v>
                </c:pt>
                <c:pt idx="62">
                  <c:v>306.33133805905351</c:v>
                </c:pt>
                <c:pt idx="63">
                  <c:v>313.14159727783806</c:v>
                </c:pt>
                <c:pt idx="64">
                  <c:v>319.94857196193698</c:v>
                </c:pt>
                <c:pt idx="65">
                  <c:v>326.752341924875</c:v>
                </c:pt>
                <c:pt idx="66">
                  <c:v>333.36922275846945</c:v>
                </c:pt>
                <c:pt idx="67">
                  <c:v>339.98320906401597</c:v>
                </c:pt>
                <c:pt idx="68">
                  <c:v>346.59436515417241</c:v>
                </c:pt>
                <c:pt idx="69">
                  <c:v>353.20275268539814</c:v>
                </c:pt>
                <c:pt idx="70">
                  <c:v>359.80843081641109</c:v>
                </c:pt>
                <c:pt idx="71">
                  <c:v>328.22301342486293</c:v>
                </c:pt>
                <c:pt idx="72">
                  <c:v>334.28800356949745</c:v>
                </c:pt>
                <c:pt idx="73">
                  <c:v>340.35056918220107</c:v>
                </c:pt>
                <c:pt idx="74">
                  <c:v>346.41075959292488</c:v>
                </c:pt>
                <c:pt idx="75">
                  <c:v>352.46862226287612</c:v>
                </c:pt>
                <c:pt idx="76">
                  <c:v>358.52420288693412</c:v>
                </c:pt>
                <c:pt idx="77">
                  <c:v>364.57754548877739</c:v>
                </c:pt>
                <c:pt idx="78">
                  <c:v>370.62869250935978</c:v>
                </c:pt>
                <c:pt idx="79">
                  <c:v>376.67768488930204</c:v>
                </c:pt>
                <c:pt idx="80">
                  <c:v>382.72456214571093</c:v>
                </c:pt>
                <c:pt idx="81">
                  <c:v>354.30388563085961</c:v>
                </c:pt>
                <c:pt idx="82">
                  <c:v>359.80843081641098</c:v>
                </c:pt>
                <c:pt idx="83">
                  <c:v>365.31113396264055</c:v>
                </c:pt>
                <c:pt idx="84">
                  <c:v>370.81202676268708</c:v>
                </c:pt>
                <c:pt idx="85">
                  <c:v>376.31113989160673</c:v>
                </c:pt>
                <c:pt idx="86">
                  <c:v>381.44206603793464</c:v>
                </c:pt>
                <c:pt idx="87">
                  <c:v>386.57149119930955</c:v>
                </c:pt>
                <c:pt idx="88">
                  <c:v>391.69943812459718</c:v>
                </c:pt>
                <c:pt idx="89">
                  <c:v>396.82592891778563</c:v>
                </c:pt>
                <c:pt idx="90">
                  <c:v>401.95098506454946</c:v>
                </c:pt>
                <c:pt idx="91">
                  <c:v>374.11170627828125</c:v>
                </c:pt>
                <c:pt idx="92">
                  <c:v>379.24328283355038</c:v>
                </c:pt>
                <c:pt idx="93">
                  <c:v>384.37334845003653</c:v>
                </c:pt>
                <c:pt idx="94">
                  <c:v>389.50192616148792</c:v>
                </c:pt>
                <c:pt idx="95">
                  <c:v>394.62903834492931</c:v>
                </c:pt>
                <c:pt idx="96">
                  <c:v>399.38863500257224</c:v>
                </c:pt>
                <c:pt idx="97">
                  <c:v>404.14700371925454</c:v>
                </c:pt>
                <c:pt idx="98">
                  <c:v>408.90416100839622</c:v>
                </c:pt>
                <c:pt idx="99">
                  <c:v>413.6601229674265</c:v>
                </c:pt>
                <c:pt idx="100">
                  <c:v>418.41490529303309</c:v>
                </c:pt>
                <c:pt idx="101">
                  <c:v>392.61498907746892</c:v>
                </c:pt>
                <c:pt idx="102">
                  <c:v>397.0089912151418</c:v>
                </c:pt>
                <c:pt idx="103">
                  <c:v>401.40193989208575</c:v>
                </c:pt>
                <c:pt idx="104">
                  <c:v>405.79384827767245</c:v>
                </c:pt>
                <c:pt idx="105">
                  <c:v>410.18472923262584</c:v>
                </c:pt>
                <c:pt idx="106">
                  <c:v>414.57459531955891</c:v>
                </c:pt>
                <c:pt idx="107">
                  <c:v>418.96345881303779</c:v>
                </c:pt>
                <c:pt idx="108">
                  <c:v>423.35133170920312</c:v>
                </c:pt>
                <c:pt idx="109">
                  <c:v>427.73822573497159</c:v>
                </c:pt>
                <c:pt idx="110">
                  <c:v>432.12415235683937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857648"/>
        <c:axId val="1624856560"/>
      </c:scatterChart>
      <c:valAx>
        <c:axId val="162485764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6560"/>
        <c:crosses val="autoZero"/>
        <c:crossBetween val="midCat"/>
      </c:valAx>
      <c:valAx>
        <c:axId val="1624856560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85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opLeftCell="A1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="70" zoomScaleNormal="70" workbookViewId="0">
      <selection activeCell="E113" sqref="E113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12.211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11</v>
      </c>
      <c r="C9" s="35">
        <v>0.6</v>
      </c>
      <c r="D9" s="36">
        <f t="shared" ref="D9:D18" si="0">C9*$C$5</f>
        <v>7.3266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14</v>
      </c>
      <c r="C10" s="35">
        <v>9.5000000000000001E-2</v>
      </c>
      <c r="D10" s="36">
        <f t="shared" si="0"/>
        <v>1.160045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23</v>
      </c>
      <c r="C11" s="35">
        <v>0.158</v>
      </c>
      <c r="D11" s="36">
        <f t="shared" si="0"/>
        <v>1.929338</v>
      </c>
      <c r="E11" s="37">
        <v>80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41</v>
      </c>
      <c r="C12" s="35">
        <v>4.5999999999999999E-2</v>
      </c>
      <c r="D12" s="36">
        <f t="shared" si="0"/>
        <v>0.56170600000000004</v>
      </c>
      <c r="E12" s="37">
        <v>103</v>
      </c>
      <c r="F12" s="38" t="str">
        <f t="array" ref="F12">IF(E12="","",IF(INDEX(A:A,MAX(IF(ISNUMBER($A$114:$A$133),ROW($A$114:$A$133),"")))&lt;&gt;E12,"Corrigez : révolution incorrecte","OK"))</f>
        <v>OK</v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50</v>
      </c>
      <c r="C13" s="35">
        <v>4.2999999999999997E-2</v>
      </c>
      <c r="D13" s="36">
        <f t="shared" si="0"/>
        <v>0.52507300000000001</v>
      </c>
      <c r="E13" s="37">
        <v>110</v>
      </c>
      <c r="F13" s="38" t="str">
        <f t="array" ref="F13">IF(E13="","",IF(INDEX(A:A,MAX(IF(ISNUMBER($A$140:$A$159),ROW($A$140:$A$159),"")))&lt;&gt;E13,"Corrigez : révolution incorrecte","OK"))</f>
        <v>OK</v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29</v>
      </c>
      <c r="C14" s="35">
        <v>3.2000000000000001E-2</v>
      </c>
      <c r="D14" s="36">
        <f t="shared" si="0"/>
        <v>0.39075200000000004</v>
      </c>
      <c r="E14" s="37">
        <v>69</v>
      </c>
      <c r="F14" s="38" t="str">
        <f t="array" ref="F14">IF(E14="","",IF(INDEX(A:A,MAX(IF(ISNUMBER($A$166:$A$185),ROW($A$166:$A$185),"")))&lt;&gt;E14,"Corrigez : révolution incorrecte","OK"))</f>
        <v>OK</v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1</v>
      </c>
      <c r="C15" s="35">
        <v>8.9999999999999993E-3</v>
      </c>
      <c r="D15" s="36">
        <f t="shared" si="0"/>
        <v>0.109899</v>
      </c>
      <c r="E15" s="37">
        <v>150</v>
      </c>
      <c r="F15" s="38" t="str">
        <f t="array" ref="F15">IF(E15="","",IF(INDEX(A:A,MAX(IF(ISNUMBER($A$192:$A$211),ROW($A$192:$A$211),"")))&lt;&gt;E15,"Corrigez : révolution incorrecte","OK"))</f>
        <v>OK</v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 t="s">
        <v>52</v>
      </c>
      <c r="C16" s="35">
        <v>4.0000000000000001E-3</v>
      </c>
      <c r="D16" s="36">
        <f t="shared" si="0"/>
        <v>4.8844000000000005E-2</v>
      </c>
      <c r="E16" s="37">
        <v>150</v>
      </c>
      <c r="F16" s="38" t="str">
        <f t="array" ref="F16">IF(E16="","",IF(INDEX(A:A,MAX(IF(ISNUMBER($A$218:$A$237),ROW($A$218:$A$237),"")))&lt;&gt;E16,"Corrigez : révolution incorrecte","OK"))</f>
        <v>OK</v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 t="s">
        <v>50</v>
      </c>
      <c r="C17" s="35">
        <v>3.0000000000000001E-3</v>
      </c>
      <c r="D17" s="36">
        <f t="shared" si="0"/>
        <v>3.6632999999999999E-2</v>
      </c>
      <c r="E17" s="37">
        <v>110</v>
      </c>
      <c r="F17" s="38" t="str">
        <f t="array" ref="F17">IF(E17="","",IF(INDEX(A:A,MAX(IF(ISNUMBER($A$244:$A$263),ROW($A$244:$A$263),"")))&lt;&gt;E17,"Corrigez : révolution incorrecte","OK"))</f>
        <v>OK</v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0.9900000000000001</v>
      </c>
      <c r="D19" s="41">
        <f>SUM(D9:D18)</f>
        <v>12.088890000000001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Chêne pédonculé</v>
      </c>
      <c r="C32" s="25" t="s">
        <v>326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20</v>
      </c>
      <c r="B36" s="63">
        <f>67+6</f>
        <v>73</v>
      </c>
      <c r="C36" s="54"/>
      <c r="D36" s="63"/>
      <c r="E36" s="63"/>
      <c r="F36" s="54"/>
      <c r="G36" s="54"/>
      <c r="H36" s="54"/>
      <c r="I36" s="52">
        <f>IFERROR(B36/A36,"")</f>
        <v>3.65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25</v>
      </c>
      <c r="B37" s="63">
        <f>75+6+28</f>
        <v>109</v>
      </c>
      <c r="C37" s="63">
        <v>1</v>
      </c>
      <c r="D37" s="63">
        <f>6+28</f>
        <v>34</v>
      </c>
      <c r="E37" s="63"/>
      <c r="F37" s="54"/>
      <c r="G37" s="54"/>
      <c r="H37" s="54">
        <v>1</v>
      </c>
      <c r="I37" s="56">
        <f t="shared" ref="I37:I55" si="1">IF(A37&lt;&gt;0,(B37-(B36-D36))/(A37-A36),"")</f>
        <v>7.2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30</v>
      </c>
      <c r="B38" s="63">
        <f>93+28</f>
        <v>121</v>
      </c>
      <c r="C38" s="63"/>
      <c r="D38" s="63"/>
      <c r="E38" s="63"/>
      <c r="F38" s="54"/>
      <c r="G38" s="54"/>
      <c r="H38" s="54"/>
      <c r="I38" s="56">
        <f t="shared" si="1"/>
        <v>9.1999999999999993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35</v>
      </c>
      <c r="B39" s="63">
        <f>119+28+28</f>
        <v>175</v>
      </c>
      <c r="C39" s="63">
        <v>2</v>
      </c>
      <c r="D39" s="63">
        <f>28+28</f>
        <v>56</v>
      </c>
      <c r="E39" s="63"/>
      <c r="F39" s="54"/>
      <c r="G39" s="54"/>
      <c r="H39" s="54"/>
      <c r="I39" s="52">
        <f t="shared" si="1"/>
        <v>10.8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40</v>
      </c>
      <c r="B40" s="63">
        <f>147+28</f>
        <v>175</v>
      </c>
      <c r="C40" s="63"/>
      <c r="D40" s="63"/>
      <c r="E40" s="63"/>
      <c r="F40" s="54"/>
      <c r="G40" s="54"/>
      <c r="H40" s="54"/>
      <c r="I40" s="52">
        <f t="shared" si="1"/>
        <v>11.2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45</v>
      </c>
      <c r="B41" s="63">
        <f>176+28+28</f>
        <v>232</v>
      </c>
      <c r="C41" s="63">
        <v>3</v>
      </c>
      <c r="D41" s="63">
        <f>28+28</f>
        <v>56</v>
      </c>
      <c r="E41" s="63"/>
      <c r="F41" s="54"/>
      <c r="G41" s="54"/>
      <c r="H41" s="54"/>
      <c r="I41" s="56">
        <f t="shared" si="1"/>
        <v>11.4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50</v>
      </c>
      <c r="B42" s="63">
        <f>203+28</f>
        <v>231</v>
      </c>
      <c r="C42" s="63"/>
      <c r="D42" s="63"/>
      <c r="E42" s="63"/>
      <c r="F42" s="54"/>
      <c r="G42" s="54"/>
      <c r="H42" s="54"/>
      <c r="I42" s="56">
        <f t="shared" si="1"/>
        <v>11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>
        <v>55</v>
      </c>
      <c r="B43" s="63">
        <f>226+28+28</f>
        <v>282</v>
      </c>
      <c r="C43" s="63">
        <v>4</v>
      </c>
      <c r="D43" s="63">
        <f>28+28</f>
        <v>56</v>
      </c>
      <c r="E43" s="63"/>
      <c r="F43" s="54"/>
      <c r="G43" s="54"/>
      <c r="H43" s="54"/>
      <c r="I43" s="52">
        <f t="shared" si="1"/>
        <v>10.199999999999999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>
        <v>60</v>
      </c>
      <c r="B44" s="63">
        <f>245+28</f>
        <v>273</v>
      </c>
      <c r="C44" s="63"/>
      <c r="D44" s="63"/>
      <c r="E44" s="63"/>
      <c r="F44" s="54"/>
      <c r="G44" s="54"/>
      <c r="H44" s="54"/>
      <c r="I44" s="52">
        <f t="shared" si="1"/>
        <v>9.4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>
        <v>65</v>
      </c>
      <c r="B45" s="63">
        <f>261+28+28</f>
        <v>317</v>
      </c>
      <c r="C45" s="63">
        <v>5</v>
      </c>
      <c r="D45" s="63">
        <f>28+28</f>
        <v>56</v>
      </c>
      <c r="E45" s="63"/>
      <c r="F45" s="54"/>
      <c r="G45" s="54"/>
      <c r="H45" s="54"/>
      <c r="I45" s="52">
        <f t="shared" si="1"/>
        <v>8.8000000000000007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>
        <v>70</v>
      </c>
      <c r="B46" s="63">
        <f>274+28</f>
        <v>302</v>
      </c>
      <c r="C46" s="63"/>
      <c r="D46" s="63"/>
      <c r="E46" s="63"/>
      <c r="F46" s="54"/>
      <c r="G46" s="54"/>
      <c r="H46" s="54"/>
      <c r="I46" s="52">
        <f t="shared" si="1"/>
        <v>8.1999999999999993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>
        <v>75</v>
      </c>
      <c r="B47" s="63">
        <f>284+28+28</f>
        <v>340</v>
      </c>
      <c r="C47" s="63">
        <v>6</v>
      </c>
      <c r="D47" s="63">
        <f>28+28</f>
        <v>56</v>
      </c>
      <c r="E47" s="63"/>
      <c r="F47" s="54"/>
      <c r="G47" s="54"/>
      <c r="H47" s="54"/>
      <c r="I47" s="52">
        <f t="shared" si="1"/>
        <v>7.6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>
        <v>80</v>
      </c>
      <c r="B48" s="63">
        <f>292+28</f>
        <v>320</v>
      </c>
      <c r="C48" s="63"/>
      <c r="D48" s="63"/>
      <c r="E48" s="63"/>
      <c r="F48" s="54"/>
      <c r="G48" s="54"/>
      <c r="H48" s="54"/>
      <c r="I48" s="52">
        <f t="shared" si="1"/>
        <v>7.2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>
        <v>90</v>
      </c>
      <c r="B49" s="63">
        <f>298+28+28</f>
        <v>354</v>
      </c>
      <c r="C49" s="63">
        <v>7</v>
      </c>
      <c r="D49" s="63">
        <f>28+28</f>
        <v>56</v>
      </c>
      <c r="E49" s="63"/>
      <c r="F49" s="54"/>
      <c r="G49" s="54"/>
      <c r="H49" s="54"/>
      <c r="I49" s="52">
        <f t="shared" si="1"/>
        <v>3.4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>
        <v>100</v>
      </c>
      <c r="B50" s="63">
        <f>306+27+28</f>
        <v>361</v>
      </c>
      <c r="C50" s="53">
        <v>8</v>
      </c>
      <c r="D50" s="63">
        <f>27+28</f>
        <v>55</v>
      </c>
      <c r="E50" s="63"/>
      <c r="F50" s="54"/>
      <c r="G50" s="54"/>
      <c r="H50" s="54"/>
      <c r="I50" s="52">
        <f t="shared" si="1"/>
        <v>6.3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>
        <v>110</v>
      </c>
      <c r="B51" s="63">
        <f>307+25+26</f>
        <v>358</v>
      </c>
      <c r="C51" s="53">
        <v>9</v>
      </c>
      <c r="D51" s="63">
        <f>25+26</f>
        <v>51</v>
      </c>
      <c r="E51" s="63"/>
      <c r="F51" s="54"/>
      <c r="G51" s="54"/>
      <c r="H51" s="54"/>
      <c r="I51" s="52">
        <f t="shared" si="1"/>
        <v>5.2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>
        <v>120</v>
      </c>
      <c r="B52" s="63">
        <f>305+23+24</f>
        <v>352</v>
      </c>
      <c r="C52" s="53">
        <v>10</v>
      </c>
      <c r="D52" s="63">
        <f>23+24</f>
        <v>47</v>
      </c>
      <c r="E52" s="63"/>
      <c r="F52" s="54"/>
      <c r="G52" s="54"/>
      <c r="H52" s="54"/>
      <c r="I52" s="52">
        <f t="shared" si="1"/>
        <v>4.5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>
        <v>130</v>
      </c>
      <c r="B53" s="63">
        <f>303+22+22</f>
        <v>347</v>
      </c>
      <c r="C53" s="53">
        <v>11</v>
      </c>
      <c r="D53" s="63">
        <f>22+22</f>
        <v>44</v>
      </c>
      <c r="E53" s="63"/>
      <c r="F53" s="54"/>
      <c r="G53" s="54"/>
      <c r="H53" s="54"/>
      <c r="I53" s="52">
        <f t="shared" si="1"/>
        <v>4.2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>
        <v>140</v>
      </c>
      <c r="B54" s="63">
        <f>300+20+21</f>
        <v>341</v>
      </c>
      <c r="C54" s="53">
        <v>12</v>
      </c>
      <c r="D54" s="63">
        <f>20+21</f>
        <v>41</v>
      </c>
      <c r="E54" s="63"/>
      <c r="F54" s="54"/>
      <c r="G54" s="54"/>
      <c r="H54" s="54"/>
      <c r="I54" s="52">
        <f t="shared" si="1"/>
        <v>3.8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>
        <v>150</v>
      </c>
      <c r="B55" s="63">
        <f>298+18+19</f>
        <v>335</v>
      </c>
      <c r="C55" s="53">
        <v>13</v>
      </c>
      <c r="D55" s="63">
        <f>18+19</f>
        <v>37</v>
      </c>
      <c r="E55" s="63"/>
      <c r="F55" s="54"/>
      <c r="G55" s="54"/>
      <c r="H55" s="54"/>
      <c r="I55" s="52">
        <f t="shared" si="1"/>
        <v>3.5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sessile</v>
      </c>
      <c r="C58" s="25" t="s">
        <v>324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3">
        <f>42</f>
        <v>42</v>
      </c>
      <c r="C62" s="63"/>
      <c r="D62" s="63"/>
      <c r="E62" s="63"/>
      <c r="F62" s="54"/>
      <c r="G62" s="54"/>
      <c r="H62" s="54"/>
      <c r="I62" s="56">
        <f>IFERROR(B62/A62,"")</f>
        <v>2.1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25</v>
      </c>
      <c r="B63" s="63">
        <f>62+8</f>
        <v>70</v>
      </c>
      <c r="C63" s="63"/>
      <c r="D63" s="63"/>
      <c r="E63" s="63"/>
      <c r="F63" s="54"/>
      <c r="G63" s="54"/>
      <c r="H63" s="54"/>
      <c r="I63" s="52">
        <f>IF(A63&lt;&gt;0,(B63-(B62-D62))/(A63-A62),"")</f>
        <v>5.6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30</v>
      </c>
      <c r="B64" s="63">
        <f>76+21+8</f>
        <v>105</v>
      </c>
      <c r="C64" s="63">
        <v>1</v>
      </c>
      <c r="D64" s="63">
        <f>8+21</f>
        <v>29</v>
      </c>
      <c r="E64" s="63"/>
      <c r="F64" s="54"/>
      <c r="G64" s="54"/>
      <c r="H64" s="54">
        <v>1</v>
      </c>
      <c r="I64" s="52">
        <f>IF(A64&lt;&gt;0,(B64-(B63-D63))/(A64-A63),"")</f>
        <v>7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35</v>
      </c>
      <c r="B65" s="63">
        <f>95+21</f>
        <v>116</v>
      </c>
      <c r="C65" s="63"/>
      <c r="D65" s="63"/>
      <c r="E65" s="63"/>
      <c r="F65" s="54"/>
      <c r="G65" s="54"/>
      <c r="H65" s="54"/>
      <c r="I65" s="52">
        <f>IF(A65&lt;&gt;0,(B65-(B64-D64))/(A65-A64),"")</f>
        <v>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40</v>
      </c>
      <c r="B66" s="63">
        <f>116+21+21</f>
        <v>158</v>
      </c>
      <c r="C66" s="63">
        <v>2</v>
      </c>
      <c r="D66" s="63">
        <f>21+21</f>
        <v>42</v>
      </c>
      <c r="E66" s="63"/>
      <c r="F66" s="54"/>
      <c r="G66" s="54"/>
      <c r="H66" s="54"/>
      <c r="I66" s="52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45</v>
      </c>
      <c r="B67" s="63">
        <f>137+21</f>
        <v>158</v>
      </c>
      <c r="C67" s="63"/>
      <c r="D67" s="63"/>
      <c r="E67" s="63"/>
      <c r="F67" s="54"/>
      <c r="G67" s="54"/>
      <c r="H67" s="54"/>
      <c r="I67" s="52">
        <f t="shared" si="2"/>
        <v>8.4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50</v>
      </c>
      <c r="B68" s="63">
        <f>157+21+21</f>
        <v>199</v>
      </c>
      <c r="C68" s="63">
        <v>3</v>
      </c>
      <c r="D68" s="63">
        <f>21+21</f>
        <v>42</v>
      </c>
      <c r="E68" s="63"/>
      <c r="F68" s="54"/>
      <c r="G68" s="54"/>
      <c r="H68" s="54"/>
      <c r="I68" s="52">
        <f t="shared" si="2"/>
        <v>8.1999999999999993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55</v>
      </c>
      <c r="B69" s="63">
        <f>176+21</f>
        <v>197</v>
      </c>
      <c r="C69" s="53"/>
      <c r="D69" s="63"/>
      <c r="E69" s="63"/>
      <c r="F69" s="54"/>
      <c r="G69" s="54"/>
      <c r="H69" s="54"/>
      <c r="I69" s="52">
        <f t="shared" si="2"/>
        <v>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60</v>
      </c>
      <c r="B70" s="63">
        <f>193+21+21</f>
        <v>235</v>
      </c>
      <c r="C70" s="53">
        <v>4</v>
      </c>
      <c r="D70" s="63">
        <f>21+21</f>
        <v>42</v>
      </c>
      <c r="E70" s="63"/>
      <c r="F70" s="54"/>
      <c r="G70" s="54"/>
      <c r="H70" s="54"/>
      <c r="I70" s="52">
        <f t="shared" si="2"/>
        <v>7.6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65</v>
      </c>
      <c r="B71" s="63">
        <f>208+21</f>
        <v>229</v>
      </c>
      <c r="C71" s="53"/>
      <c r="D71" s="63"/>
      <c r="E71" s="63"/>
      <c r="F71" s="54"/>
      <c r="G71" s="54"/>
      <c r="H71" s="54"/>
      <c r="I71" s="52">
        <f t="shared" si="2"/>
        <v>7.2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70</v>
      </c>
      <c r="B72" s="63">
        <f>221+21+21</f>
        <v>263</v>
      </c>
      <c r="C72" s="53">
        <v>5</v>
      </c>
      <c r="D72" s="63">
        <f>21+21</f>
        <v>42</v>
      </c>
      <c r="E72" s="63"/>
      <c r="F72" s="54"/>
      <c r="G72" s="54"/>
      <c r="H72" s="54"/>
      <c r="I72" s="52">
        <f t="shared" si="2"/>
        <v>6.8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75</v>
      </c>
      <c r="B73" s="63">
        <f>231+21</f>
        <v>252</v>
      </c>
      <c r="C73" s="53"/>
      <c r="D73" s="63"/>
      <c r="E73" s="63"/>
      <c r="F73" s="54"/>
      <c r="G73" s="54"/>
      <c r="H73" s="54"/>
      <c r="I73" s="52">
        <f t="shared" si="2"/>
        <v>6.2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80</v>
      </c>
      <c r="B74" s="63">
        <f>240+21+21</f>
        <v>282</v>
      </c>
      <c r="C74" s="53">
        <v>6</v>
      </c>
      <c r="D74" s="63">
        <f>21+21</f>
        <v>42</v>
      </c>
      <c r="E74" s="63"/>
      <c r="F74" s="54"/>
      <c r="G74" s="54"/>
      <c r="H74" s="54"/>
      <c r="I74" s="52">
        <f t="shared" si="2"/>
        <v>6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90</v>
      </c>
      <c r="B75" s="63">
        <f>254+21+21</f>
        <v>296</v>
      </c>
      <c r="C75" s="53">
        <v>7</v>
      </c>
      <c r="D75" s="63">
        <f>21+21</f>
        <v>42</v>
      </c>
      <c r="E75" s="63"/>
      <c r="F75" s="54"/>
      <c r="G75" s="54"/>
      <c r="H75" s="54"/>
      <c r="I75" s="52">
        <f t="shared" si="2"/>
        <v>5.6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>
        <v>100</v>
      </c>
      <c r="B76" s="63">
        <f>261+21+21</f>
        <v>303</v>
      </c>
      <c r="C76" s="53">
        <v>8</v>
      </c>
      <c r="D76" s="63">
        <f>21+21</f>
        <v>42</v>
      </c>
      <c r="E76" s="63"/>
      <c r="F76" s="54"/>
      <c r="G76" s="54"/>
      <c r="H76" s="54"/>
      <c r="I76" s="52">
        <f t="shared" si="2"/>
        <v>4.9000000000000004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>
        <v>110</v>
      </c>
      <c r="B77" s="63">
        <f>266+19+20</f>
        <v>305</v>
      </c>
      <c r="C77" s="53">
        <v>9</v>
      </c>
      <c r="D77" s="63">
        <f>20+19</f>
        <v>39</v>
      </c>
      <c r="E77" s="63"/>
      <c r="F77" s="54"/>
      <c r="G77" s="54"/>
      <c r="H77" s="54"/>
      <c r="I77" s="52">
        <f t="shared" si="2"/>
        <v>4.4000000000000004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>
        <v>120</v>
      </c>
      <c r="B78" s="63">
        <f>268+18+17</f>
        <v>303</v>
      </c>
      <c r="C78" s="53">
        <v>10</v>
      </c>
      <c r="D78" s="63">
        <f>17+18</f>
        <v>35</v>
      </c>
      <c r="E78" s="63"/>
      <c r="F78" s="54"/>
      <c r="G78" s="54"/>
      <c r="H78" s="54"/>
      <c r="I78" s="52">
        <f t="shared" si="2"/>
        <v>3.7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>
        <v>130</v>
      </c>
      <c r="B79" s="63">
        <f>269+16+15</f>
        <v>300</v>
      </c>
      <c r="C79" s="53">
        <v>11</v>
      </c>
      <c r="D79" s="63">
        <f>15+16</f>
        <v>31</v>
      </c>
      <c r="E79" s="63"/>
      <c r="F79" s="54"/>
      <c r="G79" s="54"/>
      <c r="H79" s="54"/>
      <c r="I79" s="52">
        <f t="shared" si="2"/>
        <v>3.2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>
        <v>140</v>
      </c>
      <c r="B80" s="63">
        <f>269+14+13</f>
        <v>296</v>
      </c>
      <c r="C80" s="53">
        <v>12</v>
      </c>
      <c r="D80" s="63">
        <f>13+14</f>
        <v>27</v>
      </c>
      <c r="E80" s="63"/>
      <c r="F80" s="54"/>
      <c r="G80" s="54"/>
      <c r="H80" s="54"/>
      <c r="I80" s="52">
        <f t="shared" si="2"/>
        <v>2.7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>
        <v>150</v>
      </c>
      <c r="B81" s="63">
        <f>268+13+12</f>
        <v>293</v>
      </c>
      <c r="C81" s="53">
        <v>13</v>
      </c>
      <c r="D81" s="63">
        <f>268+13+12</f>
        <v>293</v>
      </c>
      <c r="E81" s="63"/>
      <c r="F81" s="54"/>
      <c r="G81" s="54"/>
      <c r="H81" s="54"/>
      <c r="I81" s="52">
        <f t="shared" si="2"/>
        <v>2.4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Erable sycomore</v>
      </c>
      <c r="C84" s="25" t="s">
        <v>327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10</v>
      </c>
      <c r="B88" s="63">
        <f>11</f>
        <v>11</v>
      </c>
      <c r="C88" s="63"/>
      <c r="D88" s="63"/>
      <c r="E88" s="63"/>
      <c r="F88" s="54"/>
      <c r="G88" s="54"/>
      <c r="H88" s="54"/>
      <c r="I88" s="56">
        <f>IFERROR(B88/A88,"")</f>
        <v>1.1000000000000001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15</v>
      </c>
      <c r="B89" s="63">
        <f>65+0</f>
        <v>65</v>
      </c>
      <c r="C89" s="63"/>
      <c r="D89" s="63"/>
      <c r="E89" s="63"/>
      <c r="F89" s="54"/>
      <c r="G89" s="54"/>
      <c r="H89" s="54"/>
      <c r="I89" s="56">
        <f t="shared" ref="I89:I107" si="3">IF(A89&lt;&gt;0,(B89-(B88-D88))/(A89-A88),"")</f>
        <v>10.8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20</v>
      </c>
      <c r="B90" s="63">
        <f>102+32</f>
        <v>134</v>
      </c>
      <c r="C90" s="63">
        <v>1</v>
      </c>
      <c r="D90" s="63">
        <f>35+32+0</f>
        <v>67</v>
      </c>
      <c r="E90" s="63"/>
      <c r="F90" s="54"/>
      <c r="G90" s="54"/>
      <c r="H90" s="54">
        <v>1</v>
      </c>
      <c r="I90" s="56">
        <f t="shared" si="3"/>
        <v>13.8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25</v>
      </c>
      <c r="B91" s="63">
        <f>141</f>
        <v>141</v>
      </c>
      <c r="C91" s="63"/>
      <c r="D91" s="63"/>
      <c r="E91" s="63"/>
      <c r="F91" s="54"/>
      <c r="G91" s="54"/>
      <c r="H91" s="54"/>
      <c r="I91" s="56">
        <f t="shared" si="3"/>
        <v>14.8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30</v>
      </c>
      <c r="B92" s="63">
        <f>177+35</f>
        <v>212</v>
      </c>
      <c r="C92" s="63">
        <v>2</v>
      </c>
      <c r="D92" s="63">
        <f>35+35</f>
        <v>70</v>
      </c>
      <c r="E92" s="63"/>
      <c r="F92" s="54"/>
      <c r="G92" s="54"/>
      <c r="H92" s="54">
        <v>1</v>
      </c>
      <c r="I92" s="56">
        <f t="shared" si="3"/>
        <v>14.2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35</v>
      </c>
      <c r="B93" s="63">
        <f>206</f>
        <v>206</v>
      </c>
      <c r="C93" s="63"/>
      <c r="D93" s="63"/>
      <c r="E93" s="63"/>
      <c r="F93" s="54"/>
      <c r="G93" s="54"/>
      <c r="H93" s="54"/>
      <c r="I93" s="56">
        <f t="shared" si="3"/>
        <v>12.8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40</v>
      </c>
      <c r="B94" s="63">
        <f>228+35</f>
        <v>263</v>
      </c>
      <c r="C94" s="53">
        <v>3</v>
      </c>
      <c r="D94" s="63">
        <f>35+35</f>
        <v>70</v>
      </c>
      <c r="E94" s="63"/>
      <c r="F94" s="54"/>
      <c r="G94" s="54"/>
      <c r="H94" s="54"/>
      <c r="I94" s="56">
        <f t="shared" si="3"/>
        <v>11.4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45</v>
      </c>
      <c r="B95" s="63">
        <f>242</f>
        <v>242</v>
      </c>
      <c r="C95" s="53"/>
      <c r="D95" s="63"/>
      <c r="E95" s="63"/>
      <c r="F95" s="54"/>
      <c r="G95" s="54"/>
      <c r="H95" s="54"/>
      <c r="I95" s="56">
        <f t="shared" si="3"/>
        <v>9.8000000000000007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50</v>
      </c>
      <c r="B96" s="63">
        <f>261+24</f>
        <v>285</v>
      </c>
      <c r="C96" s="53">
        <v>4</v>
      </c>
      <c r="D96" s="63">
        <f>19+24</f>
        <v>43</v>
      </c>
      <c r="E96" s="63"/>
      <c r="F96" s="54"/>
      <c r="G96" s="54"/>
      <c r="H96" s="54"/>
      <c r="I96" s="56">
        <f t="shared" si="3"/>
        <v>8.6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55</v>
      </c>
      <c r="B97" s="63">
        <f>279</f>
        <v>279</v>
      </c>
      <c r="C97" s="53"/>
      <c r="D97" s="63"/>
      <c r="E97" s="63"/>
      <c r="F97" s="54"/>
      <c r="G97" s="54"/>
      <c r="H97" s="54"/>
      <c r="I97" s="56">
        <f t="shared" si="3"/>
        <v>7.4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60</v>
      </c>
      <c r="B98" s="63">
        <f>294+16</f>
        <v>310</v>
      </c>
      <c r="C98" s="53">
        <v>5</v>
      </c>
      <c r="D98" s="63">
        <f>14+16</f>
        <v>30</v>
      </c>
      <c r="E98" s="63"/>
      <c r="F98" s="54"/>
      <c r="G98" s="54"/>
      <c r="H98" s="54"/>
      <c r="I98" s="56">
        <f t="shared" si="3"/>
        <v>6.2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65</v>
      </c>
      <c r="B99" s="63">
        <f>306</f>
        <v>306</v>
      </c>
      <c r="C99" s="53"/>
      <c r="D99" s="63"/>
      <c r="E99" s="63"/>
      <c r="F99" s="54"/>
      <c r="G99" s="54"/>
      <c r="H99" s="54"/>
      <c r="I99" s="56">
        <f t="shared" si="3"/>
        <v>5.2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70</v>
      </c>
      <c r="B100" s="63">
        <f>315+13</f>
        <v>328</v>
      </c>
      <c r="C100" s="53">
        <v>6</v>
      </c>
      <c r="D100" s="63">
        <f>13+13</f>
        <v>26</v>
      </c>
      <c r="E100" s="63"/>
      <c r="F100" s="54"/>
      <c r="G100" s="54"/>
      <c r="H100" s="54"/>
      <c r="I100" s="56">
        <f t="shared" si="3"/>
        <v>4.4000000000000004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75</v>
      </c>
      <c r="B101" s="63">
        <f>324</f>
        <v>324</v>
      </c>
      <c r="C101" s="53"/>
      <c r="D101" s="63"/>
      <c r="E101" s="63"/>
      <c r="F101" s="54"/>
      <c r="G101" s="54"/>
      <c r="H101" s="54"/>
      <c r="I101" s="56">
        <f t="shared" si="3"/>
        <v>4.4000000000000004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>
        <v>80</v>
      </c>
      <c r="B102" s="63">
        <f>330+12</f>
        <v>342</v>
      </c>
      <c r="C102" s="53">
        <v>8</v>
      </c>
      <c r="D102" s="63">
        <f>330+12</f>
        <v>342</v>
      </c>
      <c r="E102" s="63"/>
      <c r="F102" s="54"/>
      <c r="G102" s="54"/>
      <c r="H102" s="54"/>
      <c r="I102" s="56">
        <f t="shared" si="3"/>
        <v>3.6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Pin sylvestre</v>
      </c>
      <c r="C110" s="25" t="s">
        <v>330</v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22</v>
      </c>
      <c r="B114" s="63">
        <v>121.42</v>
      </c>
      <c r="C114" s="53">
        <v>1</v>
      </c>
      <c r="D114" s="63">
        <v>50.38</v>
      </c>
      <c r="E114" s="63"/>
      <c r="F114" s="54">
        <v>0.5</v>
      </c>
      <c r="G114" s="54">
        <v>0.5</v>
      </c>
      <c r="H114" s="54"/>
      <c r="I114" s="56">
        <f>IFERROR(B114/A114,"")</f>
        <v>5.5190909090909095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29</v>
      </c>
      <c r="B115" s="63">
        <v>148.33000000000001</v>
      </c>
      <c r="C115" s="53">
        <v>2</v>
      </c>
      <c r="D115" s="63">
        <v>31.13</v>
      </c>
      <c r="E115" s="63"/>
      <c r="F115" s="54">
        <v>0.5</v>
      </c>
      <c r="G115" s="54">
        <v>0.5</v>
      </c>
      <c r="H115" s="54"/>
      <c r="I115" s="56">
        <f t="shared" ref="I115:I133" si="4">IF(A115&lt;&gt;0,(B115-(B114-D114))/(A115-A114),"")</f>
        <v>11.041428571428574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36</v>
      </c>
      <c r="B116" s="63">
        <v>195.12</v>
      </c>
      <c r="C116" s="53">
        <v>3</v>
      </c>
      <c r="D116" s="63">
        <v>41.46</v>
      </c>
      <c r="E116" s="63"/>
      <c r="F116" s="54"/>
      <c r="G116" s="54"/>
      <c r="H116" s="54"/>
      <c r="I116" s="56">
        <f t="shared" si="4"/>
        <v>11.13142857142857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44</v>
      </c>
      <c r="B117" s="63">
        <v>238.99</v>
      </c>
      <c r="C117" s="53">
        <v>4</v>
      </c>
      <c r="D117" s="63">
        <v>42.43</v>
      </c>
      <c r="E117" s="63"/>
      <c r="F117" s="54"/>
      <c r="G117" s="54"/>
      <c r="H117" s="54"/>
      <c r="I117" s="56">
        <f t="shared" si="4"/>
        <v>10.666250000000002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52</v>
      </c>
      <c r="B118" s="63">
        <v>273.2</v>
      </c>
      <c r="C118" s="53">
        <v>5</v>
      </c>
      <c r="D118" s="63">
        <v>46.24</v>
      </c>
      <c r="E118" s="63"/>
      <c r="F118" s="54"/>
      <c r="G118" s="54"/>
      <c r="H118" s="54"/>
      <c r="I118" s="56">
        <f t="shared" si="4"/>
        <v>9.5799999999999983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60</v>
      </c>
      <c r="B119" s="63">
        <v>295.87</v>
      </c>
      <c r="C119" s="53">
        <v>6</v>
      </c>
      <c r="D119" s="63">
        <v>41.67</v>
      </c>
      <c r="E119" s="63"/>
      <c r="F119" s="54"/>
      <c r="G119" s="54"/>
      <c r="H119" s="54"/>
      <c r="I119" s="56">
        <f t="shared" si="4"/>
        <v>8.6137500000000031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>
        <v>70</v>
      </c>
      <c r="B120" s="63">
        <v>330.24</v>
      </c>
      <c r="C120" s="63">
        <v>7</v>
      </c>
      <c r="D120" s="63">
        <v>50</v>
      </c>
      <c r="E120" s="63"/>
      <c r="F120" s="93"/>
      <c r="G120" s="93"/>
      <c r="H120" s="93"/>
      <c r="I120" s="56">
        <f t="shared" si="4"/>
        <v>7.6040000000000019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>
        <v>80</v>
      </c>
      <c r="B121" s="63">
        <v>345.73</v>
      </c>
      <c r="C121" s="63">
        <v>8</v>
      </c>
      <c r="D121" s="63">
        <v>39.97</v>
      </c>
      <c r="E121" s="63"/>
      <c r="F121" s="93"/>
      <c r="G121" s="93"/>
      <c r="H121" s="93"/>
      <c r="I121" s="56">
        <f t="shared" si="4"/>
        <v>6.5490000000000013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>
        <v>90</v>
      </c>
      <c r="B122" s="63">
        <v>326.45999999999998</v>
      </c>
      <c r="C122" s="63">
        <v>9</v>
      </c>
      <c r="D122" s="63">
        <v>40.51</v>
      </c>
      <c r="E122" s="63"/>
      <c r="F122" s="93"/>
      <c r="G122" s="93"/>
      <c r="H122" s="93"/>
      <c r="I122" s="56">
        <f t="shared" si="4"/>
        <v>2.069999999999999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>
        <v>100</v>
      </c>
      <c r="B123" s="63">
        <v>370</v>
      </c>
      <c r="C123" s="63">
        <v>10</v>
      </c>
      <c r="D123" s="63">
        <v>219.7</v>
      </c>
      <c r="E123" s="63"/>
      <c r="F123" s="93"/>
      <c r="G123" s="93"/>
      <c r="H123" s="93"/>
      <c r="I123" s="56">
        <f t="shared" si="4"/>
        <v>8.4050000000000011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>
        <v>103</v>
      </c>
      <c r="B124" s="63">
        <v>158.65</v>
      </c>
      <c r="C124" s="63">
        <v>11</v>
      </c>
      <c r="D124" s="63">
        <v>158.65</v>
      </c>
      <c r="E124" s="63"/>
      <c r="F124" s="93"/>
      <c r="G124" s="93"/>
      <c r="H124" s="93"/>
      <c r="I124" s="56">
        <f t="shared" si="4"/>
        <v>2.7833333333333314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6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3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3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63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Tilleul</v>
      </c>
      <c r="C136" s="25" t="s">
        <v>328</v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10</v>
      </c>
      <c r="B140" s="63">
        <f>43/1.56</f>
        <v>27.564102564102562</v>
      </c>
      <c r="C140" s="53"/>
      <c r="D140" s="63"/>
      <c r="E140" s="54"/>
      <c r="F140" s="54"/>
      <c r="G140" s="54"/>
      <c r="H140" s="54"/>
      <c r="I140" s="60">
        <f>IFERROR(B140/A140,"")</f>
        <v>2.7564102564102564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15</v>
      </c>
      <c r="B141" s="63">
        <f>(96+11)/1.56</f>
        <v>68.589743589743591</v>
      </c>
      <c r="C141" s="53">
        <v>1</v>
      </c>
      <c r="D141" s="63">
        <f>(11+20)/1.56</f>
        <v>19.871794871794872</v>
      </c>
      <c r="E141" s="54"/>
      <c r="F141" s="54"/>
      <c r="G141" s="54"/>
      <c r="H141" s="54">
        <v>1</v>
      </c>
      <c r="I141" s="60">
        <f t="shared" ref="I141:I159" si="5">IF(A141&lt;&gt;0,(B141-(B140-D140))/(A141-A140),"")</f>
        <v>8.2051282051282062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20</v>
      </c>
      <c r="B142" s="63">
        <f>149/1.56</f>
        <v>95.512820512820511</v>
      </c>
      <c r="C142" s="53"/>
      <c r="D142" s="63"/>
      <c r="E142" s="54"/>
      <c r="F142" s="54"/>
      <c r="G142" s="54"/>
      <c r="H142" s="54"/>
      <c r="I142" s="60">
        <f t="shared" si="5"/>
        <v>9.3589743589743595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25</v>
      </c>
      <c r="B143" s="63">
        <f>(196+25)/1.56</f>
        <v>141.66666666666666</v>
      </c>
      <c r="C143" s="53">
        <v>2</v>
      </c>
      <c r="D143" s="63">
        <f>(25+28)/1.56</f>
        <v>33.974358974358971</v>
      </c>
      <c r="E143" s="54"/>
      <c r="F143" s="54"/>
      <c r="G143" s="54"/>
      <c r="H143" s="54">
        <v>1</v>
      </c>
      <c r="I143" s="60">
        <f t="shared" si="5"/>
        <v>9.2307692307692299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30</v>
      </c>
      <c r="B144" s="63">
        <f>237/1.56</f>
        <v>151.92307692307691</v>
      </c>
      <c r="C144" s="53"/>
      <c r="D144" s="63"/>
      <c r="E144" s="54"/>
      <c r="F144" s="54"/>
      <c r="G144" s="54"/>
      <c r="H144" s="54"/>
      <c r="I144" s="60">
        <f t="shared" si="5"/>
        <v>8.8461538461538449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35</v>
      </c>
      <c r="B145" s="63">
        <f>(273+29)/1.56</f>
        <v>193.58974358974359</v>
      </c>
      <c r="C145" s="53">
        <v>3</v>
      </c>
      <c r="D145" s="63">
        <f>(29+29)/1.56</f>
        <v>37.179487179487175</v>
      </c>
      <c r="E145" s="54"/>
      <c r="F145" s="54"/>
      <c r="G145" s="54"/>
      <c r="H145" s="54"/>
      <c r="I145" s="60">
        <f t="shared" si="5"/>
        <v>8.3333333333333375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>
        <v>40</v>
      </c>
      <c r="B146" s="63">
        <f>303/1.56</f>
        <v>194.23076923076923</v>
      </c>
      <c r="C146" s="53"/>
      <c r="D146" s="63"/>
      <c r="E146" s="54"/>
      <c r="F146" s="54"/>
      <c r="G146" s="54"/>
      <c r="H146" s="54"/>
      <c r="I146" s="60">
        <f t="shared" si="5"/>
        <v>7.5641025641025639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>
        <v>45</v>
      </c>
      <c r="B147" s="63">
        <f>(330+29)/1.56</f>
        <v>230.12820512820511</v>
      </c>
      <c r="C147" s="53">
        <v>4</v>
      </c>
      <c r="D147" s="63">
        <f>(29+28)/1.56</f>
        <v>36.53846153846154</v>
      </c>
      <c r="E147" s="54"/>
      <c r="F147" s="54"/>
      <c r="G147" s="54"/>
      <c r="H147" s="54"/>
      <c r="I147" s="60">
        <f>IF(A147&lt;&gt;0,(B147-(B146-D146))/(A147-A146),"")</f>
        <v>7.1794871794871771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>
        <v>50</v>
      </c>
      <c r="B148" s="63">
        <f>354/1.56</f>
        <v>226.92307692307691</v>
      </c>
      <c r="C148" s="53"/>
      <c r="D148" s="63"/>
      <c r="E148" s="54"/>
      <c r="F148" s="54"/>
      <c r="G148" s="54"/>
      <c r="H148" s="54"/>
      <c r="I148" s="60">
        <f t="shared" si="5"/>
        <v>6.6666666666666687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>
        <v>55</v>
      </c>
      <c r="B149" s="63">
        <f>(376+27)/1.56</f>
        <v>258.33333333333331</v>
      </c>
      <c r="C149" s="53">
        <v>5</v>
      </c>
      <c r="D149" s="63">
        <f>(27+24)/1.56</f>
        <v>32.692307692307693</v>
      </c>
      <c r="E149" s="54"/>
      <c r="F149" s="54"/>
      <c r="G149" s="54"/>
      <c r="H149" s="54"/>
      <c r="I149" s="60">
        <f t="shared" si="5"/>
        <v>6.2820512820512819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>
        <v>60</v>
      </c>
      <c r="B150" s="63">
        <f>398/1.56</f>
        <v>255.12820512820511</v>
      </c>
      <c r="C150" s="53"/>
      <c r="D150" s="63"/>
      <c r="E150" s="54"/>
      <c r="F150" s="54"/>
      <c r="G150" s="54"/>
      <c r="H150" s="54"/>
      <c r="I150" s="60">
        <f t="shared" si="5"/>
        <v>5.8974358974358951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>
        <v>65</v>
      </c>
      <c r="B151" s="63">
        <f>(415+25)/1.56</f>
        <v>282.05128205128204</v>
      </c>
      <c r="C151" s="53">
        <v>6</v>
      </c>
      <c r="D151" s="63">
        <f>(25+24)/1.56</f>
        <v>31.410256410256409</v>
      </c>
      <c r="E151" s="54"/>
      <c r="F151" s="54"/>
      <c r="G151" s="54"/>
      <c r="H151" s="54"/>
      <c r="I151" s="60">
        <f t="shared" si="5"/>
        <v>5.3846153846153868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>
        <v>70</v>
      </c>
      <c r="B152" s="63">
        <f>431/1.56</f>
        <v>276.28205128205127</v>
      </c>
      <c r="C152" s="53"/>
      <c r="D152" s="63"/>
      <c r="E152" s="57"/>
      <c r="F152" s="57"/>
      <c r="G152" s="57"/>
      <c r="H152" s="57"/>
      <c r="I152" s="60">
        <f t="shared" si="5"/>
        <v>5.1282051282051269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>
        <v>75</v>
      </c>
      <c r="B153" s="63">
        <f>(446+23)/1.56</f>
        <v>300.64102564102564</v>
      </c>
      <c r="C153" s="53">
        <v>7</v>
      </c>
      <c r="D153" s="63">
        <f>(23+22)/1.56</f>
        <v>28.846153846153847</v>
      </c>
      <c r="E153" s="57"/>
      <c r="F153" s="57"/>
      <c r="G153" s="57"/>
      <c r="H153" s="57"/>
      <c r="I153" s="60">
        <f t="shared" si="5"/>
        <v>4.8717948717948731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>
        <v>80</v>
      </c>
      <c r="B154" s="59">
        <f>459/1.56</f>
        <v>294.23076923076923</v>
      </c>
      <c r="C154" s="53"/>
      <c r="D154" s="53"/>
      <c r="E154" s="57"/>
      <c r="F154" s="57"/>
      <c r="G154" s="57"/>
      <c r="H154" s="57"/>
      <c r="I154" s="60">
        <f t="shared" si="5"/>
        <v>4.4871794871794917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>
        <v>85</v>
      </c>
      <c r="B155" s="59">
        <f>(472+22)/1.56</f>
        <v>316.66666666666663</v>
      </c>
      <c r="C155" s="53">
        <v>8</v>
      </c>
      <c r="D155" s="53">
        <v>27.564102564102562</v>
      </c>
      <c r="E155" s="57"/>
      <c r="F155" s="57"/>
      <c r="G155" s="57"/>
      <c r="H155" s="57"/>
      <c r="I155" s="60">
        <f t="shared" si="5"/>
        <v>4.4871794871794801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>
        <v>90</v>
      </c>
      <c r="B156" s="59">
        <f>483/1.56</f>
        <v>309.61538461538458</v>
      </c>
      <c r="C156" s="53"/>
      <c r="D156" s="53"/>
      <c r="E156" s="57"/>
      <c r="F156" s="57"/>
      <c r="G156" s="57"/>
      <c r="H156" s="57"/>
      <c r="I156" s="60">
        <f t="shared" si="5"/>
        <v>4.1025641025640995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>
        <v>95</v>
      </c>
      <c r="B157" s="59">
        <f>(494+20)/1.56</f>
        <v>329.4871794871795</v>
      </c>
      <c r="C157" s="53">
        <v>9</v>
      </c>
      <c r="D157" s="53">
        <v>25</v>
      </c>
      <c r="E157" s="57"/>
      <c r="F157" s="57"/>
      <c r="G157" s="57"/>
      <c r="H157" s="57"/>
      <c r="I157" s="60">
        <f t="shared" si="5"/>
        <v>3.9743589743589838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>
        <v>100</v>
      </c>
      <c r="B158" s="59">
        <f>504/1.56</f>
        <v>323.07692307692304</v>
      </c>
      <c r="C158" s="53"/>
      <c r="D158" s="53"/>
      <c r="E158" s="57"/>
      <c r="F158" s="57"/>
      <c r="G158" s="57"/>
      <c r="H158" s="57"/>
      <c r="I158" s="60">
        <f t="shared" si="5"/>
        <v>3.717948717948707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>
        <v>110</v>
      </c>
      <c r="B159" s="59">
        <f>(523+18+18)/1.56</f>
        <v>358.33333333333331</v>
      </c>
      <c r="C159" s="53">
        <v>10</v>
      </c>
      <c r="D159" s="61">
        <f>(523+18+18)/1.56</f>
        <v>358.33333333333331</v>
      </c>
      <c r="E159" s="57"/>
      <c r="F159" s="57"/>
      <c r="G159" s="57"/>
      <c r="H159" s="57"/>
      <c r="I159" s="60">
        <f t="shared" si="5"/>
        <v>3.5256410256410278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Merisier</v>
      </c>
      <c r="C162" s="25" t="s">
        <v>325</v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15</v>
      </c>
      <c r="B166" s="63">
        <v>40</v>
      </c>
      <c r="C166" s="63"/>
      <c r="D166" s="63"/>
      <c r="E166" s="54"/>
      <c r="F166" s="54"/>
      <c r="G166" s="54"/>
      <c r="H166" s="54"/>
      <c r="I166" s="52">
        <f>IFERROR(B166/A166,"")</f>
        <v>2.6666666666666665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20</v>
      </c>
      <c r="B167" s="63">
        <f>85+3</f>
        <v>88</v>
      </c>
      <c r="C167" s="63"/>
      <c r="D167" s="63"/>
      <c r="E167" s="54"/>
      <c r="F167" s="54"/>
      <c r="G167" s="54"/>
      <c r="H167" s="54"/>
      <c r="I167" s="52">
        <f t="shared" ref="I167:I185" si="6">IF(A167&lt;&gt;0,(B167-(B166-D166))/(A167-A166),"")</f>
        <v>9.6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25</v>
      </c>
      <c r="B168" s="63">
        <f>113+3+25</f>
        <v>141</v>
      </c>
      <c r="C168" s="63">
        <v>1</v>
      </c>
      <c r="D168" s="63">
        <f>3+25+27</f>
        <v>55</v>
      </c>
      <c r="E168" s="54"/>
      <c r="F168" s="54"/>
      <c r="G168" s="54"/>
      <c r="H168" s="54">
        <v>1</v>
      </c>
      <c r="I168" s="52">
        <f t="shared" si="6"/>
        <v>10.6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31</v>
      </c>
      <c r="B169" s="63">
        <v>155</v>
      </c>
      <c r="C169" s="63">
        <v>2</v>
      </c>
      <c r="D169" s="63">
        <v>36</v>
      </c>
      <c r="E169" s="54"/>
      <c r="F169" s="54"/>
      <c r="G169" s="54"/>
      <c r="H169" s="54"/>
      <c r="I169" s="52">
        <f t="shared" si="6"/>
        <v>11.5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37</v>
      </c>
      <c r="B170" s="63">
        <v>188</v>
      </c>
      <c r="C170" s="63">
        <v>3</v>
      </c>
      <c r="D170" s="63">
        <v>36</v>
      </c>
      <c r="E170" s="54"/>
      <c r="F170" s="54"/>
      <c r="G170" s="54"/>
      <c r="H170" s="54"/>
      <c r="I170" s="52">
        <f t="shared" si="6"/>
        <v>11.5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44</v>
      </c>
      <c r="B171" s="63">
        <v>230</v>
      </c>
      <c r="C171" s="63">
        <v>4</v>
      </c>
      <c r="D171" s="63">
        <v>43</v>
      </c>
      <c r="E171" s="54"/>
      <c r="F171" s="54"/>
      <c r="G171" s="54"/>
      <c r="H171" s="54"/>
      <c r="I171" s="52">
        <f t="shared" si="6"/>
        <v>11.142857142857142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52</v>
      </c>
      <c r="B172" s="63">
        <v>270</v>
      </c>
      <c r="C172" s="63">
        <v>5</v>
      </c>
      <c r="D172" s="63">
        <v>48</v>
      </c>
      <c r="E172" s="54"/>
      <c r="F172" s="54"/>
      <c r="G172" s="54"/>
      <c r="H172" s="54"/>
      <c r="I172" s="52">
        <f t="shared" si="6"/>
        <v>10.375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60</v>
      </c>
      <c r="B173" s="53">
        <v>297</v>
      </c>
      <c r="C173" s="53">
        <v>6</v>
      </c>
      <c r="D173" s="53">
        <v>47</v>
      </c>
      <c r="E173" s="54"/>
      <c r="F173" s="54"/>
      <c r="G173" s="54"/>
      <c r="H173" s="54"/>
      <c r="I173" s="52">
        <f t="shared" si="6"/>
        <v>9.375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69</v>
      </c>
      <c r="B174" s="53">
        <v>328</v>
      </c>
      <c r="C174" s="53">
        <v>7</v>
      </c>
      <c r="D174" s="53">
        <f>B174</f>
        <v>328</v>
      </c>
      <c r="E174" s="54"/>
      <c r="F174" s="54"/>
      <c r="G174" s="54"/>
      <c r="H174" s="54"/>
      <c r="I174" s="52">
        <f t="shared" si="6"/>
        <v>8.6666666666666661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Alisier torminal</v>
      </c>
      <c r="C188" s="25" t="s">
        <v>324</v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20</v>
      </c>
      <c r="B192" s="63">
        <f>42</f>
        <v>42</v>
      </c>
      <c r="C192" s="63"/>
      <c r="D192" s="63"/>
      <c r="E192" s="63"/>
      <c r="F192" s="54"/>
      <c r="G192" s="54"/>
      <c r="H192" s="54"/>
      <c r="I192" s="52">
        <f>IFERROR(B192/A192,"")</f>
        <v>2.1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25</v>
      </c>
      <c r="B193" s="63">
        <f>62+8</f>
        <v>70</v>
      </c>
      <c r="C193" s="63"/>
      <c r="D193" s="63"/>
      <c r="E193" s="63"/>
      <c r="F193" s="54"/>
      <c r="G193" s="54"/>
      <c r="H193" s="54"/>
      <c r="I193" s="52">
        <f t="shared" ref="I193:I211" si="7">IF(A193&lt;&gt;0,(B193-(B192-D192))/(A193-A192),"")</f>
        <v>5.6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>
        <v>30</v>
      </c>
      <c r="B194" s="63">
        <f>76+21+8</f>
        <v>105</v>
      </c>
      <c r="C194" s="63">
        <v>1</v>
      </c>
      <c r="D194" s="63">
        <f>8+21</f>
        <v>29</v>
      </c>
      <c r="E194" s="63"/>
      <c r="F194" s="54"/>
      <c r="G194" s="54"/>
      <c r="H194" s="54">
        <v>1</v>
      </c>
      <c r="I194" s="52">
        <f t="shared" si="7"/>
        <v>7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35</v>
      </c>
      <c r="B195" s="63">
        <f>95+21</f>
        <v>116</v>
      </c>
      <c r="C195" s="63"/>
      <c r="D195" s="63"/>
      <c r="E195" s="63"/>
      <c r="F195" s="54"/>
      <c r="G195" s="54"/>
      <c r="H195" s="54"/>
      <c r="I195" s="52">
        <f t="shared" si="7"/>
        <v>8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40</v>
      </c>
      <c r="B196" s="63">
        <f>116+21+21</f>
        <v>158</v>
      </c>
      <c r="C196" s="63">
        <v>2</v>
      </c>
      <c r="D196" s="63">
        <f>21+21</f>
        <v>42</v>
      </c>
      <c r="E196" s="63"/>
      <c r="F196" s="54"/>
      <c r="G196" s="54"/>
      <c r="H196" s="54"/>
      <c r="I196" s="52">
        <f t="shared" si="7"/>
        <v>8.4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>
        <v>45</v>
      </c>
      <c r="B197" s="63">
        <f>137+21</f>
        <v>158</v>
      </c>
      <c r="C197" s="63"/>
      <c r="D197" s="63"/>
      <c r="E197" s="63"/>
      <c r="F197" s="54"/>
      <c r="G197" s="54"/>
      <c r="H197" s="54"/>
      <c r="I197" s="52">
        <f t="shared" si="7"/>
        <v>8.4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50</v>
      </c>
      <c r="B198" s="63">
        <f>157+21+21</f>
        <v>199</v>
      </c>
      <c r="C198" s="63">
        <v>3</v>
      </c>
      <c r="D198" s="63">
        <f>21+21</f>
        <v>42</v>
      </c>
      <c r="E198" s="63"/>
      <c r="F198" s="54"/>
      <c r="G198" s="54"/>
      <c r="H198" s="54"/>
      <c r="I198" s="52">
        <f t="shared" si="7"/>
        <v>8.1999999999999993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>
        <v>55</v>
      </c>
      <c r="B199" s="63">
        <f>176+21</f>
        <v>197</v>
      </c>
      <c r="C199" s="53"/>
      <c r="D199" s="63"/>
      <c r="E199" s="63"/>
      <c r="F199" s="54"/>
      <c r="G199" s="54"/>
      <c r="H199" s="54"/>
      <c r="I199" s="52">
        <f t="shared" si="7"/>
        <v>8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>
        <v>60</v>
      </c>
      <c r="B200" s="63">
        <f>193+21+21</f>
        <v>235</v>
      </c>
      <c r="C200" s="53">
        <v>4</v>
      </c>
      <c r="D200" s="63">
        <f>21+21</f>
        <v>42</v>
      </c>
      <c r="E200" s="63"/>
      <c r="F200" s="54"/>
      <c r="G200" s="54"/>
      <c r="H200" s="54"/>
      <c r="I200" s="52">
        <f t="shared" si="7"/>
        <v>7.6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>
        <v>65</v>
      </c>
      <c r="B201" s="63">
        <f>208+21</f>
        <v>229</v>
      </c>
      <c r="C201" s="53"/>
      <c r="D201" s="63"/>
      <c r="E201" s="63"/>
      <c r="F201" s="54"/>
      <c r="G201" s="54"/>
      <c r="H201" s="54"/>
      <c r="I201" s="52">
        <f t="shared" si="7"/>
        <v>7.2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70</v>
      </c>
      <c r="B202" s="63">
        <f>221+21+21</f>
        <v>263</v>
      </c>
      <c r="C202" s="53">
        <v>5</v>
      </c>
      <c r="D202" s="63">
        <f>21+21</f>
        <v>42</v>
      </c>
      <c r="E202" s="63"/>
      <c r="F202" s="54"/>
      <c r="G202" s="54"/>
      <c r="H202" s="54"/>
      <c r="I202" s="52">
        <f t="shared" si="7"/>
        <v>6.8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>
        <v>75</v>
      </c>
      <c r="B203" s="63">
        <f>231+21</f>
        <v>252</v>
      </c>
      <c r="C203" s="53"/>
      <c r="D203" s="63"/>
      <c r="E203" s="63"/>
      <c r="F203" s="54"/>
      <c r="G203" s="54"/>
      <c r="H203" s="54"/>
      <c r="I203" s="52">
        <f t="shared" si="7"/>
        <v>6.2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>
        <v>80</v>
      </c>
      <c r="B204" s="63">
        <f>240+21+21</f>
        <v>282</v>
      </c>
      <c r="C204" s="53">
        <v>6</v>
      </c>
      <c r="D204" s="63">
        <f>21+21</f>
        <v>42</v>
      </c>
      <c r="E204" s="63"/>
      <c r="F204" s="54"/>
      <c r="G204" s="54"/>
      <c r="H204" s="54"/>
      <c r="I204" s="52">
        <f t="shared" si="7"/>
        <v>6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90</v>
      </c>
      <c r="B205" s="63">
        <f>254+21+21</f>
        <v>296</v>
      </c>
      <c r="C205" s="53">
        <v>7</v>
      </c>
      <c r="D205" s="63">
        <f>21+21</f>
        <v>42</v>
      </c>
      <c r="E205" s="63"/>
      <c r="F205" s="54"/>
      <c r="G205" s="54"/>
      <c r="H205" s="54"/>
      <c r="I205" s="52">
        <f t="shared" si="7"/>
        <v>5.6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>
        <v>100</v>
      </c>
      <c r="B206" s="63">
        <f>261+21+21</f>
        <v>303</v>
      </c>
      <c r="C206" s="53">
        <v>8</v>
      </c>
      <c r="D206" s="63">
        <f>21+21</f>
        <v>42</v>
      </c>
      <c r="E206" s="63"/>
      <c r="F206" s="54"/>
      <c r="G206" s="54"/>
      <c r="H206" s="54"/>
      <c r="I206" s="52">
        <f t="shared" si="7"/>
        <v>4.9000000000000004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>
        <v>110</v>
      </c>
      <c r="B207" s="63">
        <f>266+19+20</f>
        <v>305</v>
      </c>
      <c r="C207" s="53">
        <v>9</v>
      </c>
      <c r="D207" s="63">
        <f>20+19</f>
        <v>39</v>
      </c>
      <c r="E207" s="63"/>
      <c r="F207" s="54"/>
      <c r="G207" s="54"/>
      <c r="H207" s="54"/>
      <c r="I207" s="52">
        <f t="shared" si="7"/>
        <v>4.4000000000000004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>
        <v>120</v>
      </c>
      <c r="B208" s="63">
        <f>268+18+17</f>
        <v>303</v>
      </c>
      <c r="C208" s="53">
        <v>10</v>
      </c>
      <c r="D208" s="63">
        <f>17+18</f>
        <v>35</v>
      </c>
      <c r="E208" s="63"/>
      <c r="F208" s="54"/>
      <c r="G208" s="54"/>
      <c r="H208" s="54"/>
      <c r="I208" s="52">
        <f t="shared" si="7"/>
        <v>3.7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>
        <v>130</v>
      </c>
      <c r="B209" s="63">
        <f>269+16+15</f>
        <v>300</v>
      </c>
      <c r="C209" s="53">
        <v>11</v>
      </c>
      <c r="D209" s="63">
        <f>15+16</f>
        <v>31</v>
      </c>
      <c r="E209" s="63"/>
      <c r="F209" s="54"/>
      <c r="G209" s="54"/>
      <c r="H209" s="54"/>
      <c r="I209" s="52">
        <f t="shared" si="7"/>
        <v>3.2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>
        <v>140</v>
      </c>
      <c r="B210" s="63">
        <f>269+14+13</f>
        <v>296</v>
      </c>
      <c r="C210" s="53">
        <v>12</v>
      </c>
      <c r="D210" s="63">
        <f>13+14</f>
        <v>27</v>
      </c>
      <c r="E210" s="63"/>
      <c r="F210" s="54"/>
      <c r="G210" s="54"/>
      <c r="H210" s="54"/>
      <c r="I210" s="52">
        <f t="shared" si="7"/>
        <v>2.7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>
        <v>150</v>
      </c>
      <c r="B211" s="63">
        <f>268+13+12</f>
        <v>293</v>
      </c>
      <c r="C211" s="53">
        <v>13</v>
      </c>
      <c r="D211" s="63">
        <f>268+13+12</f>
        <v>293</v>
      </c>
      <c r="E211" s="63"/>
      <c r="F211" s="54"/>
      <c r="G211" s="54"/>
      <c r="H211" s="54"/>
      <c r="I211" s="52">
        <f t="shared" si="7"/>
        <v>2.4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>Cormier</v>
      </c>
      <c r="C214" s="25" t="s">
        <v>324</v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>
        <v>20</v>
      </c>
      <c r="B218" s="63">
        <f>42</f>
        <v>42</v>
      </c>
      <c r="C218" s="63"/>
      <c r="D218" s="63"/>
      <c r="E218" s="63"/>
      <c r="F218" s="54"/>
      <c r="G218" s="54"/>
      <c r="H218" s="54"/>
      <c r="I218" s="56">
        <f>IFERROR(B218/A218,"")</f>
        <v>2.1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>
        <v>25</v>
      </c>
      <c r="B219" s="63">
        <f>62+8</f>
        <v>70</v>
      </c>
      <c r="C219" s="63"/>
      <c r="D219" s="63"/>
      <c r="E219" s="63"/>
      <c r="F219" s="54"/>
      <c r="G219" s="54"/>
      <c r="H219" s="54"/>
      <c r="I219" s="56">
        <f t="shared" ref="I219:I237" si="8">IF(A219&lt;&gt;0,(B219-(B218-D218))/(A219-A218),"")</f>
        <v>5.6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>
        <v>30</v>
      </c>
      <c r="B220" s="63">
        <f>76+21+8</f>
        <v>105</v>
      </c>
      <c r="C220" s="63">
        <v>1</v>
      </c>
      <c r="D220" s="63">
        <f>8+21</f>
        <v>29</v>
      </c>
      <c r="E220" s="63"/>
      <c r="F220" s="54"/>
      <c r="G220" s="54"/>
      <c r="H220" s="54">
        <v>1</v>
      </c>
      <c r="I220" s="56">
        <f t="shared" si="8"/>
        <v>7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>
        <v>35</v>
      </c>
      <c r="B221" s="63">
        <f>95+21</f>
        <v>116</v>
      </c>
      <c r="C221" s="63"/>
      <c r="D221" s="63"/>
      <c r="E221" s="63"/>
      <c r="F221" s="54"/>
      <c r="G221" s="54"/>
      <c r="H221" s="54"/>
      <c r="I221" s="56">
        <f t="shared" si="8"/>
        <v>8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3">
        <v>40</v>
      </c>
      <c r="B222" s="63">
        <f>116+21+21</f>
        <v>158</v>
      </c>
      <c r="C222" s="63">
        <v>2</v>
      </c>
      <c r="D222" s="63">
        <f>21+21</f>
        <v>42</v>
      </c>
      <c r="E222" s="63"/>
      <c r="F222" s="54"/>
      <c r="G222" s="54"/>
      <c r="H222" s="54"/>
      <c r="I222" s="56">
        <f t="shared" si="8"/>
        <v>8.4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3">
        <v>45</v>
      </c>
      <c r="B223" s="63">
        <f>137+21</f>
        <v>158</v>
      </c>
      <c r="C223" s="63"/>
      <c r="D223" s="63"/>
      <c r="E223" s="63"/>
      <c r="F223" s="54"/>
      <c r="G223" s="54"/>
      <c r="H223" s="54"/>
      <c r="I223" s="56">
        <f t="shared" si="8"/>
        <v>8.4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3">
        <v>50</v>
      </c>
      <c r="B224" s="63">
        <f>157+21+21</f>
        <v>199</v>
      </c>
      <c r="C224" s="63">
        <v>3</v>
      </c>
      <c r="D224" s="63">
        <f>21+21</f>
        <v>42</v>
      </c>
      <c r="E224" s="63"/>
      <c r="F224" s="54"/>
      <c r="G224" s="54"/>
      <c r="H224" s="54"/>
      <c r="I224" s="56">
        <f t="shared" si="8"/>
        <v>8.1999999999999993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3">
        <v>55</v>
      </c>
      <c r="B225" s="63">
        <f>176+21</f>
        <v>197</v>
      </c>
      <c r="C225" s="53"/>
      <c r="D225" s="63"/>
      <c r="E225" s="63"/>
      <c r="F225" s="54"/>
      <c r="G225" s="54"/>
      <c r="H225" s="54"/>
      <c r="I225" s="56">
        <f t="shared" si="8"/>
        <v>8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3">
        <v>60</v>
      </c>
      <c r="B226" s="63">
        <f>193+21+21</f>
        <v>235</v>
      </c>
      <c r="C226" s="53">
        <v>4</v>
      </c>
      <c r="D226" s="63">
        <f>21+21</f>
        <v>42</v>
      </c>
      <c r="E226" s="63"/>
      <c r="F226" s="54"/>
      <c r="G226" s="54"/>
      <c r="H226" s="54"/>
      <c r="I226" s="56">
        <f t="shared" si="8"/>
        <v>7.6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3">
        <v>65</v>
      </c>
      <c r="B227" s="63">
        <f>208+21</f>
        <v>229</v>
      </c>
      <c r="C227" s="53"/>
      <c r="D227" s="63"/>
      <c r="E227" s="63"/>
      <c r="F227" s="54"/>
      <c r="G227" s="54"/>
      <c r="H227" s="54"/>
      <c r="I227" s="56">
        <f t="shared" si="8"/>
        <v>7.2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3">
        <v>70</v>
      </c>
      <c r="B228" s="63">
        <f>221+21+21</f>
        <v>263</v>
      </c>
      <c r="C228" s="53">
        <v>5</v>
      </c>
      <c r="D228" s="63">
        <f>21+21</f>
        <v>42</v>
      </c>
      <c r="E228" s="63"/>
      <c r="F228" s="54"/>
      <c r="G228" s="54"/>
      <c r="H228" s="54"/>
      <c r="I228" s="56">
        <f t="shared" si="8"/>
        <v>6.8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3">
        <v>75</v>
      </c>
      <c r="B229" s="63">
        <f>231+21</f>
        <v>252</v>
      </c>
      <c r="C229" s="53"/>
      <c r="D229" s="63"/>
      <c r="E229" s="63"/>
      <c r="F229" s="54"/>
      <c r="G229" s="54"/>
      <c r="H229" s="54"/>
      <c r="I229" s="56">
        <f t="shared" si="8"/>
        <v>6.2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3">
        <v>80</v>
      </c>
      <c r="B230" s="63">
        <f>240+21+21</f>
        <v>282</v>
      </c>
      <c r="C230" s="53">
        <v>6</v>
      </c>
      <c r="D230" s="63">
        <f>21+21</f>
        <v>42</v>
      </c>
      <c r="E230" s="63"/>
      <c r="F230" s="54"/>
      <c r="G230" s="54"/>
      <c r="H230" s="54"/>
      <c r="I230" s="56">
        <f t="shared" si="8"/>
        <v>6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53">
        <v>90</v>
      </c>
      <c r="B231" s="63">
        <f>254+21+21</f>
        <v>296</v>
      </c>
      <c r="C231" s="53">
        <v>7</v>
      </c>
      <c r="D231" s="63">
        <f>21+21</f>
        <v>42</v>
      </c>
      <c r="E231" s="63"/>
      <c r="F231" s="54"/>
      <c r="G231" s="54"/>
      <c r="H231" s="54"/>
      <c r="I231" s="56">
        <f t="shared" si="8"/>
        <v>5.6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>
        <v>100</v>
      </c>
      <c r="B232" s="63">
        <f>261+21+21</f>
        <v>303</v>
      </c>
      <c r="C232" s="53">
        <v>8</v>
      </c>
      <c r="D232" s="63">
        <f>21+21</f>
        <v>42</v>
      </c>
      <c r="E232" s="63"/>
      <c r="F232" s="54"/>
      <c r="G232" s="54"/>
      <c r="H232" s="54"/>
      <c r="I232" s="56">
        <f t="shared" si="8"/>
        <v>4.9000000000000004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>
        <v>110</v>
      </c>
      <c r="B233" s="63">
        <f>266+19+20</f>
        <v>305</v>
      </c>
      <c r="C233" s="53">
        <v>9</v>
      </c>
      <c r="D233" s="63">
        <f>20+19</f>
        <v>39</v>
      </c>
      <c r="E233" s="63"/>
      <c r="F233" s="54"/>
      <c r="G233" s="54"/>
      <c r="H233" s="54"/>
      <c r="I233" s="56">
        <f t="shared" si="8"/>
        <v>4.4000000000000004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>
        <v>120</v>
      </c>
      <c r="B234" s="63">
        <f>268+18+17</f>
        <v>303</v>
      </c>
      <c r="C234" s="53">
        <v>10</v>
      </c>
      <c r="D234" s="63">
        <f>17+18</f>
        <v>35</v>
      </c>
      <c r="E234" s="63"/>
      <c r="F234" s="54"/>
      <c r="G234" s="54"/>
      <c r="H234" s="54"/>
      <c r="I234" s="56">
        <f t="shared" si="8"/>
        <v>3.7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>
        <v>130</v>
      </c>
      <c r="B235" s="63">
        <f>269+16+15</f>
        <v>300</v>
      </c>
      <c r="C235" s="53">
        <v>11</v>
      </c>
      <c r="D235" s="63">
        <f>15+16</f>
        <v>31</v>
      </c>
      <c r="E235" s="63"/>
      <c r="F235" s="54"/>
      <c r="G235" s="54"/>
      <c r="H235" s="54"/>
      <c r="I235" s="56">
        <f t="shared" si="8"/>
        <v>3.2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>
        <v>140</v>
      </c>
      <c r="B236" s="63">
        <f>269+14+13</f>
        <v>296</v>
      </c>
      <c r="C236" s="53">
        <v>12</v>
      </c>
      <c r="D236" s="63">
        <f>13+14</f>
        <v>27</v>
      </c>
      <c r="E236" s="63"/>
      <c r="F236" s="54"/>
      <c r="G236" s="54"/>
      <c r="H236" s="54"/>
      <c r="I236" s="56">
        <f t="shared" si="8"/>
        <v>2.7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>
        <v>150</v>
      </c>
      <c r="B237" s="63">
        <f>268+13+12</f>
        <v>293</v>
      </c>
      <c r="C237" s="53">
        <v>13</v>
      </c>
      <c r="D237" s="63">
        <f>268+13+12</f>
        <v>293</v>
      </c>
      <c r="E237" s="63"/>
      <c r="F237" s="54"/>
      <c r="G237" s="54"/>
      <c r="H237" s="54"/>
      <c r="I237" s="56">
        <f t="shared" si="8"/>
        <v>2.4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>Tilleul</v>
      </c>
      <c r="C240" s="25" t="s">
        <v>329</v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>
        <v>15</v>
      </c>
      <c r="B244" s="63">
        <f>65/1.56</f>
        <v>41.666666666666664</v>
      </c>
      <c r="C244" s="53"/>
      <c r="D244" s="63"/>
      <c r="E244" s="54"/>
      <c r="F244" s="54"/>
      <c r="G244" s="54"/>
      <c r="H244" s="54"/>
      <c r="I244" s="56">
        <f>IFERROR(B244/A244,"")</f>
        <v>2.7777777777777777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>
        <v>20</v>
      </c>
      <c r="B245" s="63">
        <f>(109+14)/1.56</f>
        <v>78.84615384615384</v>
      </c>
      <c r="C245" s="53">
        <v>1</v>
      </c>
      <c r="D245" s="63">
        <f>(14+20)/1.56</f>
        <v>21.794871794871796</v>
      </c>
      <c r="E245" s="54"/>
      <c r="F245" s="54"/>
      <c r="G245" s="54"/>
      <c r="H245" s="54">
        <v>1</v>
      </c>
      <c r="I245" s="56">
        <f>IF(A245&lt;&gt;0,(B245-(B244-D244))/(A245-A244),"")</f>
        <v>7.4358974358974352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>
        <v>25</v>
      </c>
      <c r="B246" s="63">
        <f>150/1.56</f>
        <v>96.153846153846146</v>
      </c>
      <c r="C246" s="53"/>
      <c r="D246" s="63"/>
      <c r="E246" s="54"/>
      <c r="F246" s="54"/>
      <c r="G246" s="54"/>
      <c r="H246" s="54"/>
      <c r="I246" s="56">
        <f>IF(A246&lt;&gt;0,(B246-(B245-D245))/(A246-A245),"")</f>
        <v>7.8205128205128203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>
        <v>30</v>
      </c>
      <c r="B247" s="63">
        <f>(187+23)/1.56</f>
        <v>134.61538461538461</v>
      </c>
      <c r="C247" s="53">
        <v>2</v>
      </c>
      <c r="D247" s="63">
        <f>(23+24)/1.56</f>
        <v>30.128205128205128</v>
      </c>
      <c r="E247" s="54"/>
      <c r="F247" s="54"/>
      <c r="G247" s="54"/>
      <c r="H247" s="54">
        <v>1</v>
      </c>
      <c r="I247" s="56">
        <f t="shared" ref="I247:I263" si="9">IF(A247&lt;&gt;0,(B247-(B246-D246))/(A247-A246),"")</f>
        <v>7.6923076923076934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>
        <v>35</v>
      </c>
      <c r="B248" s="63">
        <f>219/1.56</f>
        <v>140.38461538461539</v>
      </c>
      <c r="C248" s="53"/>
      <c r="D248" s="63"/>
      <c r="E248" s="54"/>
      <c r="F248" s="54"/>
      <c r="G248" s="54"/>
      <c r="H248" s="54"/>
      <c r="I248" s="56">
        <f t="shared" si="9"/>
        <v>7.1794871794871797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>
        <v>40</v>
      </c>
      <c r="B249" s="63">
        <f>(248+25)/1.56</f>
        <v>175</v>
      </c>
      <c r="C249" s="53">
        <v>3</v>
      </c>
      <c r="D249" s="63">
        <f>(25+25)/1.56</f>
        <v>32.051282051282051</v>
      </c>
      <c r="E249" s="66"/>
      <c r="F249" s="66"/>
      <c r="G249" s="66"/>
      <c r="H249" s="66"/>
      <c r="I249" s="56">
        <f t="shared" si="9"/>
        <v>6.9230769230769225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>
        <v>45</v>
      </c>
      <c r="B250" s="63">
        <f>272/1.56</f>
        <v>174.35897435897436</v>
      </c>
      <c r="C250" s="53"/>
      <c r="D250" s="63"/>
      <c r="E250" s="66"/>
      <c r="F250" s="66"/>
      <c r="G250" s="66"/>
      <c r="H250" s="66"/>
      <c r="I250" s="56">
        <f t="shared" si="9"/>
        <v>6.2820512820512819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3">
        <v>50</v>
      </c>
      <c r="B251" s="63">
        <f>(294+24)/1.56</f>
        <v>203.84615384615384</v>
      </c>
      <c r="C251" s="58">
        <v>4</v>
      </c>
      <c r="D251" s="63">
        <f>(24+24)/1.56</f>
        <v>30.769230769230766</v>
      </c>
      <c r="E251" s="66"/>
      <c r="F251" s="66"/>
      <c r="G251" s="66"/>
      <c r="H251" s="66"/>
      <c r="I251" s="56">
        <f t="shared" si="9"/>
        <v>5.8974358974358951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3">
        <v>55</v>
      </c>
      <c r="B252" s="63">
        <f>(314)/1.56</f>
        <v>201.28205128205127</v>
      </c>
      <c r="C252" s="58"/>
      <c r="D252" s="63"/>
      <c r="E252" s="66"/>
      <c r="F252" s="66"/>
      <c r="G252" s="66"/>
      <c r="H252" s="66"/>
      <c r="I252" s="56">
        <f t="shared" si="9"/>
        <v>5.6410256410256405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3">
        <v>60</v>
      </c>
      <c r="B253" s="63">
        <f>(332+23)/1.56</f>
        <v>227.56410256410257</v>
      </c>
      <c r="C253" s="58">
        <v>5</v>
      </c>
      <c r="D253" s="63">
        <f>(23+22)/1.56</f>
        <v>28.846153846153847</v>
      </c>
      <c r="E253" s="66"/>
      <c r="F253" s="66"/>
      <c r="G253" s="66"/>
      <c r="H253" s="66"/>
      <c r="I253" s="56">
        <f t="shared" si="9"/>
        <v>5.2564102564102599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3">
        <v>65</v>
      </c>
      <c r="B254" s="63">
        <f>(347)/1.56</f>
        <v>222.43589743589743</v>
      </c>
      <c r="C254" s="58"/>
      <c r="D254" s="63"/>
      <c r="E254" s="66"/>
      <c r="F254" s="66"/>
      <c r="G254" s="66"/>
      <c r="H254" s="66"/>
      <c r="I254" s="56">
        <f t="shared" si="9"/>
        <v>4.7435897435897401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3">
        <v>70</v>
      </c>
      <c r="B255" s="63">
        <f>(362+21)/1.56</f>
        <v>245.5128205128205</v>
      </c>
      <c r="C255" s="58">
        <v>6</v>
      </c>
      <c r="D255" s="63">
        <f>(21+20)/1.56</f>
        <v>26.282051282051281</v>
      </c>
      <c r="E255" s="66"/>
      <c r="F255" s="66"/>
      <c r="G255" s="66"/>
      <c r="H255" s="66"/>
      <c r="I255" s="56">
        <f t="shared" si="9"/>
        <v>4.6153846153846132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3">
        <v>75</v>
      </c>
      <c r="B256" s="63">
        <f>(375)/1.56</f>
        <v>240.38461538461539</v>
      </c>
      <c r="C256" s="58"/>
      <c r="D256" s="63"/>
      <c r="E256" s="67"/>
      <c r="F256" s="67"/>
      <c r="G256" s="67"/>
      <c r="H256" s="67"/>
      <c r="I256" s="56">
        <f t="shared" si="9"/>
        <v>4.2307692307692317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53">
        <v>80</v>
      </c>
      <c r="B257" s="63">
        <f>(390+18)/1.56</f>
        <v>261.53846153846155</v>
      </c>
      <c r="C257" s="94">
        <v>7</v>
      </c>
      <c r="D257" s="63">
        <f>(18+19)/1.56</f>
        <v>23.717948717948715</v>
      </c>
      <c r="E257" s="57"/>
      <c r="F257" s="57"/>
      <c r="G257" s="57"/>
      <c r="H257" s="57"/>
      <c r="I257" s="56">
        <f t="shared" si="9"/>
        <v>4.2307692307692317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>
        <v>85</v>
      </c>
      <c r="B258" s="63">
        <f>(401)/1.56</f>
        <v>257.05128205128204</v>
      </c>
      <c r="C258" s="53"/>
      <c r="D258" s="63"/>
      <c r="E258" s="54"/>
      <c r="F258" s="54"/>
      <c r="G258" s="54"/>
      <c r="H258" s="54"/>
      <c r="I258" s="56">
        <f t="shared" si="9"/>
        <v>3.8461538461538454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>
        <v>90</v>
      </c>
      <c r="B259" s="63">
        <f>(411+18)/1.56</f>
        <v>275</v>
      </c>
      <c r="C259" s="53">
        <v>8</v>
      </c>
      <c r="D259" s="63">
        <f>(18+18)/1.56</f>
        <v>23.076923076923077</v>
      </c>
      <c r="E259" s="54"/>
      <c r="F259" s="54"/>
      <c r="G259" s="54"/>
      <c r="H259" s="54"/>
      <c r="I259" s="56">
        <f t="shared" si="9"/>
        <v>3.5897435897435912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>
        <v>95</v>
      </c>
      <c r="B260" s="63">
        <f>(421)/1.56</f>
        <v>269.87179487179486</v>
      </c>
      <c r="C260" s="53"/>
      <c r="D260" s="63"/>
      <c r="E260" s="54"/>
      <c r="F260" s="54"/>
      <c r="G260" s="54"/>
      <c r="H260" s="54"/>
      <c r="I260" s="56">
        <f t="shared" si="9"/>
        <v>3.5897435897435854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>
        <v>100</v>
      </c>
      <c r="B261" s="63">
        <f>(430+17)/1.56</f>
        <v>286.53846153846155</v>
      </c>
      <c r="C261" s="53">
        <v>9</v>
      </c>
      <c r="D261" s="63">
        <f>(17+16)/1.56</f>
        <v>21.153846153846153</v>
      </c>
      <c r="E261" s="54"/>
      <c r="F261" s="54"/>
      <c r="G261" s="54"/>
      <c r="H261" s="54"/>
      <c r="I261" s="56">
        <f t="shared" si="9"/>
        <v>3.333333333333337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>
        <v>105</v>
      </c>
      <c r="B262" s="63">
        <f>(438)/1.56</f>
        <v>280.76923076923077</v>
      </c>
      <c r="C262" s="53"/>
      <c r="D262" s="63"/>
      <c r="E262" s="54"/>
      <c r="F262" s="54"/>
      <c r="G262" s="54"/>
      <c r="H262" s="54"/>
      <c r="I262" s="56">
        <f t="shared" si="9"/>
        <v>3.0769230769230718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>
        <v>110</v>
      </c>
      <c r="B263" s="63">
        <f>(446+16)/1.56</f>
        <v>296.15384615384613</v>
      </c>
      <c r="C263" s="53">
        <v>10</v>
      </c>
      <c r="D263" s="63">
        <f>B263</f>
        <v>296.15384615384613</v>
      </c>
      <c r="E263" s="54"/>
      <c r="F263" s="54"/>
      <c r="G263" s="54"/>
      <c r="H263" s="54"/>
      <c r="I263" s="56">
        <f t="shared" si="9"/>
        <v>3.0769230769230718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3"/>
      <c r="B277" s="63"/>
      <c r="C277" s="58"/>
      <c r="D277" s="63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3"/>
      <c r="B278" s="63"/>
      <c r="C278" s="58"/>
      <c r="D278" s="63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3"/>
      <c r="B279" s="63"/>
      <c r="C279" s="58"/>
      <c r="D279" s="63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3"/>
      <c r="B280" s="63"/>
      <c r="C280" s="58"/>
      <c r="D280" s="63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3"/>
      <c r="B281" s="63"/>
      <c r="C281" s="58"/>
      <c r="D281" s="63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3"/>
      <c r="B282" s="63"/>
      <c r="C282" s="58"/>
      <c r="D282" s="63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53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63"/>
      <c r="C284" s="53"/>
      <c r="D284" s="6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63"/>
      <c r="C285" s="53"/>
      <c r="D285" s="6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63"/>
      <c r="C286" s="53"/>
      <c r="D286" s="6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63"/>
      <c r="C287" s="53"/>
      <c r="D287" s="6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63"/>
      <c r="C288" s="53"/>
      <c r="D288" s="6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63"/>
      <c r="C289" s="53"/>
      <c r="D289" s="6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6" sqref="B1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0.79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0.21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Chêne pédonculé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Chêne sessile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Erable sycomore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>Pin sylvestre</v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>Tilleul</v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>Merisier</v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>Alisier torminal</v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>Cormier</v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>Tilleul</v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3.95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14.483333333333334</v>
      </c>
      <c r="H3" s="70">
        <f>(B3+E3+F3)*44/12+(C3+D3)*0.475*44/12</f>
        <v>198.73333333333335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184.25</v>
      </c>
      <c r="S3" s="62">
        <f ca="1">AVERAGE(OFFSET($R$3,0,0,'Données projet'!$E$9+1,1))-AVERAGE(OFFSET($H$3,0,0,'Données projet'!$E$9+1,1))</f>
        <v>508.93703669150443</v>
      </c>
      <c r="T3" s="62">
        <f>IF('Données projet'!E9&gt;30,$R$33-$H$33,LOOKUP('Données projet'!$E$9,$A$3:$A$203,R3:R203)-LOOKUP('Données projet'!$E$9,$A$3:$A$203,$H$3:$H$203))</f>
        <v>277.04920840696707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184.25</v>
      </c>
      <c r="AN3" s="62">
        <f ca="1">AVERAGE(OFFSET($AM$3,0,0,'Données projet'!$E$10+1,1))-AVERAGE(OFFSET($H$3,0,0,'Données projet'!$E$10+1,1))</f>
        <v>461.10503306101145</v>
      </c>
      <c r="AO3" s="62">
        <f>IF('Données projet'!E10&gt;30,$AM$33-$H$33,LOOKUP('Données projet'!$E$10,$A$3:$A$203,AM3:AM203)-LOOKUP('Données projet'!$E$10,$A$3:$A$203,$H$3:$H$203))</f>
        <v>262.10652147273288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184.25</v>
      </c>
      <c r="BI3" s="62">
        <f ca="1">AVERAGE(OFFSET($BH$3,0,0,'Données projet'!$E$11+1,1))-AVERAGE(OFFSET($H$3,0,0,'Données projet'!$E$11+1,1))</f>
        <v>389.67854939311752</v>
      </c>
      <c r="BJ3" s="62">
        <f>IF('Données projet'!E11&gt;30,$BH$33-$H$33,LOOKUP('Données projet'!$E$11,$A$3:$A$203,BH3:BH203)-LOOKUP('Données projet'!$E$11,$A$3:$A$203,$H$3:$H$203))</f>
        <v>420.05189970516096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184.25</v>
      </c>
      <c r="CD3" s="62">
        <f ca="1">AVERAGE(OFFSET($CC$3,0,0,'Données projet'!$E$12+1,1))-AVERAGE(OFFSET($H$3,0,0,'Données projet'!$E$12+1,1))</f>
        <v>312.16891625633968</v>
      </c>
      <c r="CE3" s="62">
        <f>IF('Données projet'!E12&gt;30,$CC$33-$H$33,LOOKUP('Données projet'!$E$12,$A$3:$A$203,CC3:CC203)-LOOKUP('Données projet'!$E$12,$A$3:$A$203,$H$3:$H$203))</f>
        <v>215.34305815516177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184.25</v>
      </c>
      <c r="CY3" s="62">
        <f ca="1">AVERAGE(OFFSET($CX$3,0,0,'Données projet'!$E$13+1,1))-AVERAGE(OFFSET($H$3,0,0,'Données projet'!$E$13+1,1))</f>
        <v>369.04754428478793</v>
      </c>
      <c r="CZ3" s="62">
        <f>IF('Données projet'!E13&gt;30,$CX$33-$H$33,LOOKUP('Données projet'!$E$13,$A$3:$A$203,CX3:CX203)-LOOKUP('Données projet'!$E$13,$A$3:$A$203,$H$3:$H$203))</f>
        <v>277.00523259351712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184.25</v>
      </c>
      <c r="DT3" s="62">
        <f ca="1">AVERAGE(OFFSET($DS$3,0,0,'Données projet'!$E$14+1,1))-AVERAGE(OFFSET($H$3,0,0,'Données projet'!$E$14+1,1))</f>
        <v>308.39181291575227</v>
      </c>
      <c r="DU3" s="62">
        <f>IF('Données projet'!E14&gt;30,$DS$33-$H$33,LOOKUP('Données projet'!$E$14,$A$3:$A$203,DS3:DS203)-LOOKUP('Données projet'!$E$14,$A$3:$A$203,$H$3:$H$203))</f>
        <v>298.58225298824334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184.25</v>
      </c>
      <c r="EO3" s="62">
        <f ca="1">AVERAGE(OFFSET($EN$3,0,0,'Données projet'!$E$15+1,1))-AVERAGE(OFFSET($H$3,0,0,'Données projet'!$E$15+1,1))</f>
        <v>487.76433095707876</v>
      </c>
      <c r="EP3" s="62">
        <f>IF('Données projet'!E15&gt;30,$EN$33-$H$33,LOOKUP('Données projet'!$E$15,$A$3:$A$203,EN3:EN203)-LOOKUP('Données projet'!$E$15,$A$3:$A$203,$H$3:$H$203))</f>
        <v>276.24209151398361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184.25</v>
      </c>
      <c r="FJ3" s="62">
        <f ca="1">AVERAGE(OFFSET($FI$3,0,0,'Données projet'!$E$16+1,1))-AVERAGE(OFFSET($H$3,0,0,'Données projet'!$E$16+1,1))</f>
        <v>534.33392288300456</v>
      </c>
      <c r="FK3" s="62">
        <f>IF('Données projet'!E16&gt;30,$FI$33-$H$33,LOOKUP('Données projet'!$E$16,$A$3:$A$203,FI3:FI203)-LOOKUP('Données projet'!$E$16,$A$3:$A$203,$H$3:$H$203))</f>
        <v>300.93109615735477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184.25</v>
      </c>
      <c r="GE3" s="62">
        <f ca="1">AVERAGE(OFFSET($GD$3,0,0,'Données projet'!$E$17+1,1))-AVERAGE(OFFSET($H$3,0,0,'Données projet'!$E$17+1,1))</f>
        <v>316.17772895535211</v>
      </c>
      <c r="GF3" s="62">
        <f>IF('Données projet'!E17&gt;30,$GD$33-$H$33,LOOKUP('Données projet'!$E$17,$A$3:$A$203,GD3:GD203)-LOOKUP('Données projet'!$E$17,$A$3:$A$203,$H$3:$H$203))</f>
        <v>251.94445589652992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50.25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3.95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14.483333333333334</v>
      </c>
      <c r="H4" s="70">
        <f t="shared" ref="H4:H67" si="1">(B4+E4+F4)*44/12+(C4+D4)*0.475*44/12</f>
        <v>198.73333333333335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3.65</v>
      </c>
      <c r="N4" s="14">
        <f>IF('Données projet'!$A$36&gt;35,N3+M4-V3,IF(A4&lt;'Données projet'!$A$36,$K$205^A4,IF(A4='Données projet'!$A$36,'Données projet'!$B$36,N3+M4-V3)))</f>
        <v>1.2392705892426346</v>
      </c>
      <c r="O4" s="14">
        <f>N4*VLOOKUP('Données projet'!$B$9,Paramètres!$A$1:$I$89,3,0)*VLOOKUP('Données projet'!$B$9,Paramètres!$A$1:$I$89,5,0)</f>
        <v>1.0439615443779955</v>
      </c>
      <c r="P4" s="14">
        <f>EXP(-1.0587+0.8836*LN(O4)+0.284)</f>
        <v>0.478698084995758</v>
      </c>
      <c r="Q4" s="22">
        <f t="shared" ref="Q4:Q34" si="2">(O4+P4)*0.475*44/12</f>
        <v>2.6519655211592874</v>
      </c>
      <c r="R4" s="62">
        <f t="shared" si="0"/>
        <v>189.38045501063581</v>
      </c>
      <c r="S4" s="62">
        <f ca="1">AVERAGE(OFFSET($R$3,0,0,'Données projet'!$E$9+1,1))-AVERAGE(OFFSET($H$3,0,0,'Données projet'!$E$9+1,1))</f>
        <v>508.93703669150443</v>
      </c>
      <c r="T4" s="62">
        <f>$T$3</f>
        <v>277.04920840696707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2.1</v>
      </c>
      <c r="AI4" s="14">
        <f>IF('Données projet'!$A$62&gt;35,AI3+AH4-AQ3,IF(A4&lt;'Données projet'!$A$62,$AF$205^A4,IF(A4='Données projet'!$A$62,'Données projet'!$B$62,AI3+AH4-AQ3)))</f>
        <v>1.2054868146447177</v>
      </c>
      <c r="AJ4" s="14">
        <f>AI4*VLOOKUP('Données projet'!$B$10,Paramètres!$A$1:$I$89,3,0)*VLOOKUP('Données projet'!$B$10,Paramètres!$A$1:$I$89,5,0)</f>
        <v>1.0907244698905405</v>
      </c>
      <c r="AK4" s="14">
        <f>EXP(-1.0587+0.8836*LN(AJ4)+0.284)</f>
        <v>0.49759623852608204</v>
      </c>
      <c r="AL4" s="22">
        <f t="shared" ref="AL4:AL67" si="4">(AJ4+AK4)*0.475*44/12</f>
        <v>2.7663252338256172</v>
      </c>
      <c r="AM4" s="62">
        <f t="shared" ref="AM4:AM67" si="5">AL4+(AD4+AE4)*44/12</f>
        <v>189.49481472330214</v>
      </c>
      <c r="AN4" s="62">
        <f ca="1">AVERAGE(OFFSET($AM$3,0,0,'Données projet'!$E$10+1,1))-AVERAGE(OFFSET($H$3,0,0,'Données projet'!$E$10+1,1))</f>
        <v>461.10503306101145</v>
      </c>
      <c r="AO4" s="62">
        <f>$AO$3</f>
        <v>262.10652147273288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1.1000000000000001</v>
      </c>
      <c r="BD4" s="13">
        <f>IF('Données projet'!$A$88&gt;35,BD3+BC4-BL3,IF(A4&lt;'Données projet'!$A$88,$BA$205^A4,IF(A4='Données projet'!$A$88,'Données projet'!$B$88,BD3+BC4-BL3)))</f>
        <v>1.2709816152101407</v>
      </c>
      <c r="BE4" s="14">
        <f>BD4*VLOOKUP('Données projet'!$B$11,Paramètres!$A$1:$I$89,3,0)*VLOOKUP('Données projet'!$B$11,Paramètres!$A$1:$I$89,5,0)</f>
        <v>1.0111929730611879</v>
      </c>
      <c r="BF4" s="14">
        <f>EXP(-1.0587+0.8836*LN(BE4)+0.284)</f>
        <v>0.46539683474213156</v>
      </c>
      <c r="BG4" s="22">
        <f t="shared" ref="BG4:BG67" si="7">(BE4+BF4)*0.475*44/12</f>
        <v>2.5717272485907814</v>
      </c>
      <c r="BH4" s="62">
        <f t="shared" ref="BH4:BH67" si="8">BG4+(AY4+AZ4)*44/12</f>
        <v>189.30021673806729</v>
      </c>
      <c r="BI4" s="62">
        <f ca="1">AVERAGE(OFFSET($BH$3,0,0,'Données projet'!$E$11+1,1))-AVERAGE(OFFSET($H$3,0,0,'Données projet'!$E$11+1,1))</f>
        <v>389.67854939311752</v>
      </c>
      <c r="BJ4" s="62">
        <f>$BJ$3</f>
        <v>420.05189970516096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5.5190909090909095</v>
      </c>
      <c r="BY4" s="13">
        <f>IF('Données projet'!$A$114&gt;35,BY3+BX4-CG3,IF(A4&lt;'Données projet'!$A$114,$BV$205^A4,IF(A4='Données projet'!$A$114,'Données projet'!$B$114,BY3+BX4-CG3)))</f>
        <v>1.2437711100600062</v>
      </c>
      <c r="BZ4" s="14">
        <f>BY4*VLOOKUP('Données projet'!$B$12,Paramètres!$A$1:$I$89,3,0)*VLOOKUP('Données projet'!$B$12,Paramètres!$A$1:$I$89,5,0)</f>
        <v>0.71143707495432351</v>
      </c>
      <c r="CA4" s="14">
        <f>EXP(-1.0587+0.8836*LN(BZ4)+0.284)</f>
        <v>0.34111425655752986</v>
      </c>
      <c r="CB4" s="22">
        <f t="shared" ref="CB4:CB67" si="10">(BZ4+CA4)*0.475*44/12</f>
        <v>1.8331935690498111</v>
      </c>
      <c r="CC4" s="62">
        <f t="shared" ref="CC4:CC67" si="11">CB4+(BT4+BU4)*44/12</f>
        <v>188.56168305852631</v>
      </c>
      <c r="CD4" s="62">
        <f ca="1">AVERAGE(OFFSET($CC$3,0,0,'Données projet'!$E$12+1,1))-AVERAGE(OFFSET($H$3,0,0,'Données projet'!$E$12+1,1))</f>
        <v>312.16891625633968</v>
      </c>
      <c r="CE4" s="62">
        <f>$CE$3</f>
        <v>215.34305815516177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2.7564102564102564</v>
      </c>
      <c r="CT4" s="13">
        <f>IF('Données projet'!$A$140&gt;35,CT3+CS4-DB3,IF(A4&lt;'Données projet'!$A$140,$CQ$205^A4,IF(A4='Données projet'!$A$140,'Données projet'!$B$140,CT3+CS4-DB3)))</f>
        <v>1.3932671119677325</v>
      </c>
      <c r="CU4" s="18">
        <f>CT4*VLOOKUP('Données projet'!$B$13,Paramètres!$A$1:$I$89,3,0)*VLOOKUP('Données projet'!$B$13,Paramètres!$A$1:$I$89,5,0)</f>
        <v>0.93460357870795485</v>
      </c>
      <c r="CV4" s="14">
        <f>EXP(-1.0587+0.8836*LN(CU4)+0.284)</f>
        <v>0.43410868090907445</v>
      </c>
      <c r="CW4" s="22">
        <f t="shared" ref="CW4:CW67" si="13">(CU4+CV4)*0.475*44/12</f>
        <v>2.3838405188329927</v>
      </c>
      <c r="CX4" s="62">
        <f t="shared" ref="CX4:CX67" si="14">CW4+(CO4+CP4)*44/12</f>
        <v>189.1123300083095</v>
      </c>
      <c r="CY4" s="62">
        <f ca="1">AVERAGE(OFFSET($CX$3,0,0,'Données projet'!$E$13+1,1))-AVERAGE(OFFSET($H$3,0,0,'Données projet'!$E$13+1,1))</f>
        <v>369.04754428478793</v>
      </c>
      <c r="CZ4" s="62">
        <f>$CZ$3</f>
        <v>277.00523259351712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2.6666666666666665</v>
      </c>
      <c r="DO4" s="13">
        <f>IF('Données projet'!$A$166&gt;35,DO3+DN4-DW3,IF(A4&lt;'Données projet'!$A$166,$DL$205^A4,IF(A4='Données projet'!$A$166,'Données projet'!$B$166,DO3+DN4-DW3)))</f>
        <v>1.2788040393997409</v>
      </c>
      <c r="DP4" s="18">
        <f>DO4*VLOOKUP('Données projet'!$B$14,Paramètres!$A$1:$I$89,3,0)*VLOOKUP('Données projet'!$B$14,Paramètres!$A$1:$I$89,5,0)</f>
        <v>0.99746715073179792</v>
      </c>
      <c r="DQ4" s="14">
        <f>EXP(-1.0587+0.8836*LN(DP4)+0.284)</f>
        <v>0.45981048445793882</v>
      </c>
      <c r="DR4" s="22">
        <f t="shared" ref="DR4:DR67" si="16">(DP4+DQ4)*0.475*44/12</f>
        <v>2.5380918812887914</v>
      </c>
      <c r="DS4" s="62">
        <f t="shared" ref="DS4:DS67" si="17">DR4+(DJ4+DK4)*44/12</f>
        <v>189.26658137076529</v>
      </c>
      <c r="DT4" s="62">
        <f ca="1">AVERAGE(OFFSET($DS$3,0,0,'Données projet'!$E$14+1,1))-AVERAGE(OFFSET($H$3,0,0,'Données projet'!$E$14+1,1))</f>
        <v>308.39181291575227</v>
      </c>
      <c r="DU4" s="62">
        <f>$DU$3</f>
        <v>298.58225298824334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2.1</v>
      </c>
      <c r="EJ4" s="13">
        <f>IF('Données projet'!$A$192&gt;35,EJ3+EI4-ER3,IF(A4&lt;'Données projet'!$A$192,$EG$205^A4,IF(A4='Données projet'!$A$192,'Données projet'!$B$192,EJ3+EI4-ER3)))</f>
        <v>1.2054868146447177</v>
      </c>
      <c r="EK4" s="18">
        <f>EJ4*VLOOKUP('Données projet'!$B$15,Paramètres!$A$1:$I$89,3,0)*VLOOKUP('Données projet'!$B$15,Paramètres!$A$1:$I$89,5,0)</f>
        <v>1.165946847124371</v>
      </c>
      <c r="EL4" s="14">
        <f>EXP(-1.0587+0.8836*LN(EK4)+0.284)</f>
        <v>0.52780002987456354</v>
      </c>
      <c r="EM4" s="22">
        <f t="shared" ref="EM4:EM67" si="19">(EK4+EL4)*0.475*44/12</f>
        <v>2.9499424774398109</v>
      </c>
      <c r="EN4" s="62">
        <f t="shared" ref="EN4:EN67" si="20">EM4+(EE4+EF4)*44/12</f>
        <v>189.67843196691632</v>
      </c>
      <c r="EO4" s="62">
        <f ca="1">AVERAGE(OFFSET($EN$3,0,0,'Données projet'!$E$15+1,1))-AVERAGE(OFFSET($H$3,0,0,'Données projet'!$E$15+1,1))</f>
        <v>487.76433095707876</v>
      </c>
      <c r="EP4" s="62">
        <f>$EP$3</f>
        <v>276.24209151398361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2.1</v>
      </c>
      <c r="FE4" s="13">
        <f>IF('Données projet'!$A$218&gt;35,FE3+FD4-FM3,IF(A4&lt;'Données projet'!$A$218,$FB$205^A4,IF(A4='Données projet'!$A$218,'Données projet'!$B$218,FE3+FD4-FM3)))</f>
        <v>1.2054868146447177</v>
      </c>
      <c r="FF4" s="18">
        <f>FE4*VLOOKUP('Données projet'!$B$16,Paramètres!$A$1:$I$89,3,0)*VLOOKUP('Données projet'!$B$16,Paramètres!$A$1:$I$89,5,0)</f>
        <v>1.2975860072835741</v>
      </c>
      <c r="FG4" s="14">
        <f>EXP(-1.0587+0.8836*LN(FF4)+0.284)</f>
        <v>0.58012177912374829</v>
      </c>
      <c r="FH4" s="22">
        <f t="shared" ref="FH4:FH67" si="22">(FF4+FG4)*0.475*44/12</f>
        <v>3.2703410613260862</v>
      </c>
      <c r="FI4" s="62">
        <f t="shared" ref="FI4:FI67" si="23">FH4+(EZ4+FA4)*44/12</f>
        <v>189.99883055080261</v>
      </c>
      <c r="FJ4" s="62">
        <f ca="1">AVERAGE(OFFSET($FI$3,0,0,'Données projet'!$E$16+1,1))-AVERAGE(OFFSET($H$3,0,0,'Données projet'!$E$16+1,1))</f>
        <v>534.33392288300456</v>
      </c>
      <c r="FK4" s="62">
        <f>$FK$3</f>
        <v>300.93109615735477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2.7777777777777777</v>
      </c>
      <c r="FZ4" s="13">
        <f>IF('Données projet'!$A$244&gt;35,FZ3+FY4-GH3,IF(A4&lt;'Données projet'!$A$244,$FW$205^A4,IF(A4='Données projet'!$A$244,'Données projet'!$B$244,FZ3+FY4-GH3)))</f>
        <v>1.2822890014514785</v>
      </c>
      <c r="GA4" s="18">
        <f>FZ4*VLOOKUP('Données projet'!$B$17,Paramètres!$A$1:$I$89,3,0)*VLOOKUP('Données projet'!$B$17,Paramètres!$A$1:$I$89,5,0)</f>
        <v>0.8601594621736518</v>
      </c>
      <c r="GB4" s="14">
        <f>EXP(-1.0587+0.8836*LN(GA4)+0.284)</f>
        <v>0.40340942797853763</v>
      </c>
      <c r="GC4" s="22">
        <f t="shared" ref="GC4:GC67" si="25">(GA4+GB4)*0.475*44/12</f>
        <v>2.2007158170150634</v>
      </c>
      <c r="GD4" s="62">
        <f t="shared" ref="GD4:GD67" si="26">GC4+(FU4+FV4)*44/12</f>
        <v>188.92920530649158</v>
      </c>
      <c r="GE4" s="62">
        <f ca="1">AVERAGE(OFFSET($GD$3,0,0,'Données projet'!$E$17+1,1))-AVERAGE(OFFSET($H$3,0,0,'Données projet'!$E$17+1,1))</f>
        <v>316.17772895535211</v>
      </c>
      <c r="GF4" s="62">
        <f>$GF$3</f>
        <v>251.94445589652992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50.59261834561481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3.95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14.483333333333334</v>
      </c>
      <c r="H5" s="70">
        <f t="shared" si="1"/>
        <v>198.73333333333335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3.65</v>
      </c>
      <c r="N5" s="14">
        <f>IF('Données projet'!$A$36&gt;35,N4+M5-V4,IF(A5&lt;'Données projet'!$A$36,$K$205^A5,IF(A5='Données projet'!$A$36,'Données projet'!$B$36,N4+M5-V4)))</f>
        <v>1.5357915933617867</v>
      </c>
      <c r="O5" s="14">
        <f>N5*VLOOKUP('Données projet'!$B$9,Paramètres!$A$1:$I$89,3,0)*VLOOKUP('Données projet'!$B$9,Paramètres!$A$1:$I$89,5,0)</f>
        <v>1.2937508382479692</v>
      </c>
      <c r="P5" s="14">
        <f t="shared" ref="P5:P68" si="33">EXP(-1.0587+0.8836*LN(O5)+0.284)</f>
        <v>0.57860648124254321</v>
      </c>
      <c r="Q5" s="22">
        <f t="shared" si="2"/>
        <v>3.2610223314459752</v>
      </c>
      <c r="R5" s="62">
        <f t="shared" si="0"/>
        <v>192.446207881905</v>
      </c>
      <c r="S5" s="62">
        <f ca="1">AVERAGE(OFFSET($R$3,0,0,'Données projet'!$E$9+1,1))-AVERAGE(OFFSET($H$3,0,0,'Données projet'!$E$9+1,1))</f>
        <v>508.93703669150443</v>
      </c>
      <c r="T5" s="62">
        <f t="shared" ref="T5:T68" si="34">$T$3</f>
        <v>277.04920840696707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2.1</v>
      </c>
      <c r="AI5" s="14">
        <f>IF('Données projet'!$A$62&gt;35,AI4+AH5-AQ4,IF(A5&lt;'Données projet'!$A$62,$AF$205^A5,IF(A5='Données projet'!$A$62,'Données projet'!$B$62,AI4+AH5-AQ4)))</f>
        <v>1.4531984602822681</v>
      </c>
      <c r="AJ5" s="14">
        <f>AI5*VLOOKUP('Données projet'!$B$10,Paramètres!$A$1:$I$89,3,0)*VLOOKUP('Données projet'!$B$10,Paramètres!$A$1:$I$89,5,0)</f>
        <v>1.3148539668633961</v>
      </c>
      <c r="AK5" s="14">
        <f t="shared" ref="AK5:AK68" si="35">EXP(-1.0587+0.8836*LN(AJ5)+0.284)</f>
        <v>0.58693801963664449</v>
      </c>
      <c r="AL5" s="22">
        <f t="shared" si="4"/>
        <v>3.3122877098209038</v>
      </c>
      <c r="AM5" s="62">
        <f t="shared" si="5"/>
        <v>192.49747326027992</v>
      </c>
      <c r="AN5" s="62">
        <f ca="1">AVERAGE(OFFSET($AM$3,0,0,'Données projet'!$E$10+1,1))-AVERAGE(OFFSET($H$3,0,0,'Données projet'!$E$10+1,1))</f>
        <v>461.10503306101145</v>
      </c>
      <c r="AO5" s="62">
        <f t="shared" ref="AO5:AO68" si="36">$AO$3</f>
        <v>262.10652147273288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1.1000000000000001</v>
      </c>
      <c r="BD5" s="13">
        <f>IF('Données projet'!$A$88&gt;35,BD4+BC5-BL4,IF(A5&lt;'Données projet'!$A$88,$BA$205^A5,IF(A5='Données projet'!$A$88,'Données projet'!$B$88,BD4+BC5-BL4)))</f>
        <v>1.6153942662021783</v>
      </c>
      <c r="BE5" s="14">
        <f>BD5*VLOOKUP('Données projet'!$B$11,Paramètres!$A$1:$I$89,3,0)*VLOOKUP('Données projet'!$B$11,Paramètres!$A$1:$I$89,5,0)</f>
        <v>1.2852076781904531</v>
      </c>
      <c r="BF5" s="14">
        <f t="shared" ref="BF5:BF68" si="37">EXP(-1.0587+0.8836*LN(BE5)+0.284)</f>
        <v>0.57522914588482876</v>
      </c>
      <c r="BG5" s="22">
        <f t="shared" si="7"/>
        <v>3.2402608019311159</v>
      </c>
      <c r="BH5" s="62">
        <f t="shared" si="8"/>
        <v>192.42544635239014</v>
      </c>
      <c r="BI5" s="62">
        <f ca="1">AVERAGE(OFFSET($BH$3,0,0,'Données projet'!$E$11+1,1))-AVERAGE(OFFSET($H$3,0,0,'Données projet'!$E$11+1,1))</f>
        <v>389.67854939311752</v>
      </c>
      <c r="BJ5" s="62">
        <f t="shared" ref="BJ5:BJ68" si="38">$BJ$3</f>
        <v>420.05189970516096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5.5190909090909095</v>
      </c>
      <c r="BY5" s="13">
        <f>IF('Données projet'!$A$114&gt;35,BY4+BX5-CG4,IF(A5&lt;'Données projet'!$A$114,$BV$205^A5,IF(A5='Données projet'!$A$114,'Données projet'!$B$114,BY4+BX5-CG4)))</f>
        <v>1.5469665742198999</v>
      </c>
      <c r="BZ5" s="14">
        <f>BY5*VLOOKUP('Données projet'!$B$12,Paramètres!$A$1:$I$89,3,0)*VLOOKUP('Données projet'!$B$12,Paramètres!$A$1:$I$89,5,0)</f>
        <v>0.88486488045378286</v>
      </c>
      <c r="CA5" s="14">
        <f t="shared" ref="CA5:CA68" si="39">EXP(-1.0587+0.8836*LN(BZ5)+0.284)</f>
        <v>0.41363049101726423</v>
      </c>
      <c r="CB5" s="22">
        <f t="shared" si="10"/>
        <v>2.2615461053120742</v>
      </c>
      <c r="CC5" s="62">
        <f t="shared" si="11"/>
        <v>191.44673165577109</v>
      </c>
      <c r="CD5" s="62">
        <f ca="1">AVERAGE(OFFSET($CC$3,0,0,'Données projet'!$E$12+1,1))-AVERAGE(OFFSET($H$3,0,0,'Données projet'!$E$12+1,1))</f>
        <v>312.16891625633968</v>
      </c>
      <c r="CE5" s="62">
        <f t="shared" ref="CE5:CE68" si="40">$CE$3</f>
        <v>215.34305815516177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2.7564102564102564</v>
      </c>
      <c r="CT5" s="13">
        <f>IF('Données projet'!$A$140&gt;35,CT4+CS5-DB4,IF(A5&lt;'Données projet'!$A$140,$CQ$205^A5,IF(A5='Données projet'!$A$140,'Données projet'!$B$140,CT4+CS5-DB4)))</f>
        <v>1.941193245290906</v>
      </c>
      <c r="CU5" s="18">
        <f>CT5*VLOOKUP('Données projet'!$B$13,Paramètres!$A$1:$I$89,3,0)*VLOOKUP('Données projet'!$B$13,Paramètres!$A$1:$I$89,5,0)</f>
        <v>1.3021524289411397</v>
      </c>
      <c r="CV5" s="14">
        <f t="shared" ref="CV5:CV68" si="41">EXP(-1.0587+0.8836*LN(CU5)+0.284)</f>
        <v>0.58192531959354554</v>
      </c>
      <c r="CW5" s="22">
        <f t="shared" si="13"/>
        <v>3.2814354120312434</v>
      </c>
      <c r="CX5" s="62">
        <f t="shared" si="14"/>
        <v>192.46662096249025</v>
      </c>
      <c r="CY5" s="62">
        <f ca="1">AVERAGE(OFFSET($CX$3,0,0,'Données projet'!$E$13+1,1))-AVERAGE(OFFSET($H$3,0,0,'Données projet'!$E$13+1,1))</f>
        <v>369.04754428478793</v>
      </c>
      <c r="CZ5" s="62">
        <f t="shared" ref="CZ5:CZ68" si="42">$CZ$3</f>
        <v>277.00523259351712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2.6666666666666665</v>
      </c>
      <c r="DO5" s="13">
        <f>IF('Données projet'!$A$166&gt;35,DO4+DN5-DW4,IF(A5&lt;'Données projet'!$A$166,$DL$205^A5,IF(A5='Données projet'!$A$166,'Données projet'!$B$166,DO4+DN5-DW4)))</f>
        <v>1.6353397711850939</v>
      </c>
      <c r="DP5" s="18">
        <f>DO5*VLOOKUP('Données projet'!$B$14,Paramètres!$A$1:$I$89,3,0)*VLOOKUP('Données projet'!$B$14,Paramètres!$A$1:$I$89,5,0)</f>
        <v>1.2755650215243732</v>
      </c>
      <c r="DQ5" s="14">
        <f t="shared" ref="DQ5:DQ68" si="43">EXP(-1.0587+0.8836*LN(DP5)+0.284)</f>
        <v>0.57141400910743001</v>
      </c>
      <c r="DR5" s="22">
        <f t="shared" si="16"/>
        <v>3.2168218116837237</v>
      </c>
      <c r="DS5" s="62">
        <f t="shared" si="17"/>
        <v>192.40200736214274</v>
      </c>
      <c r="DT5" s="62">
        <f ca="1">AVERAGE(OFFSET($DS$3,0,0,'Données projet'!$E$14+1,1))-AVERAGE(OFFSET($H$3,0,0,'Données projet'!$E$14+1,1))</f>
        <v>308.39181291575227</v>
      </c>
      <c r="DU5" s="62">
        <f t="shared" ref="DU5:DU68" si="44">$DU$3</f>
        <v>298.58225298824334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2.1</v>
      </c>
      <c r="EJ5" s="13">
        <f>IF('Données projet'!$A$192&gt;35,EJ4+EI5-ER4,IF(A5&lt;'Données projet'!$A$192,$EG$205^A5,IF(A5='Données projet'!$A$192,'Données projet'!$B$192,EJ4+EI5-ER4)))</f>
        <v>1.4531984602822681</v>
      </c>
      <c r="EK5" s="18">
        <f>EJ5*VLOOKUP('Données projet'!$B$15,Paramètres!$A$1:$I$89,3,0)*VLOOKUP('Données projet'!$B$15,Paramètres!$A$1:$I$89,5,0)</f>
        <v>1.4055335507850097</v>
      </c>
      <c r="EL5" s="14">
        <f t="shared" ref="EL5:EL68" si="45">EXP(-1.0587+0.8836*LN(EK5)+0.284)</f>
        <v>0.62256480317525631</v>
      </c>
      <c r="EM5" s="22">
        <f t="shared" si="19"/>
        <v>3.5322712998141292</v>
      </c>
      <c r="EN5" s="62">
        <f t="shared" si="20"/>
        <v>192.71745685027315</v>
      </c>
      <c r="EO5" s="62">
        <f ca="1">AVERAGE(OFFSET($EN$3,0,0,'Données projet'!$E$15+1,1))-AVERAGE(OFFSET($H$3,0,0,'Données projet'!$E$15+1,1))</f>
        <v>487.76433095707876</v>
      </c>
      <c r="EP5" s="62">
        <f t="shared" ref="EP5:EP68" si="46">$EP$3</f>
        <v>276.24209151398361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2.1</v>
      </c>
      <c r="FE5" s="13">
        <f>IF('Données projet'!$A$218&gt;35,FE4+FD5-FM4,IF(A5&lt;'Données projet'!$A$218,$FB$205^A5,IF(A5='Données projet'!$A$218,'Données projet'!$B$218,FE4+FD5-FM4)))</f>
        <v>1.4531984602822681</v>
      </c>
      <c r="FF5" s="18">
        <f>FE5*VLOOKUP('Données projet'!$B$16,Paramètres!$A$1:$I$89,3,0)*VLOOKUP('Données projet'!$B$16,Paramètres!$A$1:$I$89,5,0)</f>
        <v>1.5642228226478332</v>
      </c>
      <c r="FG5" s="14">
        <f t="shared" ref="FG5:FG68" si="47">EXP(-1.0587+0.8836*LN(FF5)+0.284)</f>
        <v>0.68428075179095682</v>
      </c>
      <c r="FH5" s="22">
        <f t="shared" si="22"/>
        <v>3.9161437254808931</v>
      </c>
      <c r="FI5" s="62">
        <f t="shared" si="23"/>
        <v>193.10132927593992</v>
      </c>
      <c r="FJ5" s="62">
        <f ca="1">AVERAGE(OFFSET($FI$3,0,0,'Données projet'!$E$16+1,1))-AVERAGE(OFFSET($H$3,0,0,'Données projet'!$E$16+1,1))</f>
        <v>534.33392288300456</v>
      </c>
      <c r="FK5" s="62">
        <f t="shared" ref="FK5:FK68" si="48">$FK$3</f>
        <v>300.93109615735477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2.7777777777777777</v>
      </c>
      <c r="FZ5" s="13">
        <f>IF('Données projet'!$A$244&gt;35,FZ4+FY5-GH4,IF(A5&lt;'Données projet'!$A$244,$FW$205^A5,IF(A5='Données projet'!$A$244,'Données projet'!$B$244,FZ4+FY5-GH4)))</f>
        <v>1.6442650832434298</v>
      </c>
      <c r="GA5" s="18">
        <f>FZ5*VLOOKUP('Données projet'!$B$17,Paramètres!$A$1:$I$89,3,0)*VLOOKUP('Données projet'!$B$17,Paramètres!$A$1:$I$89,5,0)</f>
        <v>1.1029730178396928</v>
      </c>
      <c r="GB5" s="14">
        <f t="shared" ref="GB5:GB68" si="49">EXP(-1.0587+0.8836*LN(GA5)+0.284)</f>
        <v>0.50253047081784186</v>
      </c>
      <c r="GC5" s="22">
        <f t="shared" si="25"/>
        <v>2.7962519094118723</v>
      </c>
      <c r="GD5" s="62">
        <f t="shared" si="26"/>
        <v>191.98143745987088</v>
      </c>
      <c r="GE5" s="62">
        <f ca="1">AVERAGE(OFFSET($GD$3,0,0,'Données projet'!$E$17+1,1))-AVERAGE(OFFSET($H$3,0,0,'Données projet'!$E$17+1,1))</f>
        <v>316.17772895535211</v>
      </c>
      <c r="GF5" s="62">
        <f t="shared" ref="GF5:GF68" si="50">$GF$3</f>
        <v>251.94445589652992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50.929293028913065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3.95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14.483333333333334</v>
      </c>
      <c r="H6" s="70">
        <f t="shared" si="1"/>
        <v>198.73333333333335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3.65</v>
      </c>
      <c r="N6" s="14">
        <f>IF('Données projet'!$A$36&gt;35,N5+M6-V5,IF(A6&lt;'Données projet'!$A$36,$K$205^A6,IF(A6='Données projet'!$A$36,'Données projet'!$B$36,N5+M6-V5)))</f>
        <v>1.9032613528593461</v>
      </c>
      <c r="O6" s="14">
        <f>N6*VLOOKUP('Données projet'!$B$9,Paramètres!$A$1:$I$89,3,0)*VLOOKUP('Données projet'!$B$9,Paramètres!$A$1:$I$89,5,0)</f>
        <v>1.6033073636487132</v>
      </c>
      <c r="P6" s="14">
        <f t="shared" si="33"/>
        <v>0.69936661672428513</v>
      </c>
      <c r="Q6" s="22">
        <f t="shared" si="2"/>
        <v>4.0104905158163051</v>
      </c>
      <c r="R6" s="62">
        <f t="shared" si="0"/>
        <v>195.63095676602541</v>
      </c>
      <c r="S6" s="62">
        <f ca="1">AVERAGE(OFFSET($R$3,0,0,'Données projet'!$E$9+1,1))-AVERAGE(OFFSET($H$3,0,0,'Données projet'!$E$9+1,1))</f>
        <v>508.93703669150443</v>
      </c>
      <c r="T6" s="62">
        <f t="shared" si="34"/>
        <v>277.04920840696707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2.1</v>
      </c>
      <c r="AI6" s="14">
        <f>IF('Données projet'!$A$62&gt;35,AI5+AH6-AQ5,IF(A6&lt;'Données projet'!$A$62,$AF$205^A6,IF(A6='Données projet'!$A$62,'Données projet'!$B$62,AI5+AH6-AQ5)))</f>
        <v>1.7518115829322798</v>
      </c>
      <c r="AJ6" s="14">
        <f>AI6*VLOOKUP('Données projet'!$B$10,Paramètres!$A$1:$I$89,3,0)*VLOOKUP('Données projet'!$B$10,Paramètres!$A$1:$I$89,5,0)</f>
        <v>1.5850391202371266</v>
      </c>
      <c r="AK6" s="14">
        <f t="shared" si="35"/>
        <v>0.69232082604846479</v>
      </c>
      <c r="AL6" s="22">
        <f t="shared" si="4"/>
        <v>3.966401906447405</v>
      </c>
      <c r="AM6" s="62">
        <f t="shared" si="5"/>
        <v>195.58686815665649</v>
      </c>
      <c r="AN6" s="62">
        <f ca="1">AVERAGE(OFFSET($AM$3,0,0,'Données projet'!$E$10+1,1))-AVERAGE(OFFSET($H$3,0,0,'Données projet'!$E$10+1,1))</f>
        <v>461.10503306101145</v>
      </c>
      <c r="AO6" s="62">
        <f t="shared" si="36"/>
        <v>262.10652147273288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1.1000000000000001</v>
      </c>
      <c r="BD6" s="13">
        <f>IF('Données projet'!$A$88&gt;35,BD5+BC6-BL5,IF(A6&lt;'Données projet'!$A$88,$BA$205^A6,IF(A6='Données projet'!$A$88,'Données projet'!$B$88,BD5+BC6-BL5)))</f>
        <v>2.0531364136588448</v>
      </c>
      <c r="BE6" s="14">
        <f>BD6*VLOOKUP('Données projet'!$B$11,Paramètres!$A$1:$I$89,3,0)*VLOOKUP('Données projet'!$B$11,Paramètres!$A$1:$I$89,5,0)</f>
        <v>1.6334753307069771</v>
      </c>
      <c r="BF6" s="14">
        <f t="shared" si="37"/>
        <v>0.71098156578295024</v>
      </c>
      <c r="BG6" s="22">
        <f t="shared" si="7"/>
        <v>4.0832624280532892</v>
      </c>
      <c r="BH6" s="62">
        <f t="shared" si="8"/>
        <v>195.70372867826239</v>
      </c>
      <c r="BI6" s="62">
        <f ca="1">AVERAGE(OFFSET($BH$3,0,0,'Données projet'!$E$11+1,1))-AVERAGE(OFFSET($H$3,0,0,'Données projet'!$E$11+1,1))</f>
        <v>389.67854939311752</v>
      </c>
      <c r="BJ6" s="62">
        <f t="shared" si="38"/>
        <v>420.05189970516096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5.5190909090909095</v>
      </c>
      <c r="BY6" s="13">
        <f>IF('Données projet'!$A$114&gt;35,BY5+BX6-CG5,IF(A6&lt;'Données projet'!$A$114,$BV$205^A6,IF(A6='Données projet'!$A$114,'Données projet'!$B$114,BY5+BX6-CG5)))</f>
        <v>1.9240723332432099</v>
      </c>
      <c r="BZ6" s="14">
        <f>BY6*VLOOKUP('Données projet'!$B$12,Paramètres!$A$1:$I$89,3,0)*VLOOKUP('Données projet'!$B$12,Paramètres!$A$1:$I$89,5,0)</f>
        <v>1.1005693746151162</v>
      </c>
      <c r="CA6" s="14">
        <f t="shared" si="39"/>
        <v>0.50156268701812023</v>
      </c>
      <c r="CB6" s="22">
        <f t="shared" si="10"/>
        <v>2.7903800073445528</v>
      </c>
      <c r="CC6" s="62">
        <f t="shared" si="11"/>
        <v>194.41084625755366</v>
      </c>
      <c r="CD6" s="62">
        <f ca="1">AVERAGE(OFFSET($CC$3,0,0,'Données projet'!$E$12+1,1))-AVERAGE(OFFSET($H$3,0,0,'Données projet'!$E$12+1,1))</f>
        <v>312.16891625633968</v>
      </c>
      <c r="CE6" s="62">
        <f t="shared" si="40"/>
        <v>215.34305815516177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2.7564102564102564</v>
      </c>
      <c r="CT6" s="13">
        <f>IF('Données projet'!$A$140&gt;35,CT5+CS6-DB5,IF(A6&lt;'Données projet'!$A$140,$CQ$205^A6,IF(A6='Données projet'!$A$140,'Données projet'!$B$140,CT5+CS6-DB5)))</f>
        <v>2.7046007066377307</v>
      </c>
      <c r="CU6" s="18">
        <f>CT6*VLOOKUP('Données projet'!$B$13,Paramètres!$A$1:$I$89,3,0)*VLOOKUP('Données projet'!$B$13,Paramètres!$A$1:$I$89,5,0)</f>
        <v>1.8142461540125896</v>
      </c>
      <c r="CV6" s="14">
        <f t="shared" si="41"/>
        <v>0.7800744202463411</v>
      </c>
      <c r="CW6" s="22">
        <f t="shared" si="13"/>
        <v>4.5184416668343035</v>
      </c>
      <c r="CX6" s="62">
        <f t="shared" si="14"/>
        <v>196.13890791704338</v>
      </c>
      <c r="CY6" s="62">
        <f ca="1">AVERAGE(OFFSET($CX$3,0,0,'Données projet'!$E$13+1,1))-AVERAGE(OFFSET($H$3,0,0,'Données projet'!$E$13+1,1))</f>
        <v>369.04754428478793</v>
      </c>
      <c r="CZ6" s="62">
        <f t="shared" si="42"/>
        <v>277.00523259351712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2.6666666666666665</v>
      </c>
      <c r="DO6" s="13">
        <f>IF('Données projet'!$A$166&gt;35,DO5+DN6-DW5,IF(A6&lt;'Données projet'!$A$166,$DL$205^A6,IF(A6='Données projet'!$A$166,'Données projet'!$B$166,DO5+DN6-DW5)))</f>
        <v>2.0912791051825459</v>
      </c>
      <c r="DP6" s="18">
        <f>DO6*VLOOKUP('Données projet'!$B$14,Paramètres!$A$1:$I$89,3,0)*VLOOKUP('Données projet'!$B$14,Paramètres!$A$1:$I$89,5,0)</f>
        <v>1.6311977020423858</v>
      </c>
      <c r="DQ6" s="14">
        <f t="shared" si="43"/>
        <v>0.71010553443370616</v>
      </c>
      <c r="DR6" s="22">
        <f t="shared" si="16"/>
        <v>4.0777698035291934</v>
      </c>
      <c r="DS6" s="62">
        <f t="shared" si="17"/>
        <v>195.6982360537383</v>
      </c>
      <c r="DT6" s="62">
        <f ca="1">AVERAGE(OFFSET($DS$3,0,0,'Données projet'!$E$14+1,1))-AVERAGE(OFFSET($H$3,0,0,'Données projet'!$E$14+1,1))</f>
        <v>308.39181291575227</v>
      </c>
      <c r="DU6" s="62">
        <f t="shared" si="44"/>
        <v>298.58225298824334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2.1</v>
      </c>
      <c r="EJ6" s="13">
        <f>IF('Données projet'!$A$192&gt;35,EJ5+EI6-ER5,IF(A6&lt;'Données projet'!$A$192,$EG$205^A6,IF(A6='Données projet'!$A$192,'Données projet'!$B$192,EJ5+EI6-ER5)))</f>
        <v>1.7518115829322798</v>
      </c>
      <c r="EK6" s="18">
        <f>EJ6*VLOOKUP('Données projet'!$B$15,Paramètres!$A$1:$I$89,3,0)*VLOOKUP('Données projet'!$B$15,Paramètres!$A$1:$I$89,5,0)</f>
        <v>1.694352163012101</v>
      </c>
      <c r="EL6" s="14">
        <f t="shared" si="45"/>
        <v>0.73434428233124405</v>
      </c>
      <c r="EM6" s="22">
        <f t="shared" si="19"/>
        <v>4.2299796423063247</v>
      </c>
      <c r="EN6" s="62">
        <f t="shared" si="20"/>
        <v>195.85044589251541</v>
      </c>
      <c r="EO6" s="62">
        <f ca="1">AVERAGE(OFFSET($EN$3,0,0,'Données projet'!$E$15+1,1))-AVERAGE(OFFSET($H$3,0,0,'Données projet'!$E$15+1,1))</f>
        <v>487.76433095707876</v>
      </c>
      <c r="EP6" s="62">
        <f t="shared" si="46"/>
        <v>276.24209151398361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2.1</v>
      </c>
      <c r="FE6" s="13">
        <f>IF('Données projet'!$A$218&gt;35,FE5+FD6-FM5,IF(A6&lt;'Données projet'!$A$218,$FB$205^A6,IF(A6='Données projet'!$A$218,'Données projet'!$B$218,FE5+FD6-FM5)))</f>
        <v>1.7518115829322798</v>
      </c>
      <c r="FF6" s="18">
        <f>FE6*VLOOKUP('Données projet'!$B$16,Paramètres!$A$1:$I$89,3,0)*VLOOKUP('Données projet'!$B$16,Paramètres!$A$1:$I$89,5,0)</f>
        <v>1.885649987868306</v>
      </c>
      <c r="FG6" s="14">
        <f t="shared" si="47"/>
        <v>0.8071411281590839</v>
      </c>
      <c r="FH6" s="22">
        <f t="shared" si="22"/>
        <v>4.6899445270810372</v>
      </c>
      <c r="FI6" s="62">
        <f t="shared" si="23"/>
        <v>196.31041077729012</v>
      </c>
      <c r="FJ6" s="62">
        <f ca="1">AVERAGE(OFFSET($FI$3,0,0,'Données projet'!$E$16+1,1))-AVERAGE(OFFSET($H$3,0,0,'Données projet'!$E$16+1,1))</f>
        <v>534.33392288300456</v>
      </c>
      <c r="FK6" s="62">
        <f t="shared" si="48"/>
        <v>300.93109615735477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2.7777777777777777</v>
      </c>
      <c r="FZ6" s="13">
        <f>IF('Données projet'!$A$244&gt;35,FZ5+FY6-GH5,IF(A6&lt;'Données projet'!$A$244,$FW$205^A6,IF(A6='Données projet'!$A$244,'Données projet'!$B$244,FZ5+FY6-GH5)))</f>
        <v>2.1084230317137496</v>
      </c>
      <c r="GA6" s="18">
        <f>FZ6*VLOOKUP('Données projet'!$B$17,Paramètres!$A$1:$I$89,3,0)*VLOOKUP('Données projet'!$B$17,Paramètres!$A$1:$I$89,5,0)</f>
        <v>1.4143301696735833</v>
      </c>
      <c r="GB6" s="14">
        <f t="shared" si="49"/>
        <v>0.62600637611731103</v>
      </c>
      <c r="GC6" s="22">
        <f t="shared" si="25"/>
        <v>3.5535861505858075</v>
      </c>
      <c r="GD6" s="62">
        <f t="shared" si="26"/>
        <v>195.17405240079489</v>
      </c>
      <c r="GE6" s="62">
        <f ca="1">AVERAGE(OFFSET($GD$3,0,0,'Données projet'!$E$17+1,1))-AVERAGE(OFFSET($H$3,0,0,'Données projet'!$E$17+1,1))</f>
        <v>316.17772895535211</v>
      </c>
      <c r="GF6" s="62">
        <f t="shared" si="50"/>
        <v>251.94445589652992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51.260127159147928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3.95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14.483333333333334</v>
      </c>
      <c r="H7" s="70">
        <f t="shared" si="1"/>
        <v>198.73333333333335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3.65</v>
      </c>
      <c r="N7" s="14">
        <f>IF('Données projet'!$A$36&gt;35,N6+M7-V6,IF(A7&lt;'Données projet'!$A$36,$K$205^A7,IF(A7='Données projet'!$A$36,'Données projet'!$B$36,N6+M7-V6)))</f>
        <v>2.3586558182407358</v>
      </c>
      <c r="O7" s="14">
        <f>N7*VLOOKUP('Données projet'!$B$9,Paramètres!$A$1:$I$89,3,0)*VLOOKUP('Données projet'!$B$9,Paramètres!$A$1:$I$89,5,0)</f>
        <v>1.9869316612859962</v>
      </c>
      <c r="P7" s="14">
        <f t="shared" si="33"/>
        <v>0.84533042826968274</v>
      </c>
      <c r="Q7" s="22">
        <f t="shared" si="2"/>
        <v>4.9328564726428068</v>
      </c>
      <c r="R7" s="62">
        <f t="shared" si="0"/>
        <v>198.96755957000926</v>
      </c>
      <c r="S7" s="62">
        <f ca="1">AVERAGE(OFFSET($R$3,0,0,'Données projet'!$E$9+1,1))-AVERAGE(OFFSET($H$3,0,0,'Données projet'!$E$9+1,1))</f>
        <v>508.93703669150443</v>
      </c>
      <c r="T7" s="62">
        <f t="shared" si="34"/>
        <v>277.04920840696707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2.1</v>
      </c>
      <c r="AI7" s="14">
        <f>IF('Données projet'!$A$62&gt;35,AI6+AH7-AQ6,IF(A7&lt;'Données projet'!$A$62,$AF$205^A7,IF(A7='Données projet'!$A$62,'Données projet'!$B$62,AI6+AH7-AQ6)))</f>
        <v>2.1117857649667546</v>
      </c>
      <c r="AJ7" s="14">
        <f>AI7*VLOOKUP('Données projet'!$B$10,Paramètres!$A$1:$I$89,3,0)*VLOOKUP('Données projet'!$B$10,Paramètres!$A$1:$I$89,5,0)</f>
        <v>1.9107437601419195</v>
      </c>
      <c r="AK7" s="14">
        <f t="shared" si="35"/>
        <v>0.81662477151702284</v>
      </c>
      <c r="AL7" s="22">
        <f t="shared" si="4"/>
        <v>4.7501668593059909</v>
      </c>
      <c r="AM7" s="62">
        <f t="shared" si="5"/>
        <v>198.78486995667242</v>
      </c>
      <c r="AN7" s="62">
        <f ca="1">AVERAGE(OFFSET($AM$3,0,0,'Données projet'!$E$10+1,1))-AVERAGE(OFFSET($H$3,0,0,'Données projet'!$E$10+1,1))</f>
        <v>461.10503306101145</v>
      </c>
      <c r="AO7" s="62">
        <f t="shared" si="36"/>
        <v>262.10652147273288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1.1000000000000001</v>
      </c>
      <c r="BD7" s="13">
        <f>IF('Données projet'!$A$88&gt;35,BD6+BC7-BL6,IF(A7&lt;'Données projet'!$A$88,$BA$205^A7,IF(A7='Données projet'!$A$88,'Données projet'!$B$88,BD6+BC7-BL6)))</f>
        <v>2.6094986352788743</v>
      </c>
      <c r="BE7" s="14">
        <f>BD7*VLOOKUP('Données projet'!$B$11,Paramètres!$A$1:$I$89,3,0)*VLOOKUP('Données projet'!$B$11,Paramètres!$A$1:$I$89,5,0)</f>
        <v>2.0761171142278725</v>
      </c>
      <c r="BF7" s="14">
        <f t="shared" si="37"/>
        <v>0.87877116536856548</v>
      </c>
      <c r="BG7" s="22">
        <f t="shared" si="7"/>
        <v>5.14643042029713</v>
      </c>
      <c r="BH7" s="62">
        <f t="shared" si="8"/>
        <v>199.18113351766357</v>
      </c>
      <c r="BI7" s="62">
        <f ca="1">AVERAGE(OFFSET($BH$3,0,0,'Données projet'!$E$11+1,1))-AVERAGE(OFFSET($H$3,0,0,'Données projet'!$E$11+1,1))</f>
        <v>389.67854939311752</v>
      </c>
      <c r="BJ7" s="62">
        <f t="shared" si="38"/>
        <v>420.05189970516096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5.5190909090909095</v>
      </c>
      <c r="BY7" s="13">
        <f>IF('Données projet'!$A$114&gt;35,BY6+BX7-CG6,IF(A7&lt;'Données projet'!$A$114,$BV$205^A7,IF(A7='Données projet'!$A$114,'Données projet'!$B$114,BY6+BX7-CG6)))</f>
        <v>2.3931055817536531</v>
      </c>
      <c r="BZ7" s="14">
        <f>BY7*VLOOKUP('Données projet'!$B$12,Paramètres!$A$1:$I$89,3,0)*VLOOKUP('Données projet'!$B$12,Paramètres!$A$1:$I$89,5,0)</f>
        <v>1.3688563927630897</v>
      </c>
      <c r="CA7" s="14">
        <f t="shared" si="39"/>
        <v>0.60818806754344634</v>
      </c>
      <c r="CB7" s="22">
        <f t="shared" si="10"/>
        <v>3.4433524350338836</v>
      </c>
      <c r="CC7" s="62">
        <f t="shared" si="11"/>
        <v>197.47805553240033</v>
      </c>
      <c r="CD7" s="62">
        <f ca="1">AVERAGE(OFFSET($CC$3,0,0,'Données projet'!$E$12+1,1))-AVERAGE(OFFSET($H$3,0,0,'Données projet'!$E$12+1,1))</f>
        <v>312.16891625633968</v>
      </c>
      <c r="CE7" s="62">
        <f t="shared" si="40"/>
        <v>215.34305815516177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2.7564102564102564</v>
      </c>
      <c r="CT7" s="13">
        <f>IF('Données projet'!$A$140&gt;35,CT6+CS7-DB6,IF(A7&lt;'Données projet'!$A$140,$CQ$205^A7,IF(A7='Données projet'!$A$140,'Données projet'!$B$140,CT6+CS7-DB6)))</f>
        <v>3.7682312155630395</v>
      </c>
      <c r="CU7" s="18">
        <f>CT7*VLOOKUP('Données projet'!$B$13,Paramètres!$A$1:$I$89,3,0)*VLOOKUP('Données projet'!$B$13,Paramètres!$A$1:$I$89,5,0)</f>
        <v>2.5277294993996873</v>
      </c>
      <c r="CV7" s="14">
        <f t="shared" si="41"/>
        <v>1.0456944914300901</v>
      </c>
      <c r="CW7" s="22">
        <f t="shared" si="13"/>
        <v>6.2237134506951959</v>
      </c>
      <c r="CX7" s="62">
        <f t="shared" si="14"/>
        <v>200.25841654806163</v>
      </c>
      <c r="CY7" s="62">
        <f ca="1">AVERAGE(OFFSET($CX$3,0,0,'Données projet'!$E$13+1,1))-AVERAGE(OFFSET($H$3,0,0,'Données projet'!$E$13+1,1))</f>
        <v>369.04754428478793</v>
      </c>
      <c r="CZ7" s="62">
        <f t="shared" si="42"/>
        <v>277.00523259351712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2.6666666666666665</v>
      </c>
      <c r="DO7" s="13">
        <f>IF('Données projet'!$A$166&gt;35,DO6+DN7-DW6,IF(A7&lt;'Données projet'!$A$166,$DL$205^A7,IF(A7='Données projet'!$A$166,'Données projet'!$B$166,DO6+DN7-DW6)))</f>
        <v>2.6743361672197152</v>
      </c>
      <c r="DP7" s="18">
        <f>DO7*VLOOKUP('Données projet'!$B$14,Paramètres!$A$1:$I$89,3,0)*VLOOKUP('Données projet'!$B$14,Paramètres!$A$1:$I$89,5,0)</f>
        <v>2.0859822104313781</v>
      </c>
      <c r="DQ7" s="14">
        <f t="shared" si="43"/>
        <v>0.88245976121767966</v>
      </c>
      <c r="DR7" s="22">
        <f t="shared" si="16"/>
        <v>5.1700364339554419</v>
      </c>
      <c r="DS7" s="62">
        <f t="shared" si="17"/>
        <v>199.20473953132188</v>
      </c>
      <c r="DT7" s="62">
        <f ca="1">AVERAGE(OFFSET($DS$3,0,0,'Données projet'!$E$14+1,1))-AVERAGE(OFFSET($H$3,0,0,'Données projet'!$E$14+1,1))</f>
        <v>308.39181291575227</v>
      </c>
      <c r="DU7" s="62">
        <f t="shared" si="44"/>
        <v>298.58225298824334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2.1</v>
      </c>
      <c r="EJ7" s="13">
        <f>IF('Données projet'!$A$192&gt;35,EJ6+EI7-ER6,IF(A7&lt;'Données projet'!$A$192,$EG$205^A7,IF(A7='Données projet'!$A$192,'Données projet'!$B$192,EJ6+EI7-ER6)))</f>
        <v>2.1117857649667546</v>
      </c>
      <c r="EK7" s="18">
        <f>EJ7*VLOOKUP('Données projet'!$B$15,Paramètres!$A$1:$I$89,3,0)*VLOOKUP('Données projet'!$B$15,Paramètres!$A$1:$I$89,5,0)</f>
        <v>2.042519191875845</v>
      </c>
      <c r="EL7" s="14">
        <f t="shared" si="45"/>
        <v>0.86619340226463792</v>
      </c>
      <c r="EM7" s="22">
        <f t="shared" si="19"/>
        <v>5.0660077681280073</v>
      </c>
      <c r="EN7" s="62">
        <f t="shared" si="20"/>
        <v>199.10071086549445</v>
      </c>
      <c r="EO7" s="62">
        <f ca="1">AVERAGE(OFFSET($EN$3,0,0,'Données projet'!$E$15+1,1))-AVERAGE(OFFSET($H$3,0,0,'Données projet'!$E$15+1,1))</f>
        <v>487.76433095707876</v>
      </c>
      <c r="EP7" s="62">
        <f t="shared" si="46"/>
        <v>276.24209151398361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2.1</v>
      </c>
      <c r="FE7" s="13">
        <f>IF('Données projet'!$A$218&gt;35,FE6+FD7-FM6,IF(A7&lt;'Données projet'!$A$218,$FB$205^A7,IF(A7='Données projet'!$A$218,'Données projet'!$B$218,FE6+FD7-FM6)))</f>
        <v>2.1117857649667546</v>
      </c>
      <c r="FF7" s="18">
        <f>FE7*VLOOKUP('Données projet'!$B$16,Paramètres!$A$1:$I$89,3,0)*VLOOKUP('Données projet'!$B$16,Paramètres!$A$1:$I$89,5,0)</f>
        <v>2.2731261974102144</v>
      </c>
      <c r="FG7" s="14">
        <f t="shared" si="47"/>
        <v>0.95206068424520052</v>
      </c>
      <c r="FH7" s="22">
        <f t="shared" si="22"/>
        <v>5.617200485549847</v>
      </c>
      <c r="FI7" s="62">
        <f t="shared" si="23"/>
        <v>199.6519035829163</v>
      </c>
      <c r="FJ7" s="62">
        <f ca="1">AVERAGE(OFFSET($FI$3,0,0,'Données projet'!$E$16+1,1))-AVERAGE(OFFSET($H$3,0,0,'Données projet'!$E$16+1,1))</f>
        <v>534.33392288300456</v>
      </c>
      <c r="FK7" s="62">
        <f t="shared" si="48"/>
        <v>300.93109615735477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2.7777777777777777</v>
      </c>
      <c r="FZ7" s="13">
        <f>IF('Données projet'!$A$244&gt;35,FZ6+FY7-GH6,IF(A7&lt;'Données projet'!$A$244,$FW$205^A7,IF(A7='Données projet'!$A$244,'Données projet'!$B$244,FZ6+FY7-GH6)))</f>
        <v>2.7036076639735231</v>
      </c>
      <c r="GA7" s="18">
        <f>FZ7*VLOOKUP('Données projet'!$B$17,Paramètres!$A$1:$I$89,3,0)*VLOOKUP('Données projet'!$B$17,Paramètres!$A$1:$I$89,5,0)</f>
        <v>1.8135800209934394</v>
      </c>
      <c r="GB7" s="14">
        <f t="shared" si="49"/>
        <v>0.77982133561325717</v>
      </c>
      <c r="GC7" s="22">
        <f t="shared" si="25"/>
        <v>4.5168406960899965</v>
      </c>
      <c r="GD7" s="62">
        <f t="shared" si="26"/>
        <v>198.55154379345643</v>
      </c>
      <c r="GE7" s="62">
        <f ca="1">AVERAGE(OFFSET($GD$3,0,0,'Données projet'!$E$17+1,1))-AVERAGE(OFFSET($H$3,0,0,'Données projet'!$E$17+1,1))</f>
        <v>316.17772895535211</v>
      </c>
      <c r="GF7" s="62">
        <f t="shared" si="50"/>
        <v>251.94445589652992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51.585222056857518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3.95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14.483333333333334</v>
      </c>
      <c r="H8" s="70">
        <f t="shared" si="1"/>
        <v>198.73333333333335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3.65</v>
      </c>
      <c r="N8" s="14">
        <f>IF('Données projet'!$A$36&gt;35,N7+M8-V7,IF(A8&lt;'Données projet'!$A$36,$K$205^A8,IF(A8='Données projet'!$A$36,'Données projet'!$B$36,N7+M8-V7)))</f>
        <v>2.9230127856917649</v>
      </c>
      <c r="O8" s="14">
        <f>N8*VLOOKUP('Données projet'!$B$9,Paramètres!$A$1:$I$89,3,0)*VLOOKUP('Données projet'!$B$9,Paramètres!$A$1:$I$89,5,0)</f>
        <v>2.462345970666743</v>
      </c>
      <c r="P8" s="14">
        <f t="shared" si="33"/>
        <v>1.021758139251189</v>
      </c>
      <c r="Q8" s="22">
        <f t="shared" si="2"/>
        <v>6.068147991440398</v>
      </c>
      <c r="R8" s="62">
        <f t="shared" si="0"/>
        <v>202.49640914716713</v>
      </c>
      <c r="S8" s="62">
        <f ca="1">AVERAGE(OFFSET($R$3,0,0,'Données projet'!$E$9+1,1))-AVERAGE(OFFSET($H$3,0,0,'Données projet'!$E$9+1,1))</f>
        <v>508.93703669150443</v>
      </c>
      <c r="T8" s="62">
        <f t="shared" si="34"/>
        <v>277.04920840696707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2.1</v>
      </c>
      <c r="AI8" s="14">
        <f>IF('Données projet'!$A$62&gt;35,AI7+AH8-AQ7,IF(A8&lt;'Données projet'!$A$62,$AF$205^A8,IF(A8='Données projet'!$A$62,'Données projet'!$B$62,AI7+AH8-AQ7)))</f>
        <v>2.5457298950218314</v>
      </c>
      <c r="AJ8" s="14">
        <f>AI8*VLOOKUP('Données projet'!$B$10,Paramètres!$A$1:$I$89,3,0)*VLOOKUP('Données projet'!$B$10,Paramètres!$A$1:$I$89,5,0)</f>
        <v>2.3033764090157529</v>
      </c>
      <c r="AK8" s="14">
        <f t="shared" si="35"/>
        <v>0.96324708482559218</v>
      </c>
      <c r="AL8" s="22">
        <f t="shared" si="4"/>
        <v>5.6893692517736758</v>
      </c>
      <c r="AM8" s="62">
        <f t="shared" si="5"/>
        <v>202.11763040750043</v>
      </c>
      <c r="AN8" s="62">
        <f ca="1">AVERAGE(OFFSET($AM$3,0,0,'Données projet'!$E$10+1,1))-AVERAGE(OFFSET($H$3,0,0,'Données projet'!$E$10+1,1))</f>
        <v>461.10503306101145</v>
      </c>
      <c r="AO8" s="62">
        <f t="shared" si="36"/>
        <v>262.10652147273288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1.1000000000000001</v>
      </c>
      <c r="BD8" s="13">
        <f>IF('Données projet'!$A$88&gt;35,BD7+BC8-BL7,IF(A8&lt;'Données projet'!$A$88,$BA$205^A8,IF(A8='Données projet'!$A$88,'Données projet'!$B$88,BD7+BC8-BL7)))</f>
        <v>3.3166247903554016</v>
      </c>
      <c r="BE8" s="14">
        <f>BD8*VLOOKUP('Données projet'!$B$11,Paramètres!$A$1:$I$89,3,0)*VLOOKUP('Données projet'!$B$11,Paramètres!$A$1:$I$89,5,0)</f>
        <v>2.6387066832067574</v>
      </c>
      <c r="BF8" s="14">
        <f t="shared" si="37"/>
        <v>1.0861586266766543</v>
      </c>
      <c r="BG8" s="22">
        <f t="shared" si="7"/>
        <v>6.4874737480469413</v>
      </c>
      <c r="BH8" s="62">
        <f t="shared" si="8"/>
        <v>202.91573490377368</v>
      </c>
      <c r="BI8" s="62">
        <f ca="1">AVERAGE(OFFSET($BH$3,0,0,'Données projet'!$E$11+1,1))-AVERAGE(OFFSET($H$3,0,0,'Données projet'!$E$11+1,1))</f>
        <v>389.67854939311752</v>
      </c>
      <c r="BJ8" s="62">
        <f t="shared" si="38"/>
        <v>420.05189970516096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5.5190909090909095</v>
      </c>
      <c r="BY8" s="13">
        <f>IF('Données projet'!$A$114&gt;35,BY7+BX8-CG7,IF(A8&lt;'Données projet'!$A$114,$BV$205^A8,IF(A8='Données projet'!$A$114,'Données projet'!$B$114,BY7+BX8-CG7)))</f>
        <v>2.9764755859085379</v>
      </c>
      <c r="BZ8" s="14">
        <f>BY8*VLOOKUP('Données projet'!$B$12,Paramètres!$A$1:$I$89,3,0)*VLOOKUP('Données projet'!$B$12,Paramètres!$A$1:$I$89,5,0)</f>
        <v>1.7025440351396839</v>
      </c>
      <c r="CA8" s="14">
        <f t="shared" si="39"/>
        <v>0.73748054844611766</v>
      </c>
      <c r="CB8" s="22">
        <f t="shared" si="10"/>
        <v>4.249709483078604</v>
      </c>
      <c r="CC8" s="62">
        <f t="shared" si="11"/>
        <v>200.67797063880533</v>
      </c>
      <c r="CD8" s="62">
        <f ca="1">AVERAGE(OFFSET($CC$3,0,0,'Données projet'!$E$12+1,1))-AVERAGE(OFFSET($H$3,0,0,'Données projet'!$E$12+1,1))</f>
        <v>312.16891625633968</v>
      </c>
      <c r="CE8" s="62">
        <f t="shared" si="40"/>
        <v>215.34305815516177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2.7564102564102564</v>
      </c>
      <c r="CT8" s="13">
        <f>IF('Données projet'!$A$140&gt;35,CT7+CS8-DB7,IF(A8&lt;'Données projet'!$A$140,$CQ$205^A8,IF(A8='Données projet'!$A$140,'Données projet'!$B$140,CT7+CS8-DB7)))</f>
        <v>5.2501526229341744</v>
      </c>
      <c r="CU8" s="18">
        <f>CT8*VLOOKUP('Données projet'!$B$13,Paramètres!$A$1:$I$89,3,0)*VLOOKUP('Données projet'!$B$13,Paramètres!$A$1:$I$89,5,0)</f>
        <v>3.5218023794642446</v>
      </c>
      <c r="CV8" s="14">
        <f t="shared" si="41"/>
        <v>1.4017598078166997</v>
      </c>
      <c r="CW8" s="22">
        <f t="shared" si="13"/>
        <v>8.5752041428476442</v>
      </c>
      <c r="CX8" s="62">
        <f t="shared" si="14"/>
        <v>205.00346529857438</v>
      </c>
      <c r="CY8" s="62">
        <f ca="1">AVERAGE(OFFSET($CX$3,0,0,'Données projet'!$E$13+1,1))-AVERAGE(OFFSET($H$3,0,0,'Données projet'!$E$13+1,1))</f>
        <v>369.04754428478793</v>
      </c>
      <c r="CZ8" s="62">
        <f t="shared" si="42"/>
        <v>277.00523259351712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2.6666666666666665</v>
      </c>
      <c r="DO8" s="13">
        <f>IF('Données projet'!$A$166&gt;35,DO7+DN8-DW7,IF(A8&lt;'Données projet'!$A$166,$DL$205^A8,IF(A8='Données projet'!$A$166,'Données projet'!$B$166,DO7+DN8-DW7)))</f>
        <v>3.4199518933533928</v>
      </c>
      <c r="DP8" s="18">
        <f>DO8*VLOOKUP('Données projet'!$B$14,Paramètres!$A$1:$I$89,3,0)*VLOOKUP('Données projet'!$B$14,Paramètres!$A$1:$I$89,5,0)</f>
        <v>2.6675624768156463</v>
      </c>
      <c r="DQ8" s="14">
        <f t="shared" si="43"/>
        <v>1.0966471776471767</v>
      </c>
      <c r="DR8" s="22">
        <f t="shared" si="16"/>
        <v>6.5559984815227494</v>
      </c>
      <c r="DS8" s="62">
        <f t="shared" si="17"/>
        <v>202.98425963724949</v>
      </c>
      <c r="DT8" s="62">
        <f ca="1">AVERAGE(OFFSET($DS$3,0,0,'Données projet'!$E$14+1,1))-AVERAGE(OFFSET($H$3,0,0,'Données projet'!$E$14+1,1))</f>
        <v>308.39181291575227</v>
      </c>
      <c r="DU8" s="62">
        <f t="shared" si="44"/>
        <v>298.58225298824334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2.1</v>
      </c>
      <c r="EJ8" s="13">
        <f>IF('Données projet'!$A$192&gt;35,EJ7+EI8-ER7,IF(A8&lt;'Données projet'!$A$192,$EG$205^A8,IF(A8='Données projet'!$A$192,'Données projet'!$B$192,EJ7+EI8-ER7)))</f>
        <v>2.5457298950218314</v>
      </c>
      <c r="EK8" s="18">
        <f>EJ8*VLOOKUP('Données projet'!$B$15,Paramètres!$A$1:$I$89,3,0)*VLOOKUP('Données projet'!$B$15,Paramètres!$A$1:$I$89,5,0)</f>
        <v>2.4622299544651152</v>
      </c>
      <c r="EL8" s="14">
        <f t="shared" si="45"/>
        <v>1.021715601495419</v>
      </c>
      <c r="EM8" s="22">
        <f t="shared" si="19"/>
        <v>6.0678718432979295</v>
      </c>
      <c r="EN8" s="62">
        <f t="shared" si="20"/>
        <v>202.49613299902467</v>
      </c>
      <c r="EO8" s="62">
        <f ca="1">AVERAGE(OFFSET($EN$3,0,0,'Données projet'!$E$15+1,1))-AVERAGE(OFFSET($H$3,0,0,'Données projet'!$E$15+1,1))</f>
        <v>487.76433095707876</v>
      </c>
      <c r="EP8" s="62">
        <f t="shared" si="46"/>
        <v>276.24209151398361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2.1</v>
      </c>
      <c r="FE8" s="13">
        <f>IF('Données projet'!$A$218&gt;35,FE7+FD8-FM7,IF(A8&lt;'Données projet'!$A$218,$FB$205^A8,IF(A8='Données projet'!$A$218,'Données projet'!$B$218,FE7+FD8-FM7)))</f>
        <v>2.5457298950218314</v>
      </c>
      <c r="FF8" s="18">
        <f>FE8*VLOOKUP('Données projet'!$B$16,Paramètres!$A$1:$I$89,3,0)*VLOOKUP('Données projet'!$B$16,Paramètres!$A$1:$I$89,5,0)</f>
        <v>2.740223659001499</v>
      </c>
      <c r="FG8" s="14">
        <f t="shared" si="47"/>
        <v>1.1230000737947632</v>
      </c>
      <c r="FH8" s="22">
        <f t="shared" si="22"/>
        <v>6.7284480012868242</v>
      </c>
      <c r="FI8" s="62">
        <f t="shared" si="23"/>
        <v>203.15670915701358</v>
      </c>
      <c r="FJ8" s="62">
        <f ca="1">AVERAGE(OFFSET($FI$3,0,0,'Données projet'!$E$16+1,1))-AVERAGE(OFFSET($H$3,0,0,'Données projet'!$E$16+1,1))</f>
        <v>534.33392288300456</v>
      </c>
      <c r="FK8" s="62">
        <f t="shared" si="48"/>
        <v>300.93109615735477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2.7777777777777777</v>
      </c>
      <c r="FZ8" s="13">
        <f>IF('Données projet'!$A$244&gt;35,FZ7+FY8-GH7,IF(A8&lt;'Données projet'!$A$244,$FW$205^A8,IF(A8='Données projet'!$A$244,'Données projet'!$B$244,FZ7+FY8-GH7)))</f>
        <v>3.4668063717531736</v>
      </c>
      <c r="GA8" s="18">
        <f>FZ8*VLOOKUP('Données projet'!$B$17,Paramètres!$A$1:$I$89,3,0)*VLOOKUP('Données projet'!$B$17,Paramètres!$A$1:$I$89,5,0)</f>
        <v>2.3255337141720287</v>
      </c>
      <c r="GB8" s="14">
        <f t="shared" si="49"/>
        <v>0.97142990659201334</v>
      </c>
      <c r="GC8" s="22">
        <f t="shared" si="25"/>
        <v>5.7422116394973726</v>
      </c>
      <c r="GD8" s="62">
        <f t="shared" si="26"/>
        <v>202.17047279522413</v>
      </c>
      <c r="GE8" s="62">
        <f ca="1">AVERAGE(OFFSET($GD$3,0,0,'Données projet'!$E$17+1,1))-AVERAGE(OFFSET($H$3,0,0,'Données projet'!$E$17+1,1))</f>
        <v>316.17772895535211</v>
      </c>
      <c r="GF8" s="62">
        <f t="shared" si="50"/>
        <v>251.94445589652992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51.904677284895172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3.95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14.483333333333334</v>
      </c>
      <c r="H9" s="70">
        <f t="shared" si="1"/>
        <v>198.73333333333335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3.65</v>
      </c>
      <c r="N9" s="14">
        <f>IF('Données projet'!$A$36&gt;35,N8+M9-V8,IF(A9&lt;'Données projet'!$A$36,$K$205^A9,IF(A9='Données projet'!$A$36,'Données projet'!$B$36,N8+M9-V8)))</f>
        <v>3.6224037772879885</v>
      </c>
      <c r="O9" s="14">
        <f>N9*VLOOKUP('Données projet'!$B$9,Paramètres!$A$1:$I$89,3,0)*VLOOKUP('Données projet'!$B$9,Paramètres!$A$1:$I$89,5,0)</f>
        <v>3.0515129419874016</v>
      </c>
      <c r="P9" s="14">
        <f t="shared" si="33"/>
        <v>1.2350078267772846</v>
      </c>
      <c r="Q9" s="22">
        <f t="shared" si="2"/>
        <v>7.4656903389318279</v>
      </c>
      <c r="R9" s="62">
        <f t="shared" si="0"/>
        <v>206.26718949497646</v>
      </c>
      <c r="S9" s="62">
        <f ca="1">AVERAGE(OFFSET($R$3,0,0,'Données projet'!$E$9+1,1))-AVERAGE(OFFSET($H$3,0,0,'Données projet'!$E$9+1,1))</f>
        <v>508.93703669150443</v>
      </c>
      <c r="T9" s="62">
        <f t="shared" si="34"/>
        <v>277.04920840696707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2.1</v>
      </c>
      <c r="AI9" s="14">
        <f>IF('Données projet'!$A$62&gt;35,AI8+AH9-AQ8,IF(A9&lt;'Données projet'!$A$62,$AF$205^A9,IF(A9='Données projet'!$A$62,'Données projet'!$B$62,AI8+AH9-AQ8)))</f>
        <v>3.0688438220956993</v>
      </c>
      <c r="AJ9" s="14">
        <f>AI9*VLOOKUP('Données projet'!$B$10,Paramètres!$A$1:$I$89,3,0)*VLOOKUP('Données projet'!$B$10,Paramètres!$A$1:$I$89,5,0)</f>
        <v>2.7766898902321886</v>
      </c>
      <c r="AK9" s="14">
        <f t="shared" si="35"/>
        <v>1.1361949561012803</v>
      </c>
      <c r="AL9" s="22">
        <f t="shared" si="4"/>
        <v>6.8149411073641248</v>
      </c>
      <c r="AM9" s="62">
        <f t="shared" si="5"/>
        <v>205.61644026340875</v>
      </c>
      <c r="AN9" s="62">
        <f ca="1">AVERAGE(OFFSET($AM$3,0,0,'Données projet'!$E$10+1,1))-AVERAGE(OFFSET($H$3,0,0,'Données projet'!$E$10+1,1))</f>
        <v>461.10503306101145</v>
      </c>
      <c r="AO9" s="62">
        <f t="shared" si="36"/>
        <v>262.10652147273288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1.1000000000000001</v>
      </c>
      <c r="BD9" s="13">
        <f>IF('Données projet'!$A$88&gt;35,BD8+BC9-BL8,IF(A9&lt;'Données projet'!$A$88,$BA$205^A9,IF(A9='Données projet'!$A$88,'Données projet'!$B$88,BD8+BC9-BL8)))</f>
        <v>4.2153691330919028</v>
      </c>
      <c r="BE9" s="14">
        <f>BD9*VLOOKUP('Données projet'!$B$11,Paramètres!$A$1:$I$89,3,0)*VLOOKUP('Données projet'!$B$11,Paramètres!$A$1:$I$89,5,0)</f>
        <v>3.353747682287918</v>
      </c>
      <c r="BF9" s="14">
        <f t="shared" si="37"/>
        <v>1.3424889309030987</v>
      </c>
      <c r="BG9" s="22">
        <f t="shared" si="7"/>
        <v>8.1792787679743544</v>
      </c>
      <c r="BH9" s="62">
        <f t="shared" si="8"/>
        <v>206.98077792401898</v>
      </c>
      <c r="BI9" s="62">
        <f ca="1">AVERAGE(OFFSET($BH$3,0,0,'Données projet'!$E$11+1,1))-AVERAGE(OFFSET($H$3,0,0,'Données projet'!$E$11+1,1))</f>
        <v>389.67854939311752</v>
      </c>
      <c r="BJ9" s="62">
        <f t="shared" si="38"/>
        <v>420.05189970516096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5.5190909090909095</v>
      </c>
      <c r="BY9" s="13">
        <f>IF('Données projet'!$A$114&gt;35,BY8+BX9-CG8,IF(A9&lt;'Données projet'!$A$114,$BV$205^A9,IF(A9='Données projet'!$A$114,'Données projet'!$B$114,BY8+BX9-CG8)))</f>
        <v>3.7020543435519695</v>
      </c>
      <c r="BZ9" s="14">
        <f>BY9*VLOOKUP('Données projet'!$B$12,Paramètres!$A$1:$I$89,3,0)*VLOOKUP('Données projet'!$B$12,Paramètres!$A$1:$I$89,5,0)</f>
        <v>2.1175750845117265</v>
      </c>
      <c r="CA9" s="14">
        <f t="shared" si="39"/>
        <v>0.89425884584217707</v>
      </c>
      <c r="CB9" s="22">
        <f t="shared" si="10"/>
        <v>5.2456107620330483</v>
      </c>
      <c r="CC9" s="62">
        <f t="shared" si="11"/>
        <v>204.04710991807767</v>
      </c>
      <c r="CD9" s="62">
        <f ca="1">AVERAGE(OFFSET($CC$3,0,0,'Données projet'!$E$12+1,1))-AVERAGE(OFFSET($H$3,0,0,'Données projet'!$E$12+1,1))</f>
        <v>312.16891625633968</v>
      </c>
      <c r="CE9" s="62">
        <f t="shared" si="40"/>
        <v>215.34305815516177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2.7564102564102564</v>
      </c>
      <c r="CT9" s="13">
        <f>IF('Données projet'!$A$140&gt;35,CT8+CS9-DB8,IF(A9&lt;'Données projet'!$A$140,$CQ$205^A9,IF(A9='Données projet'!$A$140,'Données projet'!$B$140,CT8+CS9-DB8)))</f>
        <v>7.3148649823453118</v>
      </c>
      <c r="CU9" s="18">
        <f>CT9*VLOOKUP('Données projet'!$B$13,Paramètres!$A$1:$I$89,3,0)*VLOOKUP('Données projet'!$B$13,Paramètres!$A$1:$I$89,5,0)</f>
        <v>4.9068114301572354</v>
      </c>
      <c r="CV9" s="14">
        <f t="shared" si="41"/>
        <v>1.8790675239410271</v>
      </c>
      <c r="CW9" s="22">
        <f t="shared" si="13"/>
        <v>11.818739178387807</v>
      </c>
      <c r="CX9" s="62">
        <f t="shared" si="14"/>
        <v>210.62023833443243</v>
      </c>
      <c r="CY9" s="62">
        <f ca="1">AVERAGE(OFFSET($CX$3,0,0,'Données projet'!$E$13+1,1))-AVERAGE(OFFSET($H$3,0,0,'Données projet'!$E$13+1,1))</f>
        <v>369.04754428478793</v>
      </c>
      <c r="CZ9" s="62">
        <f t="shared" si="42"/>
        <v>277.00523259351712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2.6666666666666665</v>
      </c>
      <c r="DO9" s="13">
        <f>IF('Données projet'!$A$166&gt;35,DO8+DN9-DW8,IF(A9&lt;'Données projet'!$A$166,$DL$205^A9,IF(A9='Données projet'!$A$166,'Données projet'!$B$166,DO8+DN9-DW8)))</f>
        <v>4.3734482957731098</v>
      </c>
      <c r="DP9" s="18">
        <f>DO9*VLOOKUP('Données projet'!$B$14,Paramètres!$A$1:$I$89,3,0)*VLOOKUP('Données projet'!$B$14,Paramètres!$A$1:$I$89,5,0)</f>
        <v>3.4112896707030256</v>
      </c>
      <c r="DQ9" s="14">
        <f t="shared" si="43"/>
        <v>1.3628213830192535</v>
      </c>
      <c r="DR9" s="22">
        <f t="shared" si="16"/>
        <v>8.3149100852329703</v>
      </c>
      <c r="DS9" s="62">
        <f t="shared" si="17"/>
        <v>207.11640924127761</v>
      </c>
      <c r="DT9" s="62">
        <f ca="1">AVERAGE(OFFSET($DS$3,0,0,'Données projet'!$E$14+1,1))-AVERAGE(OFFSET($H$3,0,0,'Données projet'!$E$14+1,1))</f>
        <v>308.39181291575227</v>
      </c>
      <c r="DU9" s="62">
        <f t="shared" si="44"/>
        <v>298.58225298824334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2.1</v>
      </c>
      <c r="EJ9" s="13">
        <f>IF('Données projet'!$A$192&gt;35,EJ8+EI9-ER8,IF(A9&lt;'Données projet'!$A$192,$EG$205^A9,IF(A9='Données projet'!$A$192,'Données projet'!$B$192,EJ8+EI9-ER8)))</f>
        <v>3.0688438220956993</v>
      </c>
      <c r="EK9" s="18">
        <f>EJ9*VLOOKUP('Données projet'!$B$15,Paramètres!$A$1:$I$89,3,0)*VLOOKUP('Données projet'!$B$15,Paramètres!$A$1:$I$89,5,0)</f>
        <v>2.9681857447309605</v>
      </c>
      <c r="EL9" s="14">
        <f t="shared" si="45"/>
        <v>1.2051613041728233</v>
      </c>
      <c r="EM9" s="22">
        <f t="shared" si="19"/>
        <v>7.2685794435074236</v>
      </c>
      <c r="EN9" s="62">
        <f t="shared" si="20"/>
        <v>206.07007859955206</v>
      </c>
      <c r="EO9" s="62">
        <f ca="1">AVERAGE(OFFSET($EN$3,0,0,'Données projet'!$E$15+1,1))-AVERAGE(OFFSET($H$3,0,0,'Données projet'!$E$15+1,1))</f>
        <v>487.76433095707876</v>
      </c>
      <c r="EP9" s="62">
        <f t="shared" si="46"/>
        <v>276.24209151398361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2.1</v>
      </c>
      <c r="FE9" s="13">
        <f>IF('Données projet'!$A$218&gt;35,FE8+FD9-FM8,IF(A9&lt;'Données projet'!$A$218,$FB$205^A9,IF(A9='Données projet'!$A$218,'Données projet'!$B$218,FE8+FD9-FM8)))</f>
        <v>3.0688438220956993</v>
      </c>
      <c r="FF9" s="18">
        <f>FE9*VLOOKUP('Données projet'!$B$16,Paramètres!$A$1:$I$89,3,0)*VLOOKUP('Données projet'!$B$16,Paramètres!$A$1:$I$89,5,0)</f>
        <v>3.3033034901038101</v>
      </c>
      <c r="FG9" s="14">
        <f t="shared" si="47"/>
        <v>1.3246310730107231</v>
      </c>
      <c r="FH9" s="22">
        <f t="shared" si="22"/>
        <v>8.0603193640911446</v>
      </c>
      <c r="FI9" s="62">
        <f t="shared" si="23"/>
        <v>206.86181852013578</v>
      </c>
      <c r="FJ9" s="62">
        <f ca="1">AVERAGE(OFFSET($FI$3,0,0,'Données projet'!$E$16+1,1))-AVERAGE(OFFSET($H$3,0,0,'Données projet'!$E$16+1,1))</f>
        <v>534.33392288300456</v>
      </c>
      <c r="FK9" s="62">
        <f t="shared" si="48"/>
        <v>300.93109615735477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2.7777777777777777</v>
      </c>
      <c r="FZ9" s="13">
        <f>IF('Données projet'!$A$244&gt;35,FZ8+FY9-GH8,IF(A9&lt;'Données projet'!$A$244,$FW$205^A9,IF(A9='Données projet'!$A$244,'Données projet'!$B$244,FZ8+FY9-GH8)))</f>
        <v>4.4454476806610002</v>
      </c>
      <c r="GA9" s="18">
        <f>FZ9*VLOOKUP('Données projet'!$B$17,Paramètres!$A$1:$I$89,3,0)*VLOOKUP('Données projet'!$B$17,Paramètres!$A$1:$I$89,5,0)</f>
        <v>2.982006304187399</v>
      </c>
      <c r="GB9" s="14">
        <f t="shared" si="49"/>
        <v>1.2101182929026357</v>
      </c>
      <c r="GC9" s="22">
        <f t="shared" si="25"/>
        <v>7.3012836732651438</v>
      </c>
      <c r="GD9" s="62">
        <f t="shared" si="26"/>
        <v>206.10278282930977</v>
      </c>
      <c r="GE9" s="62">
        <f ca="1">AVERAGE(OFFSET($GD$3,0,0,'Données projet'!$E$17+1,1))-AVERAGE(OFFSET($H$3,0,0,'Données projet'!$E$17+1,1))</f>
        <v>316.17772895535211</v>
      </c>
      <c r="GF9" s="62">
        <f t="shared" si="50"/>
        <v>251.94445589652992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52.218590678921259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3.95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14.483333333333334</v>
      </c>
      <c r="H10" s="70">
        <f t="shared" si="1"/>
        <v>198.73333333333335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3.65</v>
      </c>
      <c r="N10" s="14">
        <f>IF('Données projet'!$A$36&gt;35,N9+M10-V9,IF(A10&lt;'Données projet'!$A$36,$K$205^A10,IF(A10='Données projet'!$A$36,'Données projet'!$B$36,N9+M10-V9)))</f>
        <v>4.4891384635544309</v>
      </c>
      <c r="O10" s="14">
        <f>N10*VLOOKUP('Données projet'!$B$9,Paramètres!$A$1:$I$89,3,0)*VLOOKUP('Données projet'!$B$9,Paramètres!$A$1:$I$89,5,0)</f>
        <v>3.7816502416982529</v>
      </c>
      <c r="P10" s="14">
        <f t="shared" si="33"/>
        <v>1.492764553183741</v>
      </c>
      <c r="Q10" s="22">
        <f t="shared" si="2"/>
        <v>9.1862724344194735</v>
      </c>
      <c r="R10" s="62">
        <f t="shared" si="0"/>
        <v>210.34104204031777</v>
      </c>
      <c r="S10" s="62">
        <f ca="1">AVERAGE(OFFSET($R$3,0,0,'Données projet'!$E$9+1,1))-AVERAGE(OFFSET($H$3,0,0,'Données projet'!$E$9+1,1))</f>
        <v>508.93703669150443</v>
      </c>
      <c r="T10" s="62">
        <f t="shared" si="34"/>
        <v>277.04920840696707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2.1</v>
      </c>
      <c r="AI10" s="14">
        <f>IF('Données projet'!$A$62&gt;35,AI9+AH10-AQ9,IF(A10&lt;'Données projet'!$A$62,$AF$205^A10,IF(A10='Données projet'!$A$62,'Données projet'!$B$62,AI9+AH10-AQ9)))</f>
        <v>3.6994507637402658</v>
      </c>
      <c r="AJ10" s="14">
        <f>AI10*VLOOKUP('Données projet'!$B$10,Paramètres!$A$1:$I$89,3,0)*VLOOKUP('Données projet'!$B$10,Paramètres!$A$1:$I$89,5,0)</f>
        <v>3.3472630510321921</v>
      </c>
      <c r="AK10" s="14">
        <f t="shared" si="35"/>
        <v>1.34019505338418</v>
      </c>
      <c r="AL10" s="22">
        <f t="shared" si="4"/>
        <v>8.1639895318585136</v>
      </c>
      <c r="AM10" s="62">
        <f t="shared" si="5"/>
        <v>209.31875913775681</v>
      </c>
      <c r="AN10" s="62">
        <f ca="1">AVERAGE(OFFSET($AM$3,0,0,'Données projet'!$E$10+1,1))-AVERAGE(OFFSET($H$3,0,0,'Données projet'!$E$10+1,1))</f>
        <v>461.10503306101145</v>
      </c>
      <c r="AO10" s="62">
        <f t="shared" si="36"/>
        <v>262.10652147273288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1.1000000000000001</v>
      </c>
      <c r="BD10" s="13">
        <f>IF('Données projet'!$A$88&gt;35,BD9+BC10-BL9,IF(A10&lt;'Données projet'!$A$88,$BA$205^A10,IF(A10='Données projet'!$A$88,'Données projet'!$B$88,BD9+BC10-BL9)))</f>
        <v>5.3576566694841175</v>
      </c>
      <c r="BE10" s="14">
        <f>BD10*VLOOKUP('Données projet'!$B$11,Paramètres!$A$1:$I$89,3,0)*VLOOKUP('Données projet'!$B$11,Paramètres!$A$1:$I$89,5,0)</f>
        <v>4.2625516462415645</v>
      </c>
      <c r="BF10" s="14">
        <f t="shared" si="37"/>
        <v>1.6593124478620722</v>
      </c>
      <c r="BG10" s="22">
        <f t="shared" si="7"/>
        <v>10.313913297230501</v>
      </c>
      <c r="BH10" s="62">
        <f t="shared" si="8"/>
        <v>211.46868290312881</v>
      </c>
      <c r="BI10" s="62">
        <f ca="1">AVERAGE(OFFSET($BH$3,0,0,'Données projet'!$E$11+1,1))-AVERAGE(OFFSET($H$3,0,0,'Données projet'!$E$11+1,1))</f>
        <v>389.67854939311752</v>
      </c>
      <c r="BJ10" s="62">
        <f t="shared" si="38"/>
        <v>420.05189970516096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5.5190909090909095</v>
      </c>
      <c r="BY10" s="13">
        <f>IF('Données projet'!$A$114&gt;35,BY9+BX10-CG9,IF(A10&lt;'Données projet'!$A$114,$BV$205^A10,IF(A10='Données projet'!$A$114,'Données projet'!$B$114,BY9+BX10-CG9)))</f>
        <v>4.6045082403821009</v>
      </c>
      <c r="BZ10" s="14">
        <f>BY10*VLOOKUP('Données projet'!$B$12,Paramètres!$A$1:$I$89,3,0)*VLOOKUP('Données projet'!$B$12,Paramètres!$A$1:$I$89,5,0)</f>
        <v>2.633778713498562</v>
      </c>
      <c r="CA10" s="14">
        <f t="shared" si="39"/>
        <v>1.0843660691145822</v>
      </c>
      <c r="CB10" s="22">
        <f t="shared" si="10"/>
        <v>6.475768829717893</v>
      </c>
      <c r="CC10" s="62">
        <f t="shared" si="11"/>
        <v>207.63053843561619</v>
      </c>
      <c r="CD10" s="62">
        <f ca="1">AVERAGE(OFFSET($CC$3,0,0,'Données projet'!$E$12+1,1))-AVERAGE(OFFSET($H$3,0,0,'Données projet'!$E$12+1,1))</f>
        <v>312.16891625633968</v>
      </c>
      <c r="CE10" s="62">
        <f t="shared" si="40"/>
        <v>215.34305815516177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2.7564102564102564</v>
      </c>
      <c r="CT10" s="13">
        <f>IF('Données projet'!$A$140&gt;35,CT9+CS10-DB9,IF(A10&lt;'Données projet'!$A$140,$CQ$205^A10,IF(A10='Données projet'!$A$140,'Données projet'!$B$140,CT9+CS10-DB9)))</f>
        <v>10.191560808386152</v>
      </c>
      <c r="CU10" s="18">
        <f>CT10*VLOOKUP('Données projet'!$B$13,Paramètres!$A$1:$I$89,3,0)*VLOOKUP('Données projet'!$B$13,Paramètres!$A$1:$I$89,5,0)</f>
        <v>6.8364989902654312</v>
      </c>
      <c r="CV10" s="14">
        <f t="shared" si="41"/>
        <v>2.5189014122393623</v>
      </c>
      <c r="CW10" s="22">
        <f t="shared" si="13"/>
        <v>16.293989034362514</v>
      </c>
      <c r="CX10" s="62">
        <f t="shared" si="14"/>
        <v>217.44875864026082</v>
      </c>
      <c r="CY10" s="62">
        <f ca="1">AVERAGE(OFFSET($CX$3,0,0,'Données projet'!$E$13+1,1))-AVERAGE(OFFSET($H$3,0,0,'Données projet'!$E$13+1,1))</f>
        <v>369.04754428478793</v>
      </c>
      <c r="CZ10" s="62">
        <f t="shared" si="42"/>
        <v>277.00523259351712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2.6666666666666665</v>
      </c>
      <c r="DO10" s="13">
        <f>IF('Données projet'!$A$166&gt;35,DO9+DN10-DW9,IF(A10&lt;'Données projet'!$A$166,$DL$205^A10,IF(A10='Données projet'!$A$166,'Données projet'!$B$166,DO9+DN10-DW9)))</f>
        <v>5.5927833467405659</v>
      </c>
      <c r="DP10" s="18">
        <f>DO10*VLOOKUP('Données projet'!$B$14,Paramètres!$A$1:$I$89,3,0)*VLOOKUP('Données projet'!$B$14,Paramètres!$A$1:$I$89,5,0)</f>
        <v>4.3623710104576414</v>
      </c>
      <c r="DQ10" s="14">
        <f t="shared" si="43"/>
        <v>1.6936004212396314</v>
      </c>
      <c r="DR10" s="22">
        <f t="shared" si="16"/>
        <v>10.54748357687275</v>
      </c>
      <c r="DS10" s="62">
        <f t="shared" si="17"/>
        <v>211.70225318277107</v>
      </c>
      <c r="DT10" s="62">
        <f ca="1">AVERAGE(OFFSET($DS$3,0,0,'Données projet'!$E$14+1,1))-AVERAGE(OFFSET($H$3,0,0,'Données projet'!$E$14+1,1))</f>
        <v>308.39181291575227</v>
      </c>
      <c r="DU10" s="62">
        <f t="shared" si="44"/>
        <v>298.58225298824334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2.1</v>
      </c>
      <c r="EJ10" s="13">
        <f>IF('Données projet'!$A$192&gt;35,EJ9+EI10-ER9,IF(A10&lt;'Données projet'!$A$192,$EG$205^A10,IF(A10='Données projet'!$A$192,'Données projet'!$B$192,EJ9+EI10-ER9)))</f>
        <v>3.6994507637402658</v>
      </c>
      <c r="EK10" s="18">
        <f>EJ10*VLOOKUP('Données projet'!$B$15,Paramètres!$A$1:$I$89,3,0)*VLOOKUP('Données projet'!$B$15,Paramètres!$A$1:$I$89,5,0)</f>
        <v>3.5781087786895851</v>
      </c>
      <c r="EL10" s="14">
        <f t="shared" si="45"/>
        <v>1.4215440842341414</v>
      </c>
      <c r="EM10" s="22">
        <f t="shared" si="19"/>
        <v>8.707728736258824</v>
      </c>
      <c r="EN10" s="62">
        <f t="shared" si="20"/>
        <v>209.86249834215712</v>
      </c>
      <c r="EO10" s="62">
        <f ca="1">AVERAGE(OFFSET($EN$3,0,0,'Données projet'!$E$15+1,1))-AVERAGE(OFFSET($H$3,0,0,'Données projet'!$E$15+1,1))</f>
        <v>487.76433095707876</v>
      </c>
      <c r="EP10" s="62">
        <f t="shared" si="46"/>
        <v>276.24209151398361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2.1</v>
      </c>
      <c r="FE10" s="13">
        <f>IF('Données projet'!$A$218&gt;35,FE9+FD10-FM9,IF(A10&lt;'Données projet'!$A$218,$FB$205^A10,IF(A10='Données projet'!$A$218,'Données projet'!$B$218,FE9+FD10-FM9)))</f>
        <v>3.6994507637402658</v>
      </c>
      <c r="FF10" s="18">
        <f>FE10*VLOOKUP('Données projet'!$B$16,Paramètres!$A$1:$I$89,3,0)*VLOOKUP('Données projet'!$B$16,Paramètres!$A$1:$I$89,5,0)</f>
        <v>3.982088802090022</v>
      </c>
      <c r="FG10" s="14">
        <f t="shared" si="47"/>
        <v>1.5624642602705792</v>
      </c>
      <c r="FH10" s="22">
        <f t="shared" si="22"/>
        <v>9.6567632502780452</v>
      </c>
      <c r="FI10" s="62">
        <f t="shared" si="23"/>
        <v>210.81153285617634</v>
      </c>
      <c r="FJ10" s="62">
        <f ca="1">AVERAGE(OFFSET($FI$3,0,0,'Données projet'!$E$16+1,1))-AVERAGE(OFFSET($H$3,0,0,'Données projet'!$E$16+1,1))</f>
        <v>534.33392288300456</v>
      </c>
      <c r="FK10" s="62">
        <f t="shared" si="48"/>
        <v>300.93109615735477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2.7777777777777777</v>
      </c>
      <c r="FZ10" s="13">
        <f>IF('Données projet'!$A$244&gt;35,FZ9+FY10-GH9,IF(A10&lt;'Données projet'!$A$244,$FW$205^A10,IF(A10='Données projet'!$A$244,'Données projet'!$B$244,FZ9+FY10-GH9)))</f>
        <v>5.7003486674395836</v>
      </c>
      <c r="GA10" s="18">
        <f>FZ10*VLOOKUP('Données projet'!$B$17,Paramètres!$A$1:$I$89,3,0)*VLOOKUP('Données projet'!$B$17,Paramètres!$A$1:$I$89,5,0)</f>
        <v>3.8237938861184726</v>
      </c>
      <c r="GB10" s="14">
        <f t="shared" si="49"/>
        <v>1.5074543957113413</v>
      </c>
      <c r="GC10" s="22">
        <f t="shared" si="25"/>
        <v>9.2852574241869252</v>
      </c>
      <c r="GD10" s="62">
        <f t="shared" si="26"/>
        <v>210.44002703008525</v>
      </c>
      <c r="GE10" s="62">
        <f ca="1">AVERAGE(OFFSET($GD$3,0,0,'Données projet'!$E$17+1,1))-AVERAGE(OFFSET($H$3,0,0,'Données projet'!$E$17+1,1))</f>
        <v>316.17772895535211</v>
      </c>
      <c r="GF10" s="62">
        <f t="shared" si="50"/>
        <v>251.94445589652992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52.527058377366203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3.95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14.483333333333334</v>
      </c>
      <c r="H11" s="70">
        <f t="shared" si="1"/>
        <v>198.73333333333335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3.65</v>
      </c>
      <c r="N11" s="14">
        <f>IF('Données projet'!$A$36&gt;35,N10+M11-V10,IF(A11&lt;'Données projet'!$A$36,$K$205^A11,IF(A11='Données projet'!$A$36,'Données projet'!$B$36,N10+M11-V10)))</f>
        <v>5.563257268920875</v>
      </c>
      <c r="O11" s="14">
        <f>N11*VLOOKUP('Données projet'!$B$9,Paramètres!$A$1:$I$89,3,0)*VLOOKUP('Données projet'!$B$9,Paramètres!$A$1:$I$89,5,0)</f>
        <v>4.6864879233389463</v>
      </c>
      <c r="P11" s="14">
        <f t="shared" si="33"/>
        <v>1.8043173192324258</v>
      </c>
      <c r="Q11" s="22">
        <f t="shared" si="2"/>
        <v>11.304819130811806</v>
      </c>
      <c r="R11" s="62">
        <f t="shared" si="0"/>
        <v>214.79323802845943</v>
      </c>
      <c r="S11" s="62">
        <f ca="1">AVERAGE(OFFSET($R$3,0,0,'Données projet'!$E$9+1,1))-AVERAGE(OFFSET($H$3,0,0,'Données projet'!$E$9+1,1))</f>
        <v>508.93703669150443</v>
      </c>
      <c r="T11" s="62">
        <f t="shared" si="34"/>
        <v>277.04920840696707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2.1</v>
      </c>
      <c r="AI11" s="14">
        <f>IF('Données projet'!$A$62&gt;35,AI10+AH11-AQ10,IF(A11&lt;'Données projet'!$A$62,$AF$205^A11,IF(A11='Données projet'!$A$62,'Données projet'!$B$62,AI10+AH11-AQ10)))</f>
        <v>4.4596391171162209</v>
      </c>
      <c r="AJ11" s="14">
        <f>AI11*VLOOKUP('Données projet'!$B$10,Paramètres!$A$1:$I$89,3,0)*VLOOKUP('Données projet'!$B$10,Paramètres!$A$1:$I$89,5,0)</f>
        <v>4.0350814731667564</v>
      </c>
      <c r="AK11" s="14">
        <f t="shared" si="35"/>
        <v>1.5808227025391921</v>
      </c>
      <c r="AL11" s="22">
        <f t="shared" si="4"/>
        <v>9.7810331060211926</v>
      </c>
      <c r="AM11" s="62">
        <f t="shared" si="5"/>
        <v>213.26945200366882</v>
      </c>
      <c r="AN11" s="62">
        <f ca="1">AVERAGE(OFFSET($AM$3,0,0,'Données projet'!$E$10+1,1))-AVERAGE(OFFSET($H$3,0,0,'Données projet'!$E$10+1,1))</f>
        <v>461.10503306101145</v>
      </c>
      <c r="AO11" s="62">
        <f t="shared" si="36"/>
        <v>262.10652147273288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1.1000000000000001</v>
      </c>
      <c r="BD11" s="13">
        <f>IF('Données projet'!$A$88&gt;35,BD10+BC11-BL10,IF(A11&lt;'Données projet'!$A$88,$BA$205^A11,IF(A11='Données projet'!$A$88,'Données projet'!$B$88,BD10+BC11-BL10)))</f>
        <v>6.8094831275223076</v>
      </c>
      <c r="BE11" s="14">
        <f>BD11*VLOOKUP('Données projet'!$B$11,Paramètres!$A$1:$I$89,3,0)*VLOOKUP('Données projet'!$B$11,Paramètres!$A$1:$I$89,5,0)</f>
        <v>5.4176247762567487</v>
      </c>
      <c r="BF11" s="14">
        <f t="shared" si="37"/>
        <v>2.0509054013412618</v>
      </c>
      <c r="BG11" s="22">
        <f t="shared" si="7"/>
        <v>13.007690059316532</v>
      </c>
      <c r="BH11" s="62">
        <f t="shared" si="8"/>
        <v>216.49610895696415</v>
      </c>
      <c r="BI11" s="62">
        <f ca="1">AVERAGE(OFFSET($BH$3,0,0,'Données projet'!$E$11+1,1))-AVERAGE(OFFSET($H$3,0,0,'Données projet'!$E$11+1,1))</f>
        <v>389.67854939311752</v>
      </c>
      <c r="BJ11" s="62">
        <f t="shared" si="38"/>
        <v>420.05189970516096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5.5190909090909095</v>
      </c>
      <c r="BY11" s="13">
        <f>IF('Données projet'!$A$114&gt;35,BY10+BX11-CG10,IF(A11&lt;'Données projet'!$A$114,$BV$205^A11,IF(A11='Données projet'!$A$114,'Données projet'!$B$114,BY10+BX11-CG10)))</f>
        <v>5.7269543254204907</v>
      </c>
      <c r="BZ11" s="14">
        <f>BY11*VLOOKUP('Données projet'!$B$12,Paramètres!$A$1:$I$89,3,0)*VLOOKUP('Données projet'!$B$12,Paramètres!$A$1:$I$89,5,0)</f>
        <v>3.2758178741405208</v>
      </c>
      <c r="CA11" s="14">
        <f t="shared" si="39"/>
        <v>1.3148874929379564</v>
      </c>
      <c r="CB11" s="22">
        <f t="shared" si="10"/>
        <v>7.9954785143283473</v>
      </c>
      <c r="CC11" s="62">
        <f t="shared" si="11"/>
        <v>211.48389741197596</v>
      </c>
      <c r="CD11" s="62">
        <f ca="1">AVERAGE(OFFSET($CC$3,0,0,'Données projet'!$E$12+1,1))-AVERAGE(OFFSET($H$3,0,0,'Données projet'!$E$12+1,1))</f>
        <v>312.16891625633968</v>
      </c>
      <c r="CE11" s="62">
        <f t="shared" si="40"/>
        <v>215.34305815516177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2.7564102564102564</v>
      </c>
      <c r="CT11" s="13">
        <f>IF('Données projet'!$A$140&gt;35,CT10+CS11-DB10,IF(A11&lt;'Données projet'!$A$140,$CQ$205^A11,IF(A11='Données projet'!$A$140,'Données projet'!$B$140,CT10+CS11-DB10)))</f>
        <v>14.199566493943703</v>
      </c>
      <c r="CU11" s="18">
        <f>CT11*VLOOKUP('Données projet'!$B$13,Paramètres!$A$1:$I$89,3,0)*VLOOKUP('Données projet'!$B$13,Paramètres!$A$1:$I$89,5,0)</f>
        <v>9.5250692041374361</v>
      </c>
      <c r="CV11" s="14">
        <f t="shared" si="41"/>
        <v>3.3766026200453787</v>
      </c>
      <c r="CW11" s="22">
        <f t="shared" si="13"/>
        <v>22.470411760451736</v>
      </c>
      <c r="CX11" s="62">
        <f t="shared" si="14"/>
        <v>225.95883065809934</v>
      </c>
      <c r="CY11" s="62">
        <f ca="1">AVERAGE(OFFSET($CX$3,0,0,'Données projet'!$E$13+1,1))-AVERAGE(OFFSET($H$3,0,0,'Données projet'!$E$13+1,1))</f>
        <v>369.04754428478793</v>
      </c>
      <c r="CZ11" s="62">
        <f t="shared" si="42"/>
        <v>277.00523259351712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2.6666666666666665</v>
      </c>
      <c r="DO11" s="13">
        <f>IF('Données projet'!$A$166&gt;35,DO10+DN11-DW10,IF(A11&lt;'Données projet'!$A$166,$DL$205^A11,IF(A11='Données projet'!$A$166,'Données projet'!$B$166,DO10+DN11-DW10)))</f>
        <v>7.1520739352994367</v>
      </c>
      <c r="DP11" s="18">
        <f>DO11*VLOOKUP('Données projet'!$B$14,Paramètres!$A$1:$I$89,3,0)*VLOOKUP('Données projet'!$B$14,Paramètres!$A$1:$I$89,5,0)</f>
        <v>5.5786176695335605</v>
      </c>
      <c r="DQ11" s="14">
        <f t="shared" si="43"/>
        <v>2.1046649418345189</v>
      </c>
      <c r="DR11" s="22">
        <f t="shared" si="16"/>
        <v>13.381717214799407</v>
      </c>
      <c r="DS11" s="62">
        <f t="shared" si="17"/>
        <v>216.87013611244703</v>
      </c>
      <c r="DT11" s="62">
        <f ca="1">AVERAGE(OFFSET($DS$3,0,0,'Données projet'!$E$14+1,1))-AVERAGE(OFFSET($H$3,0,0,'Données projet'!$E$14+1,1))</f>
        <v>308.39181291575227</v>
      </c>
      <c r="DU11" s="62">
        <f t="shared" si="44"/>
        <v>298.58225298824334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2.1</v>
      </c>
      <c r="EJ11" s="13">
        <f>IF('Données projet'!$A$192&gt;35,EJ10+EI11-ER10,IF(A11&lt;'Données projet'!$A$192,$EG$205^A11,IF(A11='Données projet'!$A$192,'Données projet'!$B$192,EJ10+EI11-ER10)))</f>
        <v>4.4596391171162209</v>
      </c>
      <c r="EK11" s="18">
        <f>EJ11*VLOOKUP('Données projet'!$B$15,Paramètres!$A$1:$I$89,3,0)*VLOOKUP('Données projet'!$B$15,Paramètres!$A$1:$I$89,5,0)</f>
        <v>4.3133629540748091</v>
      </c>
      <c r="EL11" s="14">
        <f t="shared" si="45"/>
        <v>1.6767776864592203</v>
      </c>
      <c r="EM11" s="22">
        <f t="shared" si="19"/>
        <v>10.432828282263435</v>
      </c>
      <c r="EN11" s="62">
        <f t="shared" si="20"/>
        <v>213.92124717991106</v>
      </c>
      <c r="EO11" s="62">
        <f ca="1">AVERAGE(OFFSET($EN$3,0,0,'Données projet'!$E$15+1,1))-AVERAGE(OFFSET($H$3,0,0,'Données projet'!$E$15+1,1))</f>
        <v>487.76433095707876</v>
      </c>
      <c r="EP11" s="62">
        <f t="shared" si="46"/>
        <v>276.24209151398361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2.1</v>
      </c>
      <c r="FE11" s="13">
        <f>IF('Données projet'!$A$218&gt;35,FE10+FD11-FM10,IF(A11&lt;'Données projet'!$A$218,$FB$205^A11,IF(A11='Données projet'!$A$218,'Données projet'!$B$218,FE10+FD11-FM10)))</f>
        <v>4.4596391171162209</v>
      </c>
      <c r="FF11" s="18">
        <f>FE11*VLOOKUP('Données projet'!$B$16,Paramètres!$A$1:$I$89,3,0)*VLOOKUP('Données projet'!$B$16,Paramètres!$A$1:$I$89,5,0)</f>
        <v>4.8003555456638995</v>
      </c>
      <c r="FG11" s="14">
        <f t="shared" si="47"/>
        <v>1.8429996203200378</v>
      </c>
      <c r="FH11" s="22">
        <f t="shared" si="22"/>
        <v>11.570510247422023</v>
      </c>
      <c r="FI11" s="62">
        <f t="shared" si="23"/>
        <v>215.05892914506964</v>
      </c>
      <c r="FJ11" s="62">
        <f ca="1">AVERAGE(OFFSET($FI$3,0,0,'Données projet'!$E$16+1,1))-AVERAGE(OFFSET($H$3,0,0,'Données projet'!$E$16+1,1))</f>
        <v>534.33392288300456</v>
      </c>
      <c r="FK11" s="62">
        <f t="shared" si="48"/>
        <v>300.93109615735477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2.7777777777777777</v>
      </c>
      <c r="FZ11" s="13">
        <f>IF('Données projet'!$A$244&gt;35,FZ10+FY11-GH10,IF(A11&lt;'Données projet'!$A$244,$FW$205^A11,IF(A11='Données projet'!$A$244,'Données projet'!$B$244,FZ10+FY11-GH10)))</f>
        <v>7.3094944006963711</v>
      </c>
      <c r="GA11" s="18">
        <f>FZ11*VLOOKUP('Données projet'!$B$17,Paramètres!$A$1:$I$89,3,0)*VLOOKUP('Données projet'!$B$17,Paramètres!$A$1:$I$89,5,0)</f>
        <v>4.9032088439871258</v>
      </c>
      <c r="GB11" s="14">
        <f t="shared" si="49"/>
        <v>1.8778484454596058</v>
      </c>
      <c r="GC11" s="22">
        <f t="shared" si="25"/>
        <v>11.810341445786392</v>
      </c>
      <c r="GD11" s="62">
        <f t="shared" si="26"/>
        <v>215.29876034343403</v>
      </c>
      <c r="GE11" s="62">
        <f ca="1">AVERAGE(OFFSET($GD$3,0,0,'Données projet'!$E$17+1,1))-AVERAGE(OFFSET($H$3,0,0,'Données projet'!$E$17+1,1))</f>
        <v>316.17772895535211</v>
      </c>
      <c r="GF11" s="62">
        <f t="shared" si="50"/>
        <v>251.94445589652992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52.83017485087359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3.95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14.483333333333334</v>
      </c>
      <c r="H12" s="70">
        <f t="shared" si="1"/>
        <v>198.73333333333335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3.65</v>
      </c>
      <c r="N12" s="14">
        <f>IF('Données projet'!$A$36&gt;35,N11+M12-V11,IF(A12&lt;'Données projet'!$A$36,$K$205^A12,IF(A12='Données projet'!$A$36,'Données projet'!$B$36,N11+M12-V11)))</f>
        <v>6.8943811137639424</v>
      </c>
      <c r="O12" s="14">
        <f>N12*VLOOKUP('Données projet'!$B$9,Paramètres!$A$1:$I$89,3,0)*VLOOKUP('Données projet'!$B$9,Paramètres!$A$1:$I$89,5,0)</f>
        <v>5.8078266502347455</v>
      </c>
      <c r="P12" s="14">
        <f t="shared" si="33"/>
        <v>2.1808938198181922</v>
      </c>
      <c r="Q12" s="22">
        <f t="shared" si="2"/>
        <v>13.913688152008866</v>
      </c>
      <c r="R12" s="62">
        <f t="shared" si="0"/>
        <v>219.71647556652817</v>
      </c>
      <c r="S12" s="62">
        <f ca="1">AVERAGE(OFFSET($R$3,0,0,'Données projet'!$E$9+1,1))-AVERAGE(OFFSET($H$3,0,0,'Données projet'!$E$9+1,1))</f>
        <v>508.93703669150443</v>
      </c>
      <c r="T12" s="62">
        <f t="shared" si="34"/>
        <v>277.04920840696707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2.1</v>
      </c>
      <c r="AI12" s="14">
        <f>IF('Données projet'!$A$62&gt;35,AI11+AH12-AQ11,IF(A12&lt;'Données projet'!$A$62,$AF$205^A12,IF(A12='Données projet'!$A$62,'Données projet'!$B$62,AI11+AH12-AQ11)))</f>
        <v>5.3760361537574148</v>
      </c>
      <c r="AJ12" s="14">
        <f>AI12*VLOOKUP('Données projet'!$B$10,Paramètres!$A$1:$I$89,3,0)*VLOOKUP('Données projet'!$B$10,Paramètres!$A$1:$I$89,5,0)</f>
        <v>4.8642375119197085</v>
      </c>
      <c r="AK12" s="14">
        <f t="shared" si="35"/>
        <v>1.8646542609995393</v>
      </c>
      <c r="AL12" s="22">
        <f t="shared" si="4"/>
        <v>11.719486504501022</v>
      </c>
      <c r="AM12" s="62">
        <f t="shared" si="5"/>
        <v>217.52227391902034</v>
      </c>
      <c r="AN12" s="62">
        <f ca="1">AVERAGE(OFFSET($AM$3,0,0,'Données projet'!$E$10+1,1))-AVERAGE(OFFSET($H$3,0,0,'Données projet'!$E$10+1,1))</f>
        <v>461.10503306101145</v>
      </c>
      <c r="AO12" s="62">
        <f t="shared" si="36"/>
        <v>262.10652147273288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1.1000000000000001</v>
      </c>
      <c r="BD12" s="13">
        <f>IF('Données projet'!$A$88&gt;35,BD11+BC12-BL11,IF(A12&lt;'Données projet'!$A$88,$BA$205^A12,IF(A12='Données projet'!$A$88,'Données projet'!$B$88,BD11+BC12-BL11)))</f>
        <v>8.6547278641645029</v>
      </c>
      <c r="BE12" s="14">
        <f>BD12*VLOOKUP('Données projet'!$B$11,Paramètres!$A$1:$I$89,3,0)*VLOOKUP('Données projet'!$B$11,Paramètres!$A$1:$I$89,5,0)</f>
        <v>6.8857014887292793</v>
      </c>
      <c r="BF12" s="14">
        <f t="shared" si="37"/>
        <v>2.5349131627802968</v>
      </c>
      <c r="BG12" s="22">
        <f t="shared" si="7"/>
        <v>16.407570518045844</v>
      </c>
      <c r="BH12" s="62">
        <f t="shared" si="8"/>
        <v>222.21035793256516</v>
      </c>
      <c r="BI12" s="62">
        <f ca="1">AVERAGE(OFFSET($BH$3,0,0,'Données projet'!$E$11+1,1))-AVERAGE(OFFSET($H$3,0,0,'Données projet'!$E$11+1,1))</f>
        <v>389.67854939311752</v>
      </c>
      <c r="BJ12" s="62">
        <f t="shared" si="38"/>
        <v>420.05189970516096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5.5190909090909095</v>
      </c>
      <c r="BY12" s="13">
        <f>IF('Données projet'!$A$114&gt;35,BY11+BX12-CG11,IF(A12&lt;'Données projet'!$A$114,$BV$205^A12,IF(A12='Données projet'!$A$114,'Données projet'!$B$114,BY11+BX12-CG11)))</f>
        <v>7.1230203385911972</v>
      </c>
      <c r="BZ12" s="14">
        <f>BY12*VLOOKUP('Données projet'!$B$12,Paramètres!$A$1:$I$89,3,0)*VLOOKUP('Données projet'!$B$12,Paramètres!$A$1:$I$89,5,0)</f>
        <v>4.0743676336741652</v>
      </c>
      <c r="CA12" s="14">
        <f t="shared" si="39"/>
        <v>1.5944146246630417</v>
      </c>
      <c r="CB12" s="22">
        <f t="shared" si="10"/>
        <v>9.8731290999373016</v>
      </c>
      <c r="CC12" s="62">
        <f t="shared" si="11"/>
        <v>215.67591651445662</v>
      </c>
      <c r="CD12" s="62">
        <f ca="1">AVERAGE(OFFSET($CC$3,0,0,'Données projet'!$E$12+1,1))-AVERAGE(OFFSET($H$3,0,0,'Données projet'!$E$12+1,1))</f>
        <v>312.16891625633968</v>
      </c>
      <c r="CE12" s="62">
        <f t="shared" si="40"/>
        <v>215.34305815516177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2.7564102564102564</v>
      </c>
      <c r="CT12" s="13">
        <f>IF('Données projet'!$A$140&gt;35,CT11+CS12-DB11,IF(A12&lt;'Données projet'!$A$140,$CQ$205^A12,IF(A12='Données projet'!$A$140,'Données projet'!$B$140,CT11+CS12-DB11)))</f>
        <v>19.783789000210724</v>
      </c>
      <c r="CU12" s="18">
        <f>CT12*VLOOKUP('Données projet'!$B$13,Paramètres!$A$1:$I$89,3,0)*VLOOKUP('Données projet'!$B$13,Paramètres!$A$1:$I$89,5,0)</f>
        <v>13.270965661341354</v>
      </c>
      <c r="CV12" s="14">
        <f t="shared" si="41"/>
        <v>4.526356290999562</v>
      </c>
      <c r="CW12" s="22">
        <f t="shared" si="13"/>
        <v>30.997002400327091</v>
      </c>
      <c r="CX12" s="62">
        <f t="shared" si="14"/>
        <v>236.79978981484641</v>
      </c>
      <c r="CY12" s="62">
        <f ca="1">AVERAGE(OFFSET($CX$3,0,0,'Données projet'!$E$13+1,1))-AVERAGE(OFFSET($H$3,0,0,'Données projet'!$E$13+1,1))</f>
        <v>369.04754428478793</v>
      </c>
      <c r="CZ12" s="62">
        <f t="shared" si="42"/>
        <v>277.00523259351712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2.6666666666666665</v>
      </c>
      <c r="DO12" s="13">
        <f>IF('Données projet'!$A$166&gt;35,DO11+DN12-DW11,IF(A12&lt;'Données projet'!$A$166,$DL$205^A12,IF(A12='Données projet'!$A$166,'Données projet'!$B$166,DO11+DN12-DW11)))</f>
        <v>9.1461010385465205</v>
      </c>
      <c r="DP12" s="18">
        <f>DO12*VLOOKUP('Données projet'!$B$14,Paramètres!$A$1:$I$89,3,0)*VLOOKUP('Données projet'!$B$14,Paramètres!$A$1:$I$89,5,0)</f>
        <v>7.1339588100662858</v>
      </c>
      <c r="DQ12" s="14">
        <f t="shared" si="43"/>
        <v>2.6155015444227643</v>
      </c>
      <c r="DR12" s="22">
        <f t="shared" si="16"/>
        <v>16.980310117401761</v>
      </c>
      <c r="DS12" s="62">
        <f t="shared" si="17"/>
        <v>222.78309753192107</v>
      </c>
      <c r="DT12" s="62">
        <f ca="1">AVERAGE(OFFSET($DS$3,0,0,'Données projet'!$E$14+1,1))-AVERAGE(OFFSET($H$3,0,0,'Données projet'!$E$14+1,1))</f>
        <v>308.39181291575227</v>
      </c>
      <c r="DU12" s="62">
        <f t="shared" si="44"/>
        <v>298.58225298824334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2.1</v>
      </c>
      <c r="EJ12" s="13">
        <f>IF('Données projet'!$A$192&gt;35,EJ11+EI12-ER11,IF(A12&lt;'Données projet'!$A$192,$EG$205^A12,IF(A12='Données projet'!$A$192,'Données projet'!$B$192,EJ11+EI12-ER11)))</f>
        <v>5.3760361537574148</v>
      </c>
      <c r="EK12" s="18">
        <f>EJ12*VLOOKUP('Données projet'!$B$15,Paramètres!$A$1:$I$89,3,0)*VLOOKUP('Données projet'!$B$15,Paramètres!$A$1:$I$89,5,0)</f>
        <v>5.1997021679141717</v>
      </c>
      <c r="EL12" s="14">
        <f t="shared" si="45"/>
        <v>1.977837649208241</v>
      </c>
      <c r="EM12" s="22">
        <f t="shared" si="19"/>
        <v>12.500881848154869</v>
      </c>
      <c r="EN12" s="62">
        <f t="shared" si="20"/>
        <v>218.30366926267419</v>
      </c>
      <c r="EO12" s="62">
        <f ca="1">AVERAGE(OFFSET($EN$3,0,0,'Données projet'!$E$15+1,1))-AVERAGE(OFFSET($H$3,0,0,'Données projet'!$E$15+1,1))</f>
        <v>487.76433095707876</v>
      </c>
      <c r="EP12" s="62">
        <f t="shared" si="46"/>
        <v>276.24209151398361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2.1</v>
      </c>
      <c r="FE12" s="13">
        <f>IF('Données projet'!$A$218&gt;35,FE11+FD12-FM11,IF(A12&lt;'Données projet'!$A$218,$FB$205^A12,IF(A12='Données projet'!$A$218,'Données projet'!$B$218,FE11+FD12-FM11)))</f>
        <v>5.3760361537574148</v>
      </c>
      <c r="FF12" s="18">
        <f>FE12*VLOOKUP('Données projet'!$B$16,Paramètres!$A$1:$I$89,3,0)*VLOOKUP('Données projet'!$B$16,Paramètres!$A$1:$I$89,5,0)</f>
        <v>5.7867653159044812</v>
      </c>
      <c r="FG12" s="14">
        <f t="shared" si="47"/>
        <v>2.1739041889582755</v>
      </c>
      <c r="FH12" s="22">
        <f t="shared" si="22"/>
        <v>13.864832720969302</v>
      </c>
      <c r="FI12" s="62">
        <f t="shared" si="23"/>
        <v>219.66762013548862</v>
      </c>
      <c r="FJ12" s="62">
        <f ca="1">AVERAGE(OFFSET($FI$3,0,0,'Données projet'!$E$16+1,1))-AVERAGE(OFFSET($H$3,0,0,'Données projet'!$E$16+1,1))</f>
        <v>534.33392288300456</v>
      </c>
      <c r="FK12" s="62">
        <f t="shared" si="48"/>
        <v>300.93109615735477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2.7777777777777777</v>
      </c>
      <c r="FZ12" s="13">
        <f>IF('Données projet'!$A$244&gt;35,FZ11+FY12-GH11,IF(A12&lt;'Données projet'!$A$244,$FW$205^A12,IF(A12='Données projet'!$A$244,'Données projet'!$B$244,FZ11+FY12-GH11)))</f>
        <v>9.3728842761841236</v>
      </c>
      <c r="GA12" s="18">
        <f>FZ12*VLOOKUP('Données projet'!$B$17,Paramètres!$A$1:$I$89,3,0)*VLOOKUP('Données projet'!$B$17,Paramètres!$A$1:$I$89,5,0)</f>
        <v>6.2873307724643102</v>
      </c>
      <c r="GB12" s="14">
        <f t="shared" si="49"/>
        <v>2.3392513857449408</v>
      </c>
      <c r="GC12" s="22">
        <f t="shared" si="25"/>
        <v>15.024630592214445</v>
      </c>
      <c r="GD12" s="62">
        <f t="shared" si="26"/>
        <v>220.82741800673375</v>
      </c>
      <c r="GE12" s="62">
        <f ca="1">AVERAGE(OFFSET($GD$3,0,0,'Données projet'!$E$17+1,1))-AVERAGE(OFFSET($H$3,0,0,'Données projet'!$E$17+1,1))</f>
        <v>316.17772895535211</v>
      </c>
      <c r="GF12" s="62">
        <f t="shared" si="50"/>
        <v>251.94445589652992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53.128032931232539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3.95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14.483333333333334</v>
      </c>
      <c r="H13" s="70">
        <f t="shared" si="1"/>
        <v>198.73333333333335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3.65</v>
      </c>
      <c r="N13" s="14">
        <f>IF('Données projet'!$A$36&gt;35,N12+M13-V12,IF(A13&lt;'Données projet'!$A$36,$K$205^A13,IF(A13='Données projet'!$A$36,'Données projet'!$B$36,N12+M13-V12)))</f>
        <v>8.5440037453175322</v>
      </c>
      <c r="O13" s="14">
        <f>N13*VLOOKUP('Données projet'!$B$9,Paramètres!$A$1:$I$89,3,0)*VLOOKUP('Données projet'!$B$9,Paramètres!$A$1:$I$89,5,0)</f>
        <v>7.1974687550554899</v>
      </c>
      <c r="P13" s="14">
        <f t="shared" si="33"/>
        <v>2.6360650660630816</v>
      </c>
      <c r="Q13" s="22">
        <f t="shared" si="2"/>
        <v>17.126738071781514</v>
      </c>
      <c r="R13" s="62">
        <f t="shared" si="0"/>
        <v>225.22494770663369</v>
      </c>
      <c r="S13" s="62">
        <f ca="1">AVERAGE(OFFSET($R$3,0,0,'Données projet'!$E$9+1,1))-AVERAGE(OFFSET($H$3,0,0,'Données projet'!$E$9+1,1))</f>
        <v>508.93703669150443</v>
      </c>
      <c r="T13" s="62">
        <f t="shared" si="34"/>
        <v>277.04920840696707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2.1</v>
      </c>
      <c r="AI13" s="14">
        <f>IF('Données projet'!$A$62&gt;35,AI12+AH13-AQ12,IF(A13&lt;'Données projet'!$A$62,$AF$205^A13,IF(A13='Données projet'!$A$62,'Données projet'!$B$62,AI12+AH13-AQ12)))</f>
        <v>6.4807406984078657</v>
      </c>
      <c r="AJ13" s="14">
        <f>AI13*VLOOKUP('Données projet'!$B$10,Paramètres!$A$1:$I$89,3,0)*VLOOKUP('Données projet'!$B$10,Paramètres!$A$1:$I$89,5,0)</f>
        <v>5.8637741839194364</v>
      </c>
      <c r="AK13" s="14">
        <f t="shared" si="35"/>
        <v>2.1994468497187687</v>
      </c>
      <c r="AL13" s="22">
        <f t="shared" si="4"/>
        <v>14.043443300253207</v>
      </c>
      <c r="AM13" s="62">
        <f t="shared" si="5"/>
        <v>222.14165293510538</v>
      </c>
      <c r="AN13" s="62">
        <f ca="1">AVERAGE(OFFSET($AM$3,0,0,'Données projet'!$E$10+1,1))-AVERAGE(OFFSET($H$3,0,0,'Données projet'!$E$10+1,1))</f>
        <v>461.10503306101145</v>
      </c>
      <c r="AO13" s="62">
        <f t="shared" si="36"/>
        <v>262.10652147273288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>
        <f>VLOOKUP(A13,'Données projet'!$A$87:$I$107,2,0)</f>
        <v>11</v>
      </c>
      <c r="BB13" s="13">
        <f>VLOOKUP(A13,'Données projet'!$A$87:$I$107,9,0)</f>
        <v>1.1000000000000001</v>
      </c>
      <c r="BC13" s="13">
        <f t="array" ref="BC13">INDEX(BB:BB,MIN(IF(ISNUMBER(BB13:BB209),ROW(BB13:BB209),"")))</f>
        <v>1.1000000000000001</v>
      </c>
      <c r="BD13" s="13">
        <f>IF('Données projet'!$A$88&gt;35,BD12+BC13-BL12,IF(A13&lt;'Données projet'!$A$88,$BA$205^A13,IF(A13='Données projet'!$A$88,'Données projet'!$B$88,BD12+BC13-BL12)))</f>
        <v>11</v>
      </c>
      <c r="BE13" s="14">
        <f>BD13*VLOOKUP('Données projet'!$B$11,Paramètres!$A$1:$I$89,3,0)*VLOOKUP('Données projet'!$B$11,Paramètres!$A$1:$I$89,5,0)</f>
        <v>8.7516000000000016</v>
      </c>
      <c r="BF13" s="14">
        <f t="shared" si="37"/>
        <v>3.1331453604025001</v>
      </c>
      <c r="BG13" s="22">
        <f t="shared" si="7"/>
        <v>20.699264836034356</v>
      </c>
      <c r="BH13" s="62">
        <f t="shared" si="8"/>
        <v>228.79747447088653</v>
      </c>
      <c r="BI13" s="62">
        <f ca="1">AVERAGE(OFFSET($BH$3,0,0,'Données projet'!$E$11+1,1))-AVERAGE(OFFSET($H$3,0,0,'Données projet'!$E$11+1,1))</f>
        <v>389.67854939311752</v>
      </c>
      <c r="BJ13" s="62">
        <f t="shared" si="38"/>
        <v>420.05189970516096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5.5190909090909095</v>
      </c>
      <c r="BY13" s="13">
        <f>IF('Données projet'!$A$114&gt;35,BY12+BX13-CG12,IF(A13&lt;'Données projet'!$A$114,$BV$205^A13,IF(A13='Données projet'!$A$114,'Données projet'!$B$114,BY12+BX13-CG12)))</f>
        <v>8.8594069135095737</v>
      </c>
      <c r="BZ13" s="14">
        <f>BY13*VLOOKUP('Données projet'!$B$12,Paramètres!$A$1:$I$89,3,0)*VLOOKUP('Données projet'!$B$12,Paramètres!$A$1:$I$89,5,0)</f>
        <v>5.0675807545274765</v>
      </c>
      <c r="CA13" s="14">
        <f t="shared" si="39"/>
        <v>1.9333654088223506</v>
      </c>
      <c r="CB13" s="22">
        <f t="shared" si="10"/>
        <v>12.19331456783428</v>
      </c>
      <c r="CC13" s="62">
        <f t="shared" si="11"/>
        <v>220.29152420268645</v>
      </c>
      <c r="CD13" s="62">
        <f ca="1">AVERAGE(OFFSET($CC$3,0,0,'Données projet'!$E$12+1,1))-AVERAGE(OFFSET($H$3,0,0,'Données projet'!$E$12+1,1))</f>
        <v>312.16891625633968</v>
      </c>
      <c r="CE13" s="62">
        <f t="shared" si="40"/>
        <v>215.34305815516177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>
        <f>VLOOKUP(A13,'Données projet'!$A$139:$I$159,2,0)</f>
        <v>27.564102564102562</v>
      </c>
      <c r="CR13" s="13">
        <f>VLOOKUP(A13,'Données projet'!$A$139:$I$159,9,0)</f>
        <v>2.7564102564102564</v>
      </c>
      <c r="CS13" s="13">
        <f t="array" ref="CS13">INDEX(CR:CR,MIN(IF(ISNUMBER(CR13:CR209),ROW(CR13:CR209),"")))</f>
        <v>2.7564102564102564</v>
      </c>
      <c r="CT13" s="13">
        <f>IF('Données projet'!$A$140&gt;35,CT12+CS13-DB12,IF(A13&lt;'Données projet'!$A$140,$CQ$205^A13,IF(A13='Données projet'!$A$140,'Données projet'!$B$140,CT12+CS13-DB12)))</f>
        <v>27.564102564102562</v>
      </c>
      <c r="CU13" s="18">
        <f>CT13*VLOOKUP('Données projet'!$B$13,Paramètres!$A$1:$I$89,3,0)*VLOOKUP('Données projet'!$B$13,Paramètres!$A$1:$I$89,5,0)</f>
        <v>18.489999999999998</v>
      </c>
      <c r="CV13" s="14">
        <f t="shared" si="41"/>
        <v>6.0676080600790234</v>
      </c>
      <c r="CW13" s="22">
        <f t="shared" si="13"/>
        <v>42.771167371304301</v>
      </c>
      <c r="CX13" s="62">
        <f t="shared" si="14"/>
        <v>250.86937700615647</v>
      </c>
      <c r="CY13" s="62">
        <f ca="1">AVERAGE(OFFSET($CX$3,0,0,'Données projet'!$E$13+1,1))-AVERAGE(OFFSET($H$3,0,0,'Données projet'!$E$13+1,1))</f>
        <v>369.04754428478793</v>
      </c>
      <c r="CZ13" s="62">
        <f t="shared" si="42"/>
        <v>277.00523259351712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2.6666666666666665</v>
      </c>
      <c r="DO13" s="13">
        <f>IF('Données projet'!$A$166&gt;35,DO12+DN13-DW12,IF(A13&lt;'Données projet'!$A$166,$DL$205^A13,IF(A13='Données projet'!$A$166,'Données projet'!$B$166,DO12+DN13-DW12)))</f>
        <v>11.696070952851455</v>
      </c>
      <c r="DP13" s="18">
        <f>DO13*VLOOKUP('Données projet'!$B$14,Paramètres!$A$1:$I$89,3,0)*VLOOKUP('Données projet'!$B$14,Paramètres!$A$1:$I$89,5,0)</f>
        <v>9.1229353432241354</v>
      </c>
      <c r="DQ13" s="14">
        <f t="shared" si="43"/>
        <v>3.2503265450485803</v>
      </c>
      <c r="DR13" s="22">
        <f t="shared" si="16"/>
        <v>21.550097788741649</v>
      </c>
      <c r="DS13" s="62">
        <f t="shared" si="17"/>
        <v>229.64830742359382</v>
      </c>
      <c r="DT13" s="62">
        <f ca="1">AVERAGE(OFFSET($DS$3,0,0,'Données projet'!$E$14+1,1))-AVERAGE(OFFSET($H$3,0,0,'Données projet'!$E$14+1,1))</f>
        <v>308.39181291575227</v>
      </c>
      <c r="DU13" s="62">
        <f t="shared" si="44"/>
        <v>298.58225298824334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2.1</v>
      </c>
      <c r="EJ13" s="13">
        <f>IF('Données projet'!$A$192&gt;35,EJ12+EI13-ER12,IF(A13&lt;'Données projet'!$A$192,$EG$205^A13,IF(A13='Données projet'!$A$192,'Données projet'!$B$192,EJ12+EI13-ER12)))</f>
        <v>6.4807406984078657</v>
      </c>
      <c r="EK13" s="18">
        <f>EJ13*VLOOKUP('Données projet'!$B$15,Paramètres!$A$1:$I$89,3,0)*VLOOKUP('Données projet'!$B$15,Paramètres!$A$1:$I$89,5,0)</f>
        <v>6.2681724035000874</v>
      </c>
      <c r="EL13" s="14">
        <f t="shared" si="45"/>
        <v>2.3329519459947301</v>
      </c>
      <c r="EM13" s="22">
        <f t="shared" si="19"/>
        <v>14.98029157537014</v>
      </c>
      <c r="EN13" s="62">
        <f t="shared" si="20"/>
        <v>223.0785012102223</v>
      </c>
      <c r="EO13" s="62">
        <f ca="1">AVERAGE(OFFSET($EN$3,0,0,'Données projet'!$E$15+1,1))-AVERAGE(OFFSET($H$3,0,0,'Données projet'!$E$15+1,1))</f>
        <v>487.76433095707876</v>
      </c>
      <c r="EP13" s="62">
        <f t="shared" si="46"/>
        <v>276.24209151398361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2.1</v>
      </c>
      <c r="FE13" s="13">
        <f>IF('Données projet'!$A$218&gt;35,FE12+FD13-FM12,IF(A13&lt;'Données projet'!$A$218,$FB$205^A13,IF(A13='Données projet'!$A$218,'Données projet'!$B$218,FE12+FD13-FM12)))</f>
        <v>6.4807406984078657</v>
      </c>
      <c r="FF13" s="18">
        <f>FE13*VLOOKUP('Données projet'!$B$16,Paramètres!$A$1:$I$89,3,0)*VLOOKUP('Données projet'!$B$16,Paramètres!$A$1:$I$89,5,0)</f>
        <v>6.9758692877662263</v>
      </c>
      <c r="FG13" s="14">
        <f t="shared" si="47"/>
        <v>2.5642215932468222</v>
      </c>
      <c r="FH13" s="22">
        <f t="shared" si="22"/>
        <v>16.61565828443106</v>
      </c>
      <c r="FI13" s="62">
        <f t="shared" si="23"/>
        <v>224.71386791928322</v>
      </c>
      <c r="FJ13" s="62">
        <f ca="1">AVERAGE(OFFSET($FI$3,0,0,'Données projet'!$E$16+1,1))-AVERAGE(OFFSET($H$3,0,0,'Données projet'!$E$16+1,1))</f>
        <v>534.33392288300456</v>
      </c>
      <c r="FK13" s="62">
        <f t="shared" si="48"/>
        <v>300.93109615735477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2.7777777777777777</v>
      </c>
      <c r="FZ13" s="13">
        <f>IF('Données projet'!$A$244&gt;35,FZ12+FY13-GH12,IF(A13&lt;'Données projet'!$A$244,$FW$205^A13,IF(A13='Données projet'!$A$244,'Données projet'!$B$244,FZ12+FY13-GH12)))</f>
        <v>12.018746419228403</v>
      </c>
      <c r="GA13" s="18">
        <f>FZ13*VLOOKUP('Données projet'!$B$17,Paramètres!$A$1:$I$89,3,0)*VLOOKUP('Données projet'!$B$17,Paramètres!$A$1:$I$89,5,0)</f>
        <v>8.0621750980184128</v>
      </c>
      <c r="GB13" s="14">
        <f t="shared" si="49"/>
        <v>2.9140248559144633</v>
      </c>
      <c r="GC13" s="22">
        <f t="shared" si="25"/>
        <v>19.116881586433095</v>
      </c>
      <c r="GD13" s="62">
        <f t="shared" si="26"/>
        <v>227.21509122128526</v>
      </c>
      <c r="GE13" s="62">
        <f ca="1">AVERAGE(OFFSET($GD$3,0,0,'Données projet'!$E$17+1,1))-AVERAGE(OFFSET($H$3,0,0,'Données projet'!$E$17+1,1))</f>
        <v>316.17772895535211</v>
      </c>
      <c r="GF13" s="62">
        <f t="shared" si="50"/>
        <v>251.94445589652992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53.420723839808161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3.95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14.483333333333334</v>
      </c>
      <c r="H14" s="70">
        <f t="shared" si="1"/>
        <v>198.73333333333335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3.65</v>
      </c>
      <c r="N14" s="14">
        <f>IF('Données projet'!$A$36&gt;35,N13+M14-V13,IF(A14&lt;'Données projet'!$A$36,$K$205^A14,IF(A14='Données projet'!$A$36,'Données projet'!$B$36,N13+M14-V13)))</f>
        <v>10.588332555950936</v>
      </c>
      <c r="O14" s="14">
        <f>N14*VLOOKUP('Données projet'!$B$9,Paramètres!$A$1:$I$89,3,0)*VLOOKUP('Données projet'!$B$9,Paramètres!$A$1:$I$89,5,0)</f>
        <v>8.9196113451330703</v>
      </c>
      <c r="P14" s="14">
        <f t="shared" si="33"/>
        <v>3.186234455512118</v>
      </c>
      <c r="Q14" s="22">
        <f t="shared" si="2"/>
        <v>21.084348102790369</v>
      </c>
      <c r="R14" s="62">
        <f t="shared" si="0"/>
        <v>231.45936233732385</v>
      </c>
      <c r="S14" s="62">
        <f ca="1">AVERAGE(OFFSET($R$3,0,0,'Données projet'!$E$9+1,1))-AVERAGE(OFFSET($H$3,0,0,'Données projet'!$E$9+1,1))</f>
        <v>508.93703669150443</v>
      </c>
      <c r="T14" s="62">
        <f t="shared" si="34"/>
        <v>277.04920840696707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2.1</v>
      </c>
      <c r="AI14" s="14">
        <f>IF('Données projet'!$A$62&gt;35,AI13+AH14-AQ13,IF(A14&lt;'Données projet'!$A$62,$AF$205^A14,IF(A14='Données projet'!$A$62,'Données projet'!$B$62,AI13+AH14-AQ13)))</f>
        <v>7.8124474610620815</v>
      </c>
      <c r="AJ14" s="14">
        <f>AI14*VLOOKUP('Données projet'!$B$10,Paramètres!$A$1:$I$89,3,0)*VLOOKUP('Données projet'!$B$10,Paramètres!$A$1:$I$89,5,0)</f>
        <v>7.0687024627689707</v>
      </c>
      <c r="AK14" s="14">
        <f t="shared" si="35"/>
        <v>2.5943503554083325</v>
      </c>
      <c r="AL14" s="22">
        <f t="shared" si="4"/>
        <v>16.829816991658799</v>
      </c>
      <c r="AM14" s="62">
        <f t="shared" si="5"/>
        <v>227.20483122619228</v>
      </c>
      <c r="AN14" s="62">
        <f ca="1">AVERAGE(OFFSET($AM$3,0,0,'Données projet'!$E$10+1,1))-AVERAGE(OFFSET($H$3,0,0,'Données projet'!$E$10+1,1))</f>
        <v>461.10503306101145</v>
      </c>
      <c r="AO14" s="62">
        <f t="shared" si="36"/>
        <v>262.10652147273288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10.8</v>
      </c>
      <c r="BD14" s="13">
        <f>IF('Données projet'!$A$88&gt;35,BD13+BC14-BL13,IF(A14&lt;'Données projet'!$A$88,$BA$205^A14,IF(A14='Données projet'!$A$88,'Données projet'!$B$88,BD13+BC14-BL13)))</f>
        <v>21.8</v>
      </c>
      <c r="BE14" s="14">
        <f>BD14*VLOOKUP('Données projet'!$B$11,Paramètres!$A$1:$I$89,3,0)*VLOOKUP('Données projet'!$B$11,Paramètres!$A$1:$I$89,5,0)</f>
        <v>17.344080000000002</v>
      </c>
      <c r="BF14" s="14">
        <f t="shared" si="37"/>
        <v>5.7341113912136308</v>
      </c>
      <c r="BG14" s="22">
        <f t="shared" si="7"/>
        <v>40.194516673030414</v>
      </c>
      <c r="BH14" s="62">
        <f t="shared" si="8"/>
        <v>250.56953090756392</v>
      </c>
      <c r="BI14" s="62">
        <f ca="1">AVERAGE(OFFSET($BH$3,0,0,'Données projet'!$E$11+1,1))-AVERAGE(OFFSET($H$3,0,0,'Données projet'!$E$11+1,1))</f>
        <v>389.67854939311752</v>
      </c>
      <c r="BJ14" s="62">
        <f t="shared" si="38"/>
        <v>420.05189970516096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5.5190909090909095</v>
      </c>
      <c r="BY14" s="13">
        <f>IF('Données projet'!$A$114&gt;35,BY13+BX14-CG13,IF(A14&lt;'Données projet'!$A$114,$BV$205^A14,IF(A14='Données projet'!$A$114,'Données projet'!$B$114,BY13+BX14-CG13)))</f>
        <v>11.019074371289097</v>
      </c>
      <c r="BZ14" s="14">
        <f>BY14*VLOOKUP('Données projet'!$B$12,Paramètres!$A$1:$I$89,3,0)*VLOOKUP('Données projet'!$B$12,Paramètres!$A$1:$I$89,5,0)</f>
        <v>6.302910540377364</v>
      </c>
      <c r="CA14" s="14">
        <f t="shared" si="39"/>
        <v>2.3443725027426736</v>
      </c>
      <c r="CB14" s="22">
        <f t="shared" si="10"/>
        <v>15.060684633434063</v>
      </c>
      <c r="CC14" s="62">
        <f t="shared" si="11"/>
        <v>225.43569886796755</v>
      </c>
      <c r="CD14" s="62">
        <f ca="1">AVERAGE(OFFSET($CC$3,0,0,'Données projet'!$E$12+1,1))-AVERAGE(OFFSET($H$3,0,0,'Données projet'!$E$12+1,1))</f>
        <v>312.16891625633968</v>
      </c>
      <c r="CE14" s="62">
        <f t="shared" si="40"/>
        <v>215.34305815516177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8.2051282051282062</v>
      </c>
      <c r="CT14" s="13">
        <f>IF('Données projet'!$A$140&gt;35,CT13+CS14-DB13,IF(A14&lt;'Données projet'!$A$140,$CQ$205^A14,IF(A14='Données projet'!$A$140,'Données projet'!$B$140,CT13+CS14-DB13)))</f>
        <v>35.769230769230766</v>
      </c>
      <c r="CU14" s="18">
        <f>CT14*VLOOKUP('Données projet'!$B$13,Paramètres!$A$1:$I$89,3,0)*VLOOKUP('Données projet'!$B$13,Paramètres!$A$1:$I$89,5,0)</f>
        <v>23.993999999999996</v>
      </c>
      <c r="CV14" s="14">
        <f t="shared" si="41"/>
        <v>7.6385472676020845</v>
      </c>
      <c r="CW14" s="22">
        <f t="shared" si="13"/>
        <v>55.093353157740296</v>
      </c>
      <c r="CX14" s="62">
        <f t="shared" si="14"/>
        <v>265.46836739227376</v>
      </c>
      <c r="CY14" s="62">
        <f ca="1">AVERAGE(OFFSET($CX$3,0,0,'Données projet'!$E$13+1,1))-AVERAGE(OFFSET($H$3,0,0,'Données projet'!$E$13+1,1))</f>
        <v>369.04754428478793</v>
      </c>
      <c r="CZ14" s="62">
        <f t="shared" si="42"/>
        <v>277.00523259351712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2.6666666666666665</v>
      </c>
      <c r="DO14" s="13">
        <f>IF('Données projet'!$A$166&gt;35,DO13+DN14-DW13,IF(A14&lt;'Données projet'!$A$166,$DL$205^A14,IF(A14='Données projet'!$A$166,'Données projet'!$B$166,DO13+DN14-DW13)))</f>
        <v>14.956982779612416</v>
      </c>
      <c r="DP14" s="18">
        <f>DO14*VLOOKUP('Données projet'!$B$14,Paramètres!$A$1:$I$89,3,0)*VLOOKUP('Données projet'!$B$14,Paramètres!$A$1:$I$89,5,0)</f>
        <v>11.666446568097685</v>
      </c>
      <c r="DQ14" s="14">
        <f t="shared" si="43"/>
        <v>4.0392339557111736</v>
      </c>
      <c r="DR14" s="22">
        <f t="shared" si="16"/>
        <v>27.354060245633761</v>
      </c>
      <c r="DS14" s="62">
        <f t="shared" si="17"/>
        <v>237.72907448016724</v>
      </c>
      <c r="DT14" s="62">
        <f ca="1">AVERAGE(OFFSET($DS$3,0,0,'Données projet'!$E$14+1,1))-AVERAGE(OFFSET($H$3,0,0,'Données projet'!$E$14+1,1))</f>
        <v>308.39181291575227</v>
      </c>
      <c r="DU14" s="62">
        <f t="shared" si="44"/>
        <v>298.58225298824334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2.1</v>
      </c>
      <c r="EJ14" s="13">
        <f>IF('Données projet'!$A$192&gt;35,EJ13+EI14-ER13,IF(A14&lt;'Données projet'!$A$192,$EG$205^A14,IF(A14='Données projet'!$A$192,'Données projet'!$B$192,EJ13+EI14-ER13)))</f>
        <v>7.8124474610620815</v>
      </c>
      <c r="EK14" s="18">
        <f>EJ14*VLOOKUP('Données projet'!$B$15,Paramètres!$A$1:$I$89,3,0)*VLOOKUP('Données projet'!$B$15,Paramètres!$A$1:$I$89,5,0)</f>
        <v>7.5561991843392455</v>
      </c>
      <c r="EL14" s="14">
        <f t="shared" si="45"/>
        <v>2.7518258561310041</v>
      </c>
      <c r="EM14" s="22">
        <f t="shared" si="19"/>
        <v>17.953143612152349</v>
      </c>
      <c r="EN14" s="62">
        <f t="shared" si="20"/>
        <v>228.32815784668585</v>
      </c>
      <c r="EO14" s="62">
        <f ca="1">AVERAGE(OFFSET($EN$3,0,0,'Données projet'!$E$15+1,1))-AVERAGE(OFFSET($H$3,0,0,'Données projet'!$E$15+1,1))</f>
        <v>487.76433095707876</v>
      </c>
      <c r="EP14" s="62">
        <f t="shared" si="46"/>
        <v>276.24209151398361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2.1</v>
      </c>
      <c r="FE14" s="13">
        <f>IF('Données projet'!$A$218&gt;35,FE13+FD14-FM13,IF(A14&lt;'Données projet'!$A$218,$FB$205^A14,IF(A14='Données projet'!$A$218,'Données projet'!$B$218,FE13+FD14-FM13)))</f>
        <v>7.8124474610620815</v>
      </c>
      <c r="FF14" s="18">
        <f>FE14*VLOOKUP('Données projet'!$B$16,Paramètres!$A$1:$I$89,3,0)*VLOOKUP('Données projet'!$B$16,Paramètres!$A$1:$I$89,5,0)</f>
        <v>8.4093184470872249</v>
      </c>
      <c r="FG14" s="14">
        <f t="shared" si="47"/>
        <v>3.0246192139792929</v>
      </c>
      <c r="FH14" s="22">
        <f t="shared" si="22"/>
        <v>19.914108093024186</v>
      </c>
      <c r="FI14" s="62">
        <f t="shared" si="23"/>
        <v>230.28912232755769</v>
      </c>
      <c r="FJ14" s="62">
        <f ca="1">AVERAGE(OFFSET($FI$3,0,0,'Données projet'!$E$16+1,1))-AVERAGE(OFFSET($H$3,0,0,'Données projet'!$E$16+1,1))</f>
        <v>534.33392288300456</v>
      </c>
      <c r="FK14" s="62">
        <f t="shared" si="48"/>
        <v>300.93109615735477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2.7777777777777777</v>
      </c>
      <c r="FZ14" s="13">
        <f>IF('Données projet'!$A$244&gt;35,FZ13+FY14-GH13,IF(A14&lt;'Données projet'!$A$244,$FW$205^A14,IF(A14='Données projet'!$A$244,'Données projet'!$B$244,FZ13+FY14-GH13)))</f>
        <v>15.41150634461092</v>
      </c>
      <c r="GA14" s="18">
        <f>FZ14*VLOOKUP('Données projet'!$B$17,Paramètres!$A$1:$I$89,3,0)*VLOOKUP('Données projet'!$B$17,Paramètres!$A$1:$I$89,5,0)</f>
        <v>10.338038455965005</v>
      </c>
      <c r="GB14" s="14">
        <f t="shared" si="49"/>
        <v>3.6300249355984251</v>
      </c>
      <c r="GC14" s="22">
        <f t="shared" si="25"/>
        <v>24.327710406972969</v>
      </c>
      <c r="GD14" s="62">
        <f t="shared" si="26"/>
        <v>234.70272464150645</v>
      </c>
      <c r="GE14" s="62">
        <f ca="1">AVERAGE(OFFSET($GD$3,0,0,'Données projet'!$E$17+1,1))-AVERAGE(OFFSET($H$3,0,0,'Données projet'!$E$17+1,1))</f>
        <v>316.17772895535211</v>
      </c>
      <c r="GF14" s="62">
        <f t="shared" si="50"/>
        <v>251.94445589652992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53.708337215478835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3.95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14.483333333333334</v>
      </c>
      <c r="H15" s="70">
        <f t="shared" si="1"/>
        <v>198.73333333333335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3.65</v>
      </c>
      <c r="N15" s="14">
        <f>IF('Données projet'!$A$36&gt;35,N14+M15-V14,IF(A15&lt;'Données projet'!$A$36,$K$205^A15,IF(A15='Données projet'!$A$36,'Données projet'!$B$36,N14+M15-V14)))</f>
        <v>13.121809125710287</v>
      </c>
      <c r="O15" s="14">
        <f>N15*VLOOKUP('Données projet'!$B$9,Paramètres!$A$1:$I$89,3,0)*VLOOKUP('Données projet'!$B$9,Paramètres!$A$1:$I$89,5,0)</f>
        <v>11.053812007498347</v>
      </c>
      <c r="P15" s="14">
        <f t="shared" si="33"/>
        <v>3.8512289154738402</v>
      </c>
      <c r="Q15" s="22">
        <f t="shared" si="2"/>
        <v>25.959612940843225</v>
      </c>
      <c r="R15" s="62">
        <f t="shared" si="0"/>
        <v>238.59313712850218</v>
      </c>
      <c r="S15" s="62">
        <f ca="1">AVERAGE(OFFSET($R$3,0,0,'Données projet'!$E$9+1,1))-AVERAGE(OFFSET($H$3,0,0,'Données projet'!$E$9+1,1))</f>
        <v>508.93703669150443</v>
      </c>
      <c r="T15" s="62">
        <f t="shared" si="34"/>
        <v>277.04920840696707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2.1</v>
      </c>
      <c r="AI15" s="14">
        <f>IF('Données projet'!$A$62&gt;35,AI14+AH15-AQ14,IF(A15&lt;'Données projet'!$A$62,$AF$205^A15,IF(A15='Données projet'!$A$62,'Données projet'!$B$62,AI14+AH15-AQ14)))</f>
        <v>9.4178024044149407</v>
      </c>
      <c r="AJ15" s="14">
        <f>AI15*VLOOKUP('Données projet'!$B$10,Paramètres!$A$1:$I$89,3,0)*VLOOKUP('Données projet'!$B$10,Paramètres!$A$1:$I$89,5,0)</f>
        <v>8.521227615514638</v>
      </c>
      <c r="AK15" s="14">
        <f t="shared" si="35"/>
        <v>3.0601574970852128</v>
      </c>
      <c r="AL15" s="22">
        <f t="shared" si="4"/>
        <v>20.170912404444739</v>
      </c>
      <c r="AM15" s="62">
        <f t="shared" si="5"/>
        <v>232.80443659210371</v>
      </c>
      <c r="AN15" s="62">
        <f ca="1">AVERAGE(OFFSET($AM$3,0,0,'Données projet'!$E$10+1,1))-AVERAGE(OFFSET($H$3,0,0,'Données projet'!$E$10+1,1))</f>
        <v>461.10503306101145</v>
      </c>
      <c r="AO15" s="62">
        <f t="shared" si="36"/>
        <v>262.10652147273288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10.8</v>
      </c>
      <c r="BD15" s="13">
        <f>IF('Données projet'!$A$88&gt;35,BD14+BC15-BL14,IF(A15&lt;'Données projet'!$A$88,$BA$205^A15,IF(A15='Données projet'!$A$88,'Données projet'!$B$88,BD14+BC15-BL14)))</f>
        <v>32.6</v>
      </c>
      <c r="BE15" s="14">
        <f>BD15*VLOOKUP('Données projet'!$B$11,Paramètres!$A$1:$I$89,3,0)*VLOOKUP('Données projet'!$B$11,Paramètres!$A$1:$I$89,5,0)</f>
        <v>25.936560000000004</v>
      </c>
      <c r="BF15" s="14">
        <f t="shared" si="37"/>
        <v>8.1824816304360635</v>
      </c>
      <c r="BG15" s="22">
        <f t="shared" si="7"/>
        <v>59.423997506342801</v>
      </c>
      <c r="BH15" s="62">
        <f t="shared" si="8"/>
        <v>272.05752169400176</v>
      </c>
      <c r="BI15" s="62">
        <f ca="1">AVERAGE(OFFSET($BH$3,0,0,'Données projet'!$E$11+1,1))-AVERAGE(OFFSET($H$3,0,0,'Données projet'!$E$11+1,1))</f>
        <v>389.67854939311752</v>
      </c>
      <c r="BJ15" s="62">
        <f t="shared" si="38"/>
        <v>420.05189970516096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5.5190909090909095</v>
      </c>
      <c r="BY15" s="13">
        <f>IF('Données projet'!$A$114&gt;35,BY14+BX15-CG14,IF(A15&lt;'Données projet'!$A$114,$BV$205^A15,IF(A15='Données projet'!$A$114,'Données projet'!$B$114,BY14+BX15-CG14)))</f>
        <v>13.705206362612003</v>
      </c>
      <c r="BZ15" s="14">
        <f>BY15*VLOOKUP('Données projet'!$B$12,Paramètres!$A$1:$I$89,3,0)*VLOOKUP('Données projet'!$B$12,Paramètres!$A$1:$I$89,5,0)</f>
        <v>7.8393780394140666</v>
      </c>
      <c r="CA15" s="14">
        <f t="shared" si="39"/>
        <v>2.842754094252526</v>
      </c>
      <c r="CB15" s="22">
        <f t="shared" si="10"/>
        <v>18.60471346613598</v>
      </c>
      <c r="CC15" s="62">
        <f t="shared" si="11"/>
        <v>231.23823765379495</v>
      </c>
      <c r="CD15" s="62">
        <f ca="1">AVERAGE(OFFSET($CC$3,0,0,'Données projet'!$E$12+1,1))-AVERAGE(OFFSET($H$3,0,0,'Données projet'!$E$12+1,1))</f>
        <v>312.16891625633968</v>
      </c>
      <c r="CE15" s="62">
        <f t="shared" si="40"/>
        <v>215.34305815516177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8.2051282051282062</v>
      </c>
      <c r="CT15" s="13">
        <f>IF('Données projet'!$A$140&gt;35,CT14+CS15-DB14,IF(A15&lt;'Données projet'!$A$140,$CQ$205^A15,IF(A15='Données projet'!$A$140,'Données projet'!$B$140,CT14+CS15-DB14)))</f>
        <v>43.974358974358971</v>
      </c>
      <c r="CU15" s="18">
        <f>CT15*VLOOKUP('Données projet'!$B$13,Paramètres!$A$1:$I$89,3,0)*VLOOKUP('Données projet'!$B$13,Paramètres!$A$1:$I$89,5,0)</f>
        <v>29.498000000000001</v>
      </c>
      <c r="CV15" s="14">
        <f t="shared" si="41"/>
        <v>9.1677081835776981</v>
      </c>
      <c r="CW15" s="22">
        <f t="shared" si="13"/>
        <v>67.342775086397822</v>
      </c>
      <c r="CX15" s="62">
        <f t="shared" si="14"/>
        <v>279.97629927405677</v>
      </c>
      <c r="CY15" s="62">
        <f ca="1">AVERAGE(OFFSET($CX$3,0,0,'Données projet'!$E$13+1,1))-AVERAGE(OFFSET($H$3,0,0,'Données projet'!$E$13+1,1))</f>
        <v>369.04754428478793</v>
      </c>
      <c r="CZ15" s="62">
        <f t="shared" si="42"/>
        <v>277.00523259351712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2.6666666666666665</v>
      </c>
      <c r="DO15" s="13">
        <f>IF('Données projet'!$A$166&gt;35,DO14+DN15-DW14,IF(A15&lt;'Données projet'!$A$166,$DL$205^A15,IF(A15='Données projet'!$A$166,'Données projet'!$B$166,DO14+DN15-DW14)))</f>
        <v>19.127049995800721</v>
      </c>
      <c r="DP15" s="18">
        <f>DO15*VLOOKUP('Données projet'!$B$14,Paramètres!$A$1:$I$89,3,0)*VLOOKUP('Données projet'!$B$14,Paramètres!$A$1:$I$89,5,0)</f>
        <v>14.919098996724562</v>
      </c>
      <c r="DQ15" s="14">
        <f t="shared" si="43"/>
        <v>5.019622097301081</v>
      </c>
      <c r="DR15" s="22">
        <f t="shared" si="16"/>
        <v>34.726605905427995</v>
      </c>
      <c r="DS15" s="62">
        <f t="shared" si="17"/>
        <v>247.36013009308695</v>
      </c>
      <c r="DT15" s="62">
        <f ca="1">AVERAGE(OFFSET($DS$3,0,0,'Données projet'!$E$14+1,1))-AVERAGE(OFFSET($H$3,0,0,'Données projet'!$E$14+1,1))</f>
        <v>308.39181291575227</v>
      </c>
      <c r="DU15" s="62">
        <f t="shared" si="44"/>
        <v>298.58225298824334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2.1</v>
      </c>
      <c r="EJ15" s="13">
        <f>IF('Données projet'!$A$192&gt;35,EJ14+EI15-ER14,IF(A15&lt;'Données projet'!$A$192,$EG$205^A15,IF(A15='Données projet'!$A$192,'Données projet'!$B$192,EJ14+EI15-ER14)))</f>
        <v>9.4178024044149407</v>
      </c>
      <c r="EK15" s="18">
        <f>EJ15*VLOOKUP('Données projet'!$B$15,Paramètres!$A$1:$I$89,3,0)*VLOOKUP('Données projet'!$B$15,Paramètres!$A$1:$I$89,5,0)</f>
        <v>9.1088984855501316</v>
      </c>
      <c r="EL15" s="14">
        <f t="shared" si="45"/>
        <v>3.2459072101643005</v>
      </c>
      <c r="EM15" s="22">
        <f t="shared" si="19"/>
        <v>21.517953253369303</v>
      </c>
      <c r="EN15" s="62">
        <f t="shared" si="20"/>
        <v>234.15147744102828</v>
      </c>
      <c r="EO15" s="62">
        <f ca="1">AVERAGE(OFFSET($EN$3,0,0,'Données projet'!$E$15+1,1))-AVERAGE(OFFSET($H$3,0,0,'Données projet'!$E$15+1,1))</f>
        <v>487.76433095707876</v>
      </c>
      <c r="EP15" s="62">
        <f t="shared" si="46"/>
        <v>276.24209151398361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2.1</v>
      </c>
      <c r="FE15" s="13">
        <f>IF('Données projet'!$A$218&gt;35,FE14+FD15-FM14,IF(A15&lt;'Données projet'!$A$218,$FB$205^A15,IF(A15='Données projet'!$A$218,'Données projet'!$B$218,FE14+FD15-FM14)))</f>
        <v>9.4178024044149407</v>
      </c>
      <c r="FF15" s="18">
        <f>FE15*VLOOKUP('Données projet'!$B$16,Paramètres!$A$1:$I$89,3,0)*VLOOKUP('Données projet'!$B$16,Paramètres!$A$1:$I$89,5,0)</f>
        <v>10.137322508112241</v>
      </c>
      <c r="FG15" s="14">
        <f t="shared" si="47"/>
        <v>3.5676797253661268</v>
      </c>
      <c r="FH15" s="22">
        <f t="shared" si="22"/>
        <v>23.869545556641487</v>
      </c>
      <c r="FI15" s="62">
        <f t="shared" si="23"/>
        <v>236.50306974430046</v>
      </c>
      <c r="FJ15" s="62">
        <f ca="1">AVERAGE(OFFSET($FI$3,0,0,'Données projet'!$E$16+1,1))-AVERAGE(OFFSET($H$3,0,0,'Données projet'!$E$16+1,1))</f>
        <v>534.33392288300456</v>
      </c>
      <c r="FK15" s="62">
        <f t="shared" si="48"/>
        <v>300.93109615735477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2.7777777777777777</v>
      </c>
      <c r="FZ15" s="13">
        <f>IF('Données projet'!$A$244&gt;35,FZ14+FY15-GH14,IF(A15&lt;'Données projet'!$A$244,$FW$205^A15,IF(A15='Données projet'!$A$244,'Données projet'!$B$244,FZ14+FY15-GH14)))</f>
        <v>19.762005081494262</v>
      </c>
      <c r="GA15" s="18">
        <f>FZ15*VLOOKUP('Données projet'!$B$17,Paramètres!$A$1:$I$89,3,0)*VLOOKUP('Données projet'!$B$17,Paramètres!$A$1:$I$89,5,0)</f>
        <v>13.256353008666352</v>
      </c>
      <c r="GB15" s="14">
        <f t="shared" si="49"/>
        <v>4.5219521742655813</v>
      </c>
      <c r="GC15" s="22">
        <f t="shared" si="25"/>
        <v>30.963881526939787</v>
      </c>
      <c r="GD15" s="62">
        <f t="shared" si="26"/>
        <v>243.59740571459875</v>
      </c>
      <c r="GE15" s="62">
        <f ca="1">AVERAGE(OFFSET($GD$3,0,0,'Données projet'!$E$17+1,1))-AVERAGE(OFFSET($H$3,0,0,'Données projet'!$E$17+1,1))</f>
        <v>316.17772895535211</v>
      </c>
      <c r="GF15" s="62">
        <f t="shared" si="50"/>
        <v>251.94445589652992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53.990961142088807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3.95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14.483333333333334</v>
      </c>
      <c r="H16" s="70">
        <f t="shared" si="1"/>
        <v>198.73333333333335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3.65</v>
      </c>
      <c r="N16" s="14">
        <f>IF('Données projet'!$A$36&gt;35,N15+M16-V15,IF(A16&lt;'Données projet'!$A$36,$K$205^A16,IF(A16='Données projet'!$A$36,'Données projet'!$B$36,N15+M16-V15)))</f>
        <v>16.261472127148366</v>
      </c>
      <c r="O16" s="14">
        <f>N16*VLOOKUP('Données projet'!$B$9,Paramètres!$A$1:$I$89,3,0)*VLOOKUP('Données projet'!$B$9,Paramètres!$A$1:$I$89,5,0)</f>
        <v>13.698664119909786</v>
      </c>
      <c r="P16" s="14">
        <f t="shared" si="33"/>
        <v>4.6550134230463893</v>
      </c>
      <c r="Q16" s="22">
        <f t="shared" si="2"/>
        <v>31.965988387315338</v>
      </c>
      <c r="R16" s="62">
        <f t="shared" si="0"/>
        <v>246.84004525276086</v>
      </c>
      <c r="S16" s="62">
        <f ca="1">AVERAGE(OFFSET($R$3,0,0,'Données projet'!$E$9+1,1))-AVERAGE(OFFSET($H$3,0,0,'Données projet'!$E$9+1,1))</f>
        <v>508.93703669150443</v>
      </c>
      <c r="T16" s="62">
        <f t="shared" si="34"/>
        <v>277.04920840696707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2.1</v>
      </c>
      <c r="AI16" s="14">
        <f>IF('Données projet'!$A$62&gt;35,AI15+AH16-AQ15,IF(A16&lt;'Données projet'!$A$62,$AF$205^A16,IF(A16='Données projet'!$A$62,'Données projet'!$B$62,AI15+AH16-AQ15)))</f>
        <v>11.35303662145153</v>
      </c>
      <c r="AJ16" s="14">
        <f>AI16*VLOOKUP('Données projet'!$B$10,Paramètres!$A$1:$I$89,3,0)*VLOOKUP('Données projet'!$B$10,Paramètres!$A$1:$I$89,5,0)</f>
        <v>10.272227535089344</v>
      </c>
      <c r="AK16" s="14">
        <f t="shared" si="35"/>
        <v>3.6095987912522753</v>
      </c>
      <c r="AL16" s="22">
        <f t="shared" si="4"/>
        <v>24.177514185044988</v>
      </c>
      <c r="AM16" s="62">
        <f t="shared" si="5"/>
        <v>239.05157105049051</v>
      </c>
      <c r="AN16" s="62">
        <f ca="1">AVERAGE(OFFSET($AM$3,0,0,'Données projet'!$E$10+1,1))-AVERAGE(OFFSET($H$3,0,0,'Données projet'!$E$10+1,1))</f>
        <v>461.10503306101145</v>
      </c>
      <c r="AO16" s="62">
        <f t="shared" si="36"/>
        <v>262.10652147273288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10.8</v>
      </c>
      <c r="BD16" s="13">
        <f>IF('Données projet'!$A$88&gt;35,BD15+BC16-BL15,IF(A16&lt;'Données projet'!$A$88,$BA$205^A16,IF(A16='Données projet'!$A$88,'Données projet'!$B$88,BD15+BC16-BL15)))</f>
        <v>43.400000000000006</v>
      </c>
      <c r="BE16" s="14">
        <f>BD16*VLOOKUP('Données projet'!$B$11,Paramètres!$A$1:$I$89,3,0)*VLOOKUP('Données projet'!$B$11,Paramètres!$A$1:$I$89,5,0)</f>
        <v>34.529040000000009</v>
      </c>
      <c r="BF16" s="14">
        <f t="shared" si="37"/>
        <v>10.536391336679102</v>
      </c>
      <c r="BG16" s="22">
        <f t="shared" si="7"/>
        <v>78.488959578049446</v>
      </c>
      <c r="BH16" s="62">
        <f t="shared" si="8"/>
        <v>293.36301644349498</v>
      </c>
      <c r="BI16" s="62">
        <f ca="1">AVERAGE(OFFSET($BH$3,0,0,'Données projet'!$E$11+1,1))-AVERAGE(OFFSET($H$3,0,0,'Données projet'!$E$11+1,1))</f>
        <v>389.67854939311752</v>
      </c>
      <c r="BJ16" s="62">
        <f t="shared" si="38"/>
        <v>420.05189970516096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5.5190909090909095</v>
      </c>
      <c r="BY16" s="13">
        <f>IF('Données projet'!$A$114&gt;35,BY15+BX16-CG15,IF(A16&lt;'Données projet'!$A$114,$BV$205^A16,IF(A16='Données projet'!$A$114,'Données projet'!$B$114,BY15+BX16-CG15)))</f>
        <v>17.046139731227392</v>
      </c>
      <c r="BZ16" s="14">
        <f>BY16*VLOOKUP('Données projet'!$B$12,Paramètres!$A$1:$I$89,3,0)*VLOOKUP('Données projet'!$B$12,Paramètres!$A$1:$I$89,5,0)</f>
        <v>9.7503919262620684</v>
      </c>
      <c r="CA16" s="14">
        <f t="shared" si="39"/>
        <v>3.4470848088071655</v>
      </c>
      <c r="CB16" s="22">
        <f t="shared" si="10"/>
        <v>22.985605313578915</v>
      </c>
      <c r="CC16" s="62">
        <f t="shared" si="11"/>
        <v>237.85966217902444</v>
      </c>
      <c r="CD16" s="62">
        <f ca="1">AVERAGE(OFFSET($CC$3,0,0,'Données projet'!$E$12+1,1))-AVERAGE(OFFSET($H$3,0,0,'Données projet'!$E$12+1,1))</f>
        <v>312.16891625633968</v>
      </c>
      <c r="CE16" s="62">
        <f t="shared" si="40"/>
        <v>215.34305815516177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8.2051282051282062</v>
      </c>
      <c r="CT16" s="13">
        <f>IF('Données projet'!$A$140&gt;35,CT15+CS16-DB15,IF(A16&lt;'Données projet'!$A$140,$CQ$205^A16,IF(A16='Données projet'!$A$140,'Données projet'!$B$140,CT15+CS16-DB15)))</f>
        <v>52.179487179487175</v>
      </c>
      <c r="CU16" s="18">
        <f>CT16*VLOOKUP('Données projet'!$B$13,Paramètres!$A$1:$I$89,3,0)*VLOOKUP('Données projet'!$B$13,Paramètres!$A$1:$I$89,5,0)</f>
        <v>35.001999999999995</v>
      </c>
      <c r="CV16" s="14">
        <f t="shared" si="41"/>
        <v>10.663812893674448</v>
      </c>
      <c r="CW16" s="22">
        <f t="shared" si="13"/>
        <v>79.534624123149641</v>
      </c>
      <c r="CX16" s="62">
        <f t="shared" si="14"/>
        <v>294.40868098859517</v>
      </c>
      <c r="CY16" s="62">
        <f ca="1">AVERAGE(OFFSET($CX$3,0,0,'Données projet'!$E$13+1,1))-AVERAGE(OFFSET($H$3,0,0,'Données projet'!$E$13+1,1))</f>
        <v>369.04754428478793</v>
      </c>
      <c r="CZ16" s="62">
        <f t="shared" si="42"/>
        <v>277.00523259351712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2.6666666666666665</v>
      </c>
      <c r="DO16" s="13">
        <f>IF('Données projet'!$A$166&gt;35,DO15+DN16-DW15,IF(A16&lt;'Données projet'!$A$166,$DL$205^A16,IF(A16='Données projet'!$A$166,'Données projet'!$B$166,DO15+DN16-DW15)))</f>
        <v>24.459748796430759</v>
      </c>
      <c r="DP16" s="18">
        <f>DO16*VLOOKUP('Données projet'!$B$14,Paramètres!$A$1:$I$89,3,0)*VLOOKUP('Données projet'!$B$14,Paramètres!$A$1:$I$89,5,0)</f>
        <v>19.078604061215994</v>
      </c>
      <c r="DQ16" s="14">
        <f t="shared" si="43"/>
        <v>6.2379664748280286</v>
      </c>
      <c r="DR16" s="22">
        <f t="shared" si="16"/>
        <v>44.093027016943331</v>
      </c>
      <c r="DS16" s="62">
        <f t="shared" si="17"/>
        <v>258.96708388238886</v>
      </c>
      <c r="DT16" s="62">
        <f ca="1">AVERAGE(OFFSET($DS$3,0,0,'Données projet'!$E$14+1,1))-AVERAGE(OFFSET($H$3,0,0,'Données projet'!$E$14+1,1))</f>
        <v>308.39181291575227</v>
      </c>
      <c r="DU16" s="62">
        <f t="shared" si="44"/>
        <v>298.58225298824334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2.1</v>
      </c>
      <c r="EJ16" s="13">
        <f>IF('Données projet'!$A$192&gt;35,EJ15+EI16-ER15,IF(A16&lt;'Données projet'!$A$192,$EG$205^A16,IF(A16='Données projet'!$A$192,'Données projet'!$B$192,EJ15+EI16-ER15)))</f>
        <v>11.35303662145153</v>
      </c>
      <c r="EK16" s="18">
        <f>EJ16*VLOOKUP('Données projet'!$B$15,Paramètres!$A$1:$I$89,3,0)*VLOOKUP('Données projet'!$B$15,Paramètres!$A$1:$I$89,5,0)</f>
        <v>10.98065702026792</v>
      </c>
      <c r="EL16" s="14">
        <f t="shared" si="45"/>
        <v>3.8286992592655618</v>
      </c>
      <c r="EM16" s="22">
        <f t="shared" si="19"/>
        <v>25.792962186854144</v>
      </c>
      <c r="EN16" s="62">
        <f t="shared" si="20"/>
        <v>240.66701905229965</v>
      </c>
      <c r="EO16" s="62">
        <f ca="1">AVERAGE(OFFSET($EN$3,0,0,'Données projet'!$E$15+1,1))-AVERAGE(OFFSET($H$3,0,0,'Données projet'!$E$15+1,1))</f>
        <v>487.76433095707876</v>
      </c>
      <c r="EP16" s="62">
        <f t="shared" si="46"/>
        <v>276.24209151398361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2.1</v>
      </c>
      <c r="FE16" s="13">
        <f>IF('Données projet'!$A$218&gt;35,FE15+FD16-FM15,IF(A16&lt;'Données projet'!$A$218,$FB$205^A16,IF(A16='Données projet'!$A$218,'Données projet'!$B$218,FE15+FD16-FM15)))</f>
        <v>11.35303662145153</v>
      </c>
      <c r="FF16" s="18">
        <f>FE16*VLOOKUP('Données projet'!$B$16,Paramètres!$A$1:$I$89,3,0)*VLOOKUP('Données projet'!$B$16,Paramètres!$A$1:$I$89,5,0)</f>
        <v>12.220408619330426</v>
      </c>
      <c r="FG16" s="14">
        <f t="shared" si="47"/>
        <v>4.2082449797185175</v>
      </c>
      <c r="FH16" s="22">
        <f t="shared" si="22"/>
        <v>28.613238351676909</v>
      </c>
      <c r="FI16" s="62">
        <f t="shared" si="23"/>
        <v>243.48729521712241</v>
      </c>
      <c r="FJ16" s="62">
        <f ca="1">AVERAGE(OFFSET($FI$3,0,0,'Données projet'!$E$16+1,1))-AVERAGE(OFFSET($H$3,0,0,'Données projet'!$E$16+1,1))</f>
        <v>534.33392288300456</v>
      </c>
      <c r="FK16" s="62">
        <f t="shared" si="48"/>
        <v>300.93109615735477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2.7777777777777777</v>
      </c>
      <c r="FZ16" s="13">
        <f>IF('Données projet'!$A$244&gt;35,FZ15+FY16-GH15,IF(A16&lt;'Données projet'!$A$244,$FW$205^A16,IF(A16='Données projet'!$A$244,'Données projet'!$B$244,FZ15+FY16-GH15)))</f>
        <v>25.340601762628324</v>
      </c>
      <c r="GA16" s="18">
        <f>FZ16*VLOOKUP('Données projet'!$B$17,Paramètres!$A$1:$I$89,3,0)*VLOOKUP('Données projet'!$B$17,Paramètres!$A$1:$I$89,5,0)</f>
        <v>16.998475662371082</v>
      </c>
      <c r="GB16" s="14">
        <f t="shared" si="49"/>
        <v>5.6330333342391405</v>
      </c>
      <c r="GC16" s="22">
        <f t="shared" si="25"/>
        <v>39.416544835762807</v>
      </c>
      <c r="GD16" s="62">
        <f t="shared" si="26"/>
        <v>254.29060170120832</v>
      </c>
      <c r="GE16" s="62">
        <f ca="1">AVERAGE(OFFSET($GD$3,0,0,'Données projet'!$E$17+1,1))-AVERAGE(OFFSET($H$3,0,0,'Données projet'!$E$17+1,1))</f>
        <v>316.17772895535211</v>
      </c>
      <c r="GF16" s="62">
        <f t="shared" si="50"/>
        <v>251.94445589652992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54.26868217542453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3.95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14.483333333333334</v>
      </c>
      <c r="H17" s="70">
        <f t="shared" si="1"/>
        <v>198.73333333333335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3.65</v>
      </c>
      <c r="N17" s="14">
        <f>IF('Données projet'!$A$36&gt;35,N16+M17-V16,IF(A17&lt;'Données projet'!$A$36,$K$205^A17,IF(A17='Données projet'!$A$36,'Données projet'!$B$36,N16+M17-V16)))</f>
        <v>20.152364144963837</v>
      </c>
      <c r="O17" s="14">
        <f>N17*VLOOKUP('Données projet'!$B$9,Paramètres!$A$1:$I$89,3,0)*VLOOKUP('Données projet'!$B$9,Paramètres!$A$1:$I$89,5,0)</f>
        <v>16.976351555717539</v>
      </c>
      <c r="P17" s="14">
        <f t="shared" si="33"/>
        <v>5.6265546516016363</v>
      </c>
      <c r="Q17" s="22">
        <f t="shared" si="2"/>
        <v>39.366728311080898</v>
      </c>
      <c r="R17" s="62">
        <f t="shared" si="0"/>
        <v>256.4636524445101</v>
      </c>
      <c r="S17" s="62">
        <f ca="1">AVERAGE(OFFSET($R$3,0,0,'Données projet'!$E$9+1,1))-AVERAGE(OFFSET($H$3,0,0,'Données projet'!$E$9+1,1))</f>
        <v>508.93703669150443</v>
      </c>
      <c r="T17" s="62">
        <f t="shared" si="34"/>
        <v>277.04920840696707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2.1</v>
      </c>
      <c r="AI17" s="14">
        <f>IF('Données projet'!$A$62&gt;35,AI16+AH17-AQ16,IF(A17&lt;'Données projet'!$A$62,$AF$205^A17,IF(A17='Données projet'!$A$62,'Données projet'!$B$62,AI16+AH17-AQ16)))</f>
        <v>13.685935953338433</v>
      </c>
      <c r="AJ17" s="14">
        <f>AI17*VLOOKUP('Données projet'!$B$10,Paramètres!$A$1:$I$89,3,0)*VLOOKUP('Données projet'!$B$10,Paramètres!$A$1:$I$89,5,0)</f>
        <v>12.383034850580612</v>
      </c>
      <c r="AK17" s="14">
        <f t="shared" si="35"/>
        <v>4.2576904771143838</v>
      </c>
      <c r="AL17" s="22">
        <f t="shared" si="4"/>
        <v>28.982596612402116</v>
      </c>
      <c r="AM17" s="62">
        <f t="shared" si="5"/>
        <v>246.0795207458313</v>
      </c>
      <c r="AN17" s="62">
        <f ca="1">AVERAGE(OFFSET($AM$3,0,0,'Données projet'!$E$10+1,1))-AVERAGE(OFFSET($H$3,0,0,'Données projet'!$E$10+1,1))</f>
        <v>461.10503306101145</v>
      </c>
      <c r="AO17" s="62">
        <f t="shared" si="36"/>
        <v>262.10652147273288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10.8</v>
      </c>
      <c r="BD17" s="13">
        <f>IF('Données projet'!$A$88&gt;35,BD16+BC17-BL16,IF(A17&lt;'Données projet'!$A$88,$BA$205^A17,IF(A17='Données projet'!$A$88,'Données projet'!$B$88,BD16+BC17-BL16)))</f>
        <v>54.2</v>
      </c>
      <c r="BE17" s="14">
        <f>BD17*VLOOKUP('Données projet'!$B$11,Paramètres!$A$1:$I$89,3,0)*VLOOKUP('Données projet'!$B$11,Paramètres!$A$1:$I$89,5,0)</f>
        <v>43.121520000000004</v>
      </c>
      <c r="BF17" s="14">
        <f t="shared" si="37"/>
        <v>12.822353245070515</v>
      </c>
      <c r="BG17" s="22">
        <f t="shared" si="7"/>
        <v>97.435579235164482</v>
      </c>
      <c r="BH17" s="62">
        <f t="shared" si="8"/>
        <v>314.53250336859367</v>
      </c>
      <c r="BI17" s="62">
        <f ca="1">AVERAGE(OFFSET($BH$3,0,0,'Données projet'!$E$11+1,1))-AVERAGE(OFFSET($H$3,0,0,'Données projet'!$E$11+1,1))</f>
        <v>389.67854939311752</v>
      </c>
      <c r="BJ17" s="62">
        <f t="shared" si="38"/>
        <v>420.05189970516096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5.5190909090909095</v>
      </c>
      <c r="BY17" s="13">
        <f>IF('Données projet'!$A$114&gt;35,BY16+BX17-CG16,IF(A17&lt;'Données projet'!$A$114,$BV$205^A17,IF(A17='Données projet'!$A$114,'Données projet'!$B$114,BY16+BX17-CG16)))</f>
        <v>21.201496135746666</v>
      </c>
      <c r="BZ17" s="14">
        <f>BY17*VLOOKUP('Données projet'!$B$12,Paramètres!$A$1:$I$89,3,0)*VLOOKUP('Données projet'!$B$12,Paramètres!$A$1:$I$89,5,0)</f>
        <v>12.127255789647092</v>
      </c>
      <c r="CA17" s="14">
        <f t="shared" si="39"/>
        <v>4.1798879836750276</v>
      </c>
      <c r="CB17" s="22">
        <f t="shared" si="10"/>
        <v>28.401608738536027</v>
      </c>
      <c r="CC17" s="62">
        <f t="shared" si="11"/>
        <v>245.49853287196521</v>
      </c>
      <c r="CD17" s="62">
        <f ca="1">AVERAGE(OFFSET($CC$3,0,0,'Données projet'!$E$12+1,1))-AVERAGE(OFFSET($H$3,0,0,'Données projet'!$E$12+1,1))</f>
        <v>312.16891625633968</v>
      </c>
      <c r="CE17" s="62">
        <f t="shared" si="40"/>
        <v>215.34305815516177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8.2051282051282062</v>
      </c>
      <c r="CT17" s="13">
        <f>IF('Données projet'!$A$140&gt;35,CT16+CS17-DB16,IF(A17&lt;'Données projet'!$A$140,$CQ$205^A17,IF(A17='Données projet'!$A$140,'Données projet'!$B$140,CT16+CS17-DB16)))</f>
        <v>60.38461538461538</v>
      </c>
      <c r="CU17" s="18">
        <f>CT17*VLOOKUP('Données projet'!$B$13,Paramètres!$A$1:$I$89,3,0)*VLOOKUP('Données projet'!$B$13,Paramètres!$A$1:$I$89,5,0)</f>
        <v>40.506</v>
      </c>
      <c r="CV17" s="14">
        <f t="shared" si="41"/>
        <v>12.132663984422932</v>
      </c>
      <c r="CW17" s="22">
        <f t="shared" si="13"/>
        <v>91.679006439536593</v>
      </c>
      <c r="CX17" s="62">
        <f t="shared" si="14"/>
        <v>308.77593057296576</v>
      </c>
      <c r="CY17" s="62">
        <f ca="1">AVERAGE(OFFSET($CX$3,0,0,'Données projet'!$E$13+1,1))-AVERAGE(OFFSET($H$3,0,0,'Données projet'!$E$13+1,1))</f>
        <v>369.04754428478793</v>
      </c>
      <c r="CZ17" s="62">
        <f t="shared" si="42"/>
        <v>277.00523259351712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2.6666666666666665</v>
      </c>
      <c r="DO17" s="13">
        <f>IF('Données projet'!$A$166&gt;35,DO16+DN17-DW16,IF(A17&lt;'Données projet'!$A$166,$DL$205^A17,IF(A17='Données projet'!$A$166,'Données projet'!$B$166,DO16+DN17-DW16)))</f>
        <v>31.279225563578599</v>
      </c>
      <c r="DP17" s="18">
        <f>DO17*VLOOKUP('Données projet'!$B$14,Paramètres!$A$1:$I$89,3,0)*VLOOKUP('Données projet'!$B$14,Paramètres!$A$1:$I$89,5,0)</f>
        <v>24.397795939591308</v>
      </c>
      <c r="DQ17" s="14">
        <f t="shared" si="43"/>
        <v>7.75202295846145</v>
      </c>
      <c r="DR17" s="22">
        <f t="shared" si="16"/>
        <v>55.994267914108548</v>
      </c>
      <c r="DS17" s="62">
        <f t="shared" si="17"/>
        <v>273.09119204753773</v>
      </c>
      <c r="DT17" s="62">
        <f ca="1">AVERAGE(OFFSET($DS$3,0,0,'Données projet'!$E$14+1,1))-AVERAGE(OFFSET($H$3,0,0,'Données projet'!$E$14+1,1))</f>
        <v>308.39181291575227</v>
      </c>
      <c r="DU17" s="62">
        <f t="shared" si="44"/>
        <v>298.58225298824334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2.1</v>
      </c>
      <c r="EJ17" s="13">
        <f>IF('Données projet'!$A$192&gt;35,EJ16+EI17-ER16,IF(A17&lt;'Données projet'!$A$192,$EG$205^A17,IF(A17='Données projet'!$A$192,'Données projet'!$B$192,EJ16+EI17-ER16)))</f>
        <v>13.685935953338433</v>
      </c>
      <c r="EK17" s="18">
        <f>EJ17*VLOOKUP('Données projet'!$B$15,Paramètres!$A$1:$I$89,3,0)*VLOOKUP('Données projet'!$B$15,Paramètres!$A$1:$I$89,5,0)</f>
        <v>13.237037254068934</v>
      </c>
      <c r="EL17" s="14">
        <f t="shared" si="45"/>
        <v>4.5161297192961545</v>
      </c>
      <c r="EM17" s="22">
        <f t="shared" si="19"/>
        <v>30.920099145277529</v>
      </c>
      <c r="EN17" s="62">
        <f t="shared" si="20"/>
        <v>248.01702327870672</v>
      </c>
      <c r="EO17" s="62">
        <f ca="1">AVERAGE(OFFSET($EN$3,0,0,'Données projet'!$E$15+1,1))-AVERAGE(OFFSET($H$3,0,0,'Données projet'!$E$15+1,1))</f>
        <v>487.76433095707876</v>
      </c>
      <c r="EP17" s="62">
        <f t="shared" si="46"/>
        <v>276.24209151398361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2.1</v>
      </c>
      <c r="FE17" s="13">
        <f>IF('Données projet'!$A$218&gt;35,FE16+FD17-FM16,IF(A17&lt;'Données projet'!$A$218,$FB$205^A17,IF(A17='Données projet'!$A$218,'Données projet'!$B$218,FE16+FD17-FM16)))</f>
        <v>13.685935953338433</v>
      </c>
      <c r="FF17" s="18">
        <f>FE17*VLOOKUP('Données projet'!$B$16,Paramètres!$A$1:$I$89,3,0)*VLOOKUP('Données projet'!$B$16,Paramètres!$A$1:$I$89,5,0)</f>
        <v>14.731541460173487</v>
      </c>
      <c r="FG17" s="14">
        <f t="shared" si="47"/>
        <v>4.9638216355053304</v>
      </c>
      <c r="FH17" s="22">
        <f t="shared" si="22"/>
        <v>34.302757391640604</v>
      </c>
      <c r="FI17" s="62">
        <f t="shared" si="23"/>
        <v>251.39968152506978</v>
      </c>
      <c r="FJ17" s="62">
        <f ca="1">AVERAGE(OFFSET($FI$3,0,0,'Données projet'!$E$16+1,1))-AVERAGE(OFFSET($H$3,0,0,'Données projet'!$E$16+1,1))</f>
        <v>534.33392288300456</v>
      </c>
      <c r="FK17" s="62">
        <f t="shared" si="48"/>
        <v>300.93109615735477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2.7777777777777777</v>
      </c>
      <c r="FZ17" s="13">
        <f>IF('Données projet'!$A$244&gt;35,FZ16+FY17-GH16,IF(A17&lt;'Données projet'!$A$244,$FW$205^A17,IF(A17='Données projet'!$A$244,'Données projet'!$B$244,FZ16+FY17-GH16)))</f>
        <v>32.493974930380247</v>
      </c>
      <c r="GA17" s="18">
        <f>FZ17*VLOOKUP('Données projet'!$B$17,Paramètres!$A$1:$I$89,3,0)*VLOOKUP('Données projet'!$B$17,Paramètres!$A$1:$I$89,5,0)</f>
        <v>21.796958383299071</v>
      </c>
      <c r="GB17" s="14">
        <f t="shared" si="49"/>
        <v>7.0171163519222377</v>
      </c>
      <c r="GC17" s="22">
        <f t="shared" si="25"/>
        <v>50.184513497177107</v>
      </c>
      <c r="GD17" s="62">
        <f t="shared" si="26"/>
        <v>267.28143763060632</v>
      </c>
      <c r="GE17" s="62">
        <f ca="1">AVERAGE(OFFSET($GD$3,0,0,'Données projet'!$E$17+1,1))-AVERAGE(OFFSET($H$3,0,0,'Données projet'!$E$17+1,1))</f>
        <v>316.17772895535211</v>
      </c>
      <c r="GF17" s="62">
        <f t="shared" si="50"/>
        <v>251.94445589652992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54.541585369723109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3.95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14.483333333333334</v>
      </c>
      <c r="H18" s="70">
        <f t="shared" si="1"/>
        <v>198.73333333333335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3.65</v>
      </c>
      <c r="N18" s="14">
        <f>IF('Données projet'!$A$36&gt;35,N17+M18-V17,IF(A18&lt;'Données projet'!$A$36,$K$205^A18,IF(A18='Données projet'!$A$36,'Données projet'!$B$36,N17+M18-V17)))</f>
        <v>24.974232188561476</v>
      </c>
      <c r="O18" s="14">
        <f>N18*VLOOKUP('Données projet'!$B$9,Paramètres!$A$1:$I$89,3,0)*VLOOKUP('Données projet'!$B$9,Paramètres!$A$1:$I$89,5,0)</f>
        <v>21.03829319564419</v>
      </c>
      <c r="P18" s="14">
        <f t="shared" si="33"/>
        <v>6.8008648676982615</v>
      </c>
      <c r="Q18" s="22">
        <f t="shared" si="2"/>
        <v>48.486533626988098</v>
      </c>
      <c r="R18" s="62">
        <f t="shared" si="0"/>
        <v>267.78896607396416</v>
      </c>
      <c r="S18" s="62">
        <f ca="1">AVERAGE(OFFSET($R$3,0,0,'Données projet'!$E$9+1,1))-AVERAGE(OFFSET($H$3,0,0,'Données projet'!$E$9+1,1))</f>
        <v>508.93703669150443</v>
      </c>
      <c r="T18" s="62">
        <f t="shared" si="34"/>
        <v>277.04920840696707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2.1</v>
      </c>
      <c r="AI18" s="14">
        <f>IF('Données projet'!$A$62&gt;35,AI17+AH18-AQ17,IF(A18&lt;'Données projet'!$A$62,$AF$205^A18,IF(A18='Données projet'!$A$62,'Données projet'!$B$62,AI17+AH18-AQ17)))</f>
        <v>16.498215337821566</v>
      </c>
      <c r="AJ18" s="14">
        <f>AI18*VLOOKUP('Données projet'!$B$10,Paramètres!$A$1:$I$89,3,0)*VLOOKUP('Données projet'!$B$10,Paramètres!$A$1:$I$89,5,0)</f>
        <v>14.927585237660953</v>
      </c>
      <c r="AK18" s="14">
        <f t="shared" si="35"/>
        <v>5.0221449106318534</v>
      </c>
      <c r="AL18" s="22">
        <f t="shared" si="4"/>
        <v>34.745780008276633</v>
      </c>
      <c r="AM18" s="62">
        <f t="shared" si="5"/>
        <v>254.04821245525267</v>
      </c>
      <c r="AN18" s="62">
        <f ca="1">AVERAGE(OFFSET($AM$3,0,0,'Données projet'!$E$10+1,1))-AVERAGE(OFFSET($H$3,0,0,'Données projet'!$E$10+1,1))</f>
        <v>461.10503306101145</v>
      </c>
      <c r="AO18" s="62">
        <f t="shared" si="36"/>
        <v>262.10652147273288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65</v>
      </c>
      <c r="BB18" s="13">
        <f>VLOOKUP(A18,'Données projet'!$A$87:$I$107,9,0)</f>
        <v>10.8</v>
      </c>
      <c r="BC18" s="13">
        <f t="array" ref="BC18">INDEX(BB:BB,MIN(IF(ISNUMBER(BB18:BB214),ROW(BB18:BB214),"")))</f>
        <v>10.8</v>
      </c>
      <c r="BD18" s="13">
        <f>IF('Données projet'!$A$88&gt;35,BD17+BC18-BL17,IF(A18&lt;'Données projet'!$A$88,$BA$205^A18,IF(A18='Données projet'!$A$88,'Données projet'!$B$88,BD17+BC18-BL17)))</f>
        <v>65</v>
      </c>
      <c r="BE18" s="14">
        <f>BD18*VLOOKUP('Données projet'!$B$11,Paramètres!$A$1:$I$89,3,0)*VLOOKUP('Données projet'!$B$11,Paramètres!$A$1:$I$89,5,0)</f>
        <v>51.713999999999999</v>
      </c>
      <c r="BF18" s="14">
        <f t="shared" si="37"/>
        <v>15.055535578337075</v>
      </c>
      <c r="BG18" s="22">
        <f t="shared" si="7"/>
        <v>116.29027446560372</v>
      </c>
      <c r="BH18" s="62">
        <f t="shared" si="8"/>
        <v>335.59270691257973</v>
      </c>
      <c r="BI18" s="62">
        <f ca="1">AVERAGE(OFFSET($BH$3,0,0,'Données projet'!$E$11+1,1))-AVERAGE(OFFSET($H$3,0,0,'Données projet'!$E$11+1,1))</f>
        <v>389.67854939311752</v>
      </c>
      <c r="BJ18" s="62">
        <f t="shared" si="38"/>
        <v>420.05189970516096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5.5190909090909095</v>
      </c>
      <c r="BY18" s="13">
        <f>IF('Données projet'!$A$114&gt;35,BY17+BX18-CG17,IF(A18&lt;'Données projet'!$A$114,$BV$205^A18,IF(A18='Données projet'!$A$114,'Données projet'!$B$114,BY17+BX18-CG17)))</f>
        <v>26.369808383690565</v>
      </c>
      <c r="BZ18" s="14">
        <f>BY18*VLOOKUP('Données projet'!$B$12,Paramètres!$A$1:$I$89,3,0)*VLOOKUP('Données projet'!$B$12,Paramètres!$A$1:$I$89,5,0)</f>
        <v>15.083530395471003</v>
      </c>
      <c r="CA18" s="14">
        <f t="shared" si="39"/>
        <v>5.0684751101661325</v>
      </c>
      <c r="CB18" s="22">
        <f t="shared" si="10"/>
        <v>35.098076255651343</v>
      </c>
      <c r="CC18" s="62">
        <f t="shared" si="11"/>
        <v>254.40050870262738</v>
      </c>
      <c r="CD18" s="62">
        <f ca="1">AVERAGE(OFFSET($CC$3,0,0,'Données projet'!$E$12+1,1))-AVERAGE(OFFSET($H$3,0,0,'Données projet'!$E$12+1,1))</f>
        <v>312.16891625633968</v>
      </c>
      <c r="CE18" s="62">
        <f t="shared" si="40"/>
        <v>215.34305815516177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68.589743589743591</v>
      </c>
      <c r="CR18" s="13">
        <f>VLOOKUP(A18,'Données projet'!$A$139:$I$159,9,0)</f>
        <v>8.2051282051282062</v>
      </c>
      <c r="CS18" s="13">
        <f t="array" ref="CS18">INDEX(CR:CR,MIN(IF(ISNUMBER(CR18:CR214),ROW(CR18:CR214),"")))</f>
        <v>8.2051282051282062</v>
      </c>
      <c r="CT18" s="13">
        <f>IF('Données projet'!$A$140&gt;35,CT17+CS18-DB17,IF(A18&lt;'Données projet'!$A$140,$CQ$205^A18,IF(A18='Données projet'!$A$140,'Données projet'!$B$140,CT17+CS18-DB17)))</f>
        <v>68.589743589743591</v>
      </c>
      <c r="CU18" s="18">
        <f>CT18*VLOOKUP('Données projet'!$B$13,Paramètres!$A$1:$I$89,3,0)*VLOOKUP('Données projet'!$B$13,Paramètres!$A$1:$I$89,5,0)</f>
        <v>46.010000000000005</v>
      </c>
      <c r="CV18" s="14">
        <f t="shared" si="41"/>
        <v>13.578390619407827</v>
      </c>
      <c r="CW18" s="22">
        <f t="shared" si="13"/>
        <v>103.78311366213529</v>
      </c>
      <c r="CX18" s="62">
        <f t="shared" si="14"/>
        <v>323.08554610911131</v>
      </c>
      <c r="CY18" s="62">
        <f ca="1">AVERAGE(OFFSET($CX$3,0,0,'Données projet'!$E$13+1,1))-AVERAGE(OFFSET($H$3,0,0,'Données projet'!$E$13+1,1))</f>
        <v>369.04754428478793</v>
      </c>
      <c r="CZ18" s="62">
        <f t="shared" si="42"/>
        <v>277.00523259351712</v>
      </c>
      <c r="DA18" s="16">
        <f>IF(ISNA(VLOOKUP(A18,'Données projet'!$A$139:$I$159,3,0)),0,VLOOKUP(A18,'Données projet'!$A$139:$I$159,3,0))</f>
        <v>1</v>
      </c>
      <c r="DB18" s="16">
        <f>IF(ISNA(VLOOKUP(A18,'Données projet'!$A$139:$I$159,4,0)),0,VLOOKUP(A18,'Données projet'!$A$139:$I$159,4,0))</f>
        <v>19.871794871794872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40</v>
      </c>
      <c r="DM18" s="13">
        <f>VLOOKUP(A18,'Données projet'!$A$165:$I$185,9,0)</f>
        <v>2.6666666666666665</v>
      </c>
      <c r="DN18" s="13">
        <f t="array" ref="DN18">INDEX(DM:DM,MIN(IF(ISNUMBER(DM18:DM214),ROW(DM18:DM214),"")))</f>
        <v>2.6666666666666665</v>
      </c>
      <c r="DO18" s="13">
        <f>IF('Données projet'!$A$166&gt;35,DO17+DN18-DW17,IF(A18&lt;'Données projet'!$A$166,$DL$205^A18,IF(A18='Données projet'!$A$166,'Données projet'!$B$166,DO17+DN18-DW17)))</f>
        <v>40</v>
      </c>
      <c r="DP18" s="18">
        <f>DO18*VLOOKUP('Données projet'!$B$14,Paramètres!$A$1:$I$89,3,0)*VLOOKUP('Données projet'!$B$14,Paramètres!$A$1:$I$89,5,0)</f>
        <v>31.200000000000003</v>
      </c>
      <c r="DQ18" s="14">
        <f t="shared" si="43"/>
        <v>9.6335657126419925</v>
      </c>
      <c r="DR18" s="22">
        <f t="shared" si="16"/>
        <v>71.118460282851473</v>
      </c>
      <c r="DS18" s="62">
        <f t="shared" si="17"/>
        <v>290.42089272982753</v>
      </c>
      <c r="DT18" s="62">
        <f ca="1">AVERAGE(OFFSET($DS$3,0,0,'Données projet'!$E$14+1,1))-AVERAGE(OFFSET($H$3,0,0,'Données projet'!$E$14+1,1))</f>
        <v>308.39181291575227</v>
      </c>
      <c r="DU18" s="62">
        <f t="shared" si="44"/>
        <v>298.58225298824334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2.1</v>
      </c>
      <c r="EJ18" s="13">
        <f>IF('Données projet'!$A$192&gt;35,EJ17+EI18-ER17,IF(A18&lt;'Données projet'!$A$192,$EG$205^A18,IF(A18='Données projet'!$A$192,'Données projet'!$B$192,EJ17+EI18-ER17)))</f>
        <v>16.498215337821566</v>
      </c>
      <c r="EK18" s="18">
        <f>EJ18*VLOOKUP('Données projet'!$B$15,Paramètres!$A$1:$I$89,3,0)*VLOOKUP('Données projet'!$B$15,Paramètres!$A$1:$I$89,5,0)</f>
        <v>15.957073874741019</v>
      </c>
      <c r="EL18" s="14">
        <f t="shared" si="45"/>
        <v>5.3269860755326848</v>
      </c>
      <c r="EM18" s="22">
        <f t="shared" si="19"/>
        <v>37.069737746726702</v>
      </c>
      <c r="EN18" s="62">
        <f t="shared" si="20"/>
        <v>256.37217019370274</v>
      </c>
      <c r="EO18" s="62">
        <f ca="1">AVERAGE(OFFSET($EN$3,0,0,'Données projet'!$E$15+1,1))-AVERAGE(OFFSET($H$3,0,0,'Données projet'!$E$15+1,1))</f>
        <v>487.76433095707876</v>
      </c>
      <c r="EP18" s="62">
        <f t="shared" si="46"/>
        <v>276.24209151398361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2.1</v>
      </c>
      <c r="FE18" s="13">
        <f>IF('Données projet'!$A$218&gt;35,FE17+FD18-FM17,IF(A18&lt;'Données projet'!$A$218,$FB$205^A18,IF(A18='Données projet'!$A$218,'Données projet'!$B$218,FE17+FD18-FM17)))</f>
        <v>16.498215337821566</v>
      </c>
      <c r="FF18" s="18">
        <f>FE18*VLOOKUP('Données projet'!$B$16,Paramètres!$A$1:$I$89,3,0)*VLOOKUP('Données projet'!$B$16,Paramètres!$A$1:$I$89,5,0)</f>
        <v>17.758678989631132</v>
      </c>
      <c r="FG18" s="14">
        <f t="shared" si="47"/>
        <v>5.8550596146042126</v>
      </c>
      <c r="FH18" s="22">
        <f t="shared" si="22"/>
        <v>41.127261402376554</v>
      </c>
      <c r="FI18" s="62">
        <f t="shared" si="23"/>
        <v>260.42969384935259</v>
      </c>
      <c r="FJ18" s="62">
        <f ca="1">AVERAGE(OFFSET($FI$3,0,0,'Données projet'!$E$16+1,1))-AVERAGE(OFFSET($H$3,0,0,'Données projet'!$E$16+1,1))</f>
        <v>534.33392288300456</v>
      </c>
      <c r="FK18" s="62">
        <f t="shared" si="48"/>
        <v>300.93109615735477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>
        <f>VLOOKUP(A18,'Données projet'!$A$243:$I$263,2,0)</f>
        <v>41.666666666666664</v>
      </c>
      <c r="FX18" s="13">
        <f>VLOOKUP(A18,'Données projet'!$A$243:$I$263,9,0)</f>
        <v>2.7777777777777777</v>
      </c>
      <c r="FY18" s="13">
        <f t="array" ref="FY18">INDEX(FX:FX,MIN(IF(ISNUMBER(FX18:FX214),ROW(FX18:FX214),"")))</f>
        <v>2.7777777777777777</v>
      </c>
      <c r="FZ18" s="13">
        <f>IF('Données projet'!$A$244&gt;35,FZ17+FY18-GH17,IF(A18&lt;'Données projet'!$A$244,$FW$205^A18,IF(A18='Données projet'!$A$244,'Données projet'!$B$244,FZ17+FY18-GH17)))</f>
        <v>41.666666666666664</v>
      </c>
      <c r="GA18" s="18">
        <f>FZ18*VLOOKUP('Données projet'!$B$17,Paramètres!$A$1:$I$89,3,0)*VLOOKUP('Données projet'!$B$17,Paramètres!$A$1:$I$89,5,0)</f>
        <v>27.949999999999996</v>
      </c>
      <c r="GB18" s="14">
        <f t="shared" si="49"/>
        <v>8.7412800483747386</v>
      </c>
      <c r="GC18" s="22">
        <f t="shared" si="25"/>
        <v>63.903979417585994</v>
      </c>
      <c r="GD18" s="62">
        <f t="shared" si="26"/>
        <v>283.20641186456203</v>
      </c>
      <c r="GE18" s="62">
        <f ca="1">AVERAGE(OFFSET($GD$3,0,0,'Données projet'!$E$17+1,1))-AVERAGE(OFFSET($H$3,0,0,'Données projet'!$E$17+1,1))</f>
        <v>316.17772895535211</v>
      </c>
      <c r="GF18" s="62">
        <f t="shared" si="50"/>
        <v>251.94445589652992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54.809754303720737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3.95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14.483333333333334</v>
      </c>
      <c r="H19" s="70">
        <f t="shared" si="1"/>
        <v>198.73333333333335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3.65</v>
      </c>
      <c r="N19" s="14">
        <f>IF('Données projet'!$A$36&gt;35,N18+M19-V18,IF(A19&lt;'Données projet'!$A$36,$K$205^A19,IF(A19='Données projet'!$A$36,'Données projet'!$B$36,N18+M19-V18)))</f>
        <v>30.949831440200953</v>
      </c>
      <c r="O19" s="14">
        <f>N19*VLOOKUP('Données projet'!$B$9,Paramètres!$A$1:$I$89,3,0)*VLOOKUP('Données projet'!$B$9,Paramètres!$A$1:$I$89,5,0)</f>
        <v>26.072138005225284</v>
      </c>
      <c r="P19" s="14">
        <f t="shared" si="33"/>
        <v>8.2202636982343371</v>
      </c>
      <c r="Q19" s="22">
        <f t="shared" si="2"/>
        <v>59.725932966858835</v>
      </c>
      <c r="R19" s="62">
        <f t="shared" si="0"/>
        <v>281.21681591199564</v>
      </c>
      <c r="S19" s="62">
        <f ca="1">AVERAGE(OFFSET($R$3,0,0,'Données projet'!$E$9+1,1))-AVERAGE(OFFSET($H$3,0,0,'Données projet'!$E$9+1,1))</f>
        <v>508.93703669150443</v>
      </c>
      <c r="T19" s="62">
        <f t="shared" si="34"/>
        <v>277.04920840696707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2.1</v>
      </c>
      <c r="AI19" s="14">
        <f>IF('Données projet'!$A$62&gt;35,AI18+AH19-AQ18,IF(A19&lt;'Données projet'!$A$62,$AF$205^A19,IF(A19='Données projet'!$A$62,'Données projet'!$B$62,AI18+AH19-AQ18)))</f>
        <v>19.888381054913147</v>
      </c>
      <c r="AJ19" s="14">
        <f>AI19*VLOOKUP('Données projet'!$B$10,Paramètres!$A$1:$I$89,3,0)*VLOOKUP('Données projet'!$B$10,Paramètres!$A$1:$I$89,5,0)</f>
        <v>17.995007178485412</v>
      </c>
      <c r="AK19" s="14">
        <f t="shared" si="35"/>
        <v>5.9238546434872337</v>
      </c>
      <c r="AL19" s="22">
        <f t="shared" si="4"/>
        <v>41.658684339935689</v>
      </c>
      <c r="AM19" s="62">
        <f t="shared" si="5"/>
        <v>263.14956728507252</v>
      </c>
      <c r="AN19" s="62">
        <f ca="1">AVERAGE(OFFSET($AM$3,0,0,'Données projet'!$E$10+1,1))-AVERAGE(OFFSET($H$3,0,0,'Données projet'!$E$10+1,1))</f>
        <v>461.10503306101145</v>
      </c>
      <c r="AO19" s="62">
        <f t="shared" si="36"/>
        <v>262.10652147273288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13.8</v>
      </c>
      <c r="BD19" s="13">
        <f>IF('Données projet'!$A$88&gt;35,BD18+BC19-BL18,IF(A19&lt;'Données projet'!$A$88,$BA$205^A19,IF(A19='Données projet'!$A$88,'Données projet'!$B$88,BD18+BC19-BL18)))</f>
        <v>78.8</v>
      </c>
      <c r="BE19" s="14">
        <f>BD19*VLOOKUP('Données projet'!$B$11,Paramètres!$A$1:$I$89,3,0)*VLOOKUP('Données projet'!$B$11,Paramètres!$A$1:$I$89,5,0)</f>
        <v>62.693280000000009</v>
      </c>
      <c r="BF19" s="14">
        <f t="shared" si="37"/>
        <v>17.847464769732898</v>
      </c>
      <c r="BG19" s="22">
        <f t="shared" si="7"/>
        <v>140.27513047395146</v>
      </c>
      <c r="BH19" s="62">
        <f t="shared" si="8"/>
        <v>361.76601341908827</v>
      </c>
      <c r="BI19" s="62">
        <f ca="1">AVERAGE(OFFSET($BH$3,0,0,'Données projet'!$E$11+1,1))-AVERAGE(OFFSET($H$3,0,0,'Données projet'!$E$11+1,1))</f>
        <v>389.67854939311752</v>
      </c>
      <c r="BJ19" s="62">
        <f t="shared" si="38"/>
        <v>420.05189970516096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5.5190909090909095</v>
      </c>
      <c r="BY19" s="13">
        <f>IF('Données projet'!$A$114&gt;35,BY18+BX19-CG18,IF(A19&lt;'Données projet'!$A$114,$BV$205^A19,IF(A19='Données projet'!$A$114,'Données projet'!$B$114,BY18+BX19-CG18)))</f>
        <v>32.798005845452465</v>
      </c>
      <c r="BZ19" s="14">
        <f>BY19*VLOOKUP('Données projet'!$B$12,Paramètres!$A$1:$I$89,3,0)*VLOOKUP('Données projet'!$B$12,Paramètres!$A$1:$I$89,5,0)</f>
        <v>18.760459343598811</v>
      </c>
      <c r="CA19" s="14">
        <f t="shared" si="39"/>
        <v>6.1459637298191412</v>
      </c>
      <c r="CB19" s="22">
        <f t="shared" si="10"/>
        <v>43.378686852869599</v>
      </c>
      <c r="CC19" s="62">
        <f t="shared" si="11"/>
        <v>264.86956979800641</v>
      </c>
      <c r="CD19" s="62">
        <f ca="1">AVERAGE(OFFSET($CC$3,0,0,'Données projet'!$E$12+1,1))-AVERAGE(OFFSET($H$3,0,0,'Données projet'!$E$12+1,1))</f>
        <v>312.16891625633968</v>
      </c>
      <c r="CE19" s="62">
        <f t="shared" si="40"/>
        <v>215.34305815516177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9.3589743589743595</v>
      </c>
      <c r="CT19" s="13">
        <f>IF('Données projet'!$A$140&gt;35,CT18+CS19-DB18,IF(A19&lt;'Données projet'!$A$140,$CQ$205^A19,IF(A19='Données projet'!$A$140,'Données projet'!$B$140,CT18+CS19-DB18)))</f>
        <v>58.07692307692308</v>
      </c>
      <c r="CU19" s="18">
        <f>CT19*VLOOKUP('Données projet'!$B$13,Paramètres!$A$1:$I$89,3,0)*VLOOKUP('Données projet'!$B$13,Paramètres!$A$1:$I$89,5,0)</f>
        <v>38.958000000000006</v>
      </c>
      <c r="CV19" s="14">
        <f t="shared" si="41"/>
        <v>11.722041853282947</v>
      </c>
      <c r="CW19" s="22">
        <f t="shared" si="13"/>
        <v>88.267739561134462</v>
      </c>
      <c r="CX19" s="62">
        <f t="shared" si="14"/>
        <v>309.75862250627125</v>
      </c>
      <c r="CY19" s="62">
        <f ca="1">AVERAGE(OFFSET($CX$3,0,0,'Données projet'!$E$13+1,1))-AVERAGE(OFFSET($H$3,0,0,'Données projet'!$E$13+1,1))</f>
        <v>369.04754428478793</v>
      </c>
      <c r="CZ19" s="62">
        <f t="shared" si="42"/>
        <v>277.00523259351712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9.6</v>
      </c>
      <c r="DO19" s="13">
        <f>IF('Données projet'!$A$166&gt;35,DO18+DN19-DW18,IF(A19&lt;'Données projet'!$A$166,$DL$205^A19,IF(A19='Données projet'!$A$166,'Données projet'!$B$166,DO18+DN19-DW18)))</f>
        <v>49.6</v>
      </c>
      <c r="DP19" s="18">
        <f>DO19*VLOOKUP('Données projet'!$B$14,Paramètres!$A$1:$I$89,3,0)*VLOOKUP('Données projet'!$B$14,Paramètres!$A$1:$I$89,5,0)</f>
        <v>38.688000000000002</v>
      </c>
      <c r="DQ19" s="14">
        <f t="shared" si="43"/>
        <v>11.650229083154354</v>
      </c>
      <c r="DR19" s="22">
        <f t="shared" si="16"/>
        <v>87.672415653160499</v>
      </c>
      <c r="DS19" s="62">
        <f t="shared" si="17"/>
        <v>309.16329859829727</v>
      </c>
      <c r="DT19" s="62">
        <f ca="1">AVERAGE(OFFSET($DS$3,0,0,'Données projet'!$E$14+1,1))-AVERAGE(OFFSET($H$3,0,0,'Données projet'!$E$14+1,1))</f>
        <v>308.39181291575227</v>
      </c>
      <c r="DU19" s="62">
        <f t="shared" si="44"/>
        <v>298.58225298824334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2.1</v>
      </c>
      <c r="EJ19" s="13">
        <f>IF('Données projet'!$A$192&gt;35,EJ18+EI19-ER18,IF(A19&lt;'Données projet'!$A$192,$EG$205^A19,IF(A19='Données projet'!$A$192,'Données projet'!$B$192,EJ18+EI19-ER18)))</f>
        <v>19.888381054913147</v>
      </c>
      <c r="EK19" s="18">
        <f>EJ19*VLOOKUP('Données projet'!$B$15,Paramètres!$A$1:$I$89,3,0)*VLOOKUP('Données projet'!$B$15,Paramètres!$A$1:$I$89,5,0)</f>
        <v>19.236042156311996</v>
      </c>
      <c r="EL19" s="14">
        <f t="shared" si="45"/>
        <v>6.2834290449348904</v>
      </c>
      <c r="EM19" s="22">
        <f t="shared" si="19"/>
        <v>44.446412342171662</v>
      </c>
      <c r="EN19" s="62">
        <f t="shared" si="20"/>
        <v>265.93729528730847</v>
      </c>
      <c r="EO19" s="62">
        <f ca="1">AVERAGE(OFFSET($EN$3,0,0,'Données projet'!$E$15+1,1))-AVERAGE(OFFSET($H$3,0,0,'Données projet'!$E$15+1,1))</f>
        <v>487.76433095707876</v>
      </c>
      <c r="EP19" s="62">
        <f t="shared" si="46"/>
        <v>276.24209151398361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2.1</v>
      </c>
      <c r="FE19" s="13">
        <f>IF('Données projet'!$A$218&gt;35,FE18+FD19-FM18,IF(A19&lt;'Données projet'!$A$218,$FB$205^A19,IF(A19='Données projet'!$A$218,'Données projet'!$B$218,FE18+FD19-FM18)))</f>
        <v>19.888381054913147</v>
      </c>
      <c r="FF19" s="18">
        <f>FE19*VLOOKUP('Données projet'!$B$16,Paramètres!$A$1:$I$89,3,0)*VLOOKUP('Données projet'!$B$16,Paramètres!$A$1:$I$89,5,0)</f>
        <v>21.407853367508512</v>
      </c>
      <c r="FG19" s="14">
        <f t="shared" si="47"/>
        <v>6.906316464991046</v>
      </c>
      <c r="FH19" s="22">
        <f t="shared" si="22"/>
        <v>49.313845791603399</v>
      </c>
      <c r="FI19" s="62">
        <f t="shared" si="23"/>
        <v>270.80472873674023</v>
      </c>
      <c r="FJ19" s="62">
        <f ca="1">AVERAGE(OFFSET($FI$3,0,0,'Données projet'!$E$16+1,1))-AVERAGE(OFFSET($H$3,0,0,'Données projet'!$E$16+1,1))</f>
        <v>534.33392288300456</v>
      </c>
      <c r="FK19" s="62">
        <f t="shared" si="48"/>
        <v>300.93109615735477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7.4358974358974352</v>
      </c>
      <c r="FZ19" s="13">
        <f>IF('Données projet'!$A$244&gt;35,FZ18+FY19-GH18,IF(A19&lt;'Données projet'!$A$244,$FW$205^A19,IF(A19='Données projet'!$A$244,'Données projet'!$B$244,FZ18+FY19-GH18)))</f>
        <v>49.102564102564102</v>
      </c>
      <c r="GA19" s="18">
        <f>FZ19*VLOOKUP('Données projet'!$B$17,Paramètres!$A$1:$I$89,3,0)*VLOOKUP('Données projet'!$B$17,Paramètres!$A$1:$I$89,5,0)</f>
        <v>32.938000000000002</v>
      </c>
      <c r="GB19" s="14">
        <f t="shared" si="49"/>
        <v>10.106233613312263</v>
      </c>
      <c r="GC19" s="22">
        <f t="shared" si="25"/>
        <v>74.968706876518851</v>
      </c>
      <c r="GD19" s="62">
        <f t="shared" si="26"/>
        <v>296.45958982165564</v>
      </c>
      <c r="GE19" s="62">
        <f ca="1">AVERAGE(OFFSET($GD$3,0,0,'Données projet'!$E$17+1,1))-AVERAGE(OFFSET($H$3,0,0,'Données projet'!$E$17+1,1))</f>
        <v>316.17772895535211</v>
      </c>
      <c r="GF19" s="62">
        <f t="shared" si="50"/>
        <v>251.94445589652992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55.073271106249422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3.95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14.483333333333334</v>
      </c>
      <c r="H20" s="70">
        <f t="shared" si="1"/>
        <v>198.73333333333335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3.65</v>
      </c>
      <c r="N20" s="14">
        <f>IF('Données projet'!$A$36&gt;35,N19+M20-V19,IF(A20&lt;'Données projet'!$A$36,$K$205^A20,IF(A20='Données projet'!$A$36,'Données projet'!$B$36,N19+M20-V19)))</f>
        <v>38.355215845858055</v>
      </c>
      <c r="O20" s="14">
        <f>N20*VLOOKUP('Données projet'!$B$9,Paramètres!$A$1:$I$89,3,0)*VLOOKUP('Données projet'!$B$9,Paramètres!$A$1:$I$89,5,0)</f>
        <v>32.310433828550828</v>
      </c>
      <c r="P20" s="14">
        <f t="shared" si="33"/>
        <v>9.9359032392271498</v>
      </c>
      <c r="Q20" s="22">
        <f t="shared" si="2"/>
        <v>73.579037059713301</v>
      </c>
      <c r="R20" s="62">
        <f t="shared" si="0"/>
        <v>297.2416086025861</v>
      </c>
      <c r="S20" s="62">
        <f ca="1">AVERAGE(OFFSET($R$3,0,0,'Données projet'!$E$9+1,1))-AVERAGE(OFFSET($H$3,0,0,'Données projet'!$E$9+1,1))</f>
        <v>508.93703669150443</v>
      </c>
      <c r="T20" s="62">
        <f t="shared" si="34"/>
        <v>277.04920840696707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2.1</v>
      </c>
      <c r="AI20" s="14">
        <f>IF('Données projet'!$A$62&gt;35,AI19+AH20-AQ19,IF(A20&lt;'Données projet'!$A$62,$AF$205^A20,IF(A20='Données projet'!$A$62,'Données projet'!$B$62,AI19+AH20-AQ19)))</f>
        <v>23.975181126327602</v>
      </c>
      <c r="AJ20" s="14">
        <f>AI20*VLOOKUP('Données projet'!$B$10,Paramètres!$A$1:$I$89,3,0)*VLOOKUP('Données projet'!$B$10,Paramètres!$A$1:$I$89,5,0)</f>
        <v>21.692743883101215</v>
      </c>
      <c r="AK20" s="14">
        <f t="shared" si="35"/>
        <v>6.98746341685115</v>
      </c>
      <c r="AL20" s="22">
        <f t="shared" si="4"/>
        <v>49.951361047417038</v>
      </c>
      <c r="AM20" s="62">
        <f t="shared" si="5"/>
        <v>273.61393259028983</v>
      </c>
      <c r="AN20" s="62">
        <f ca="1">AVERAGE(OFFSET($AM$3,0,0,'Données projet'!$E$10+1,1))-AVERAGE(OFFSET($H$3,0,0,'Données projet'!$E$10+1,1))</f>
        <v>461.10503306101145</v>
      </c>
      <c r="AO20" s="62">
        <f t="shared" si="36"/>
        <v>262.10652147273288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13.8</v>
      </c>
      <c r="BD20" s="13">
        <f>IF('Données projet'!$A$88&gt;35,BD19+BC20-BL19,IF(A20&lt;'Données projet'!$A$88,$BA$205^A20,IF(A20='Données projet'!$A$88,'Données projet'!$B$88,BD19+BC20-BL19)))</f>
        <v>92.6</v>
      </c>
      <c r="BE20" s="14">
        <f>BD20*VLOOKUP('Données projet'!$B$11,Paramètres!$A$1:$I$89,3,0)*VLOOKUP('Données projet'!$B$11,Paramètres!$A$1:$I$89,5,0)</f>
        <v>73.672560000000004</v>
      </c>
      <c r="BF20" s="14">
        <f t="shared" si="37"/>
        <v>20.582751720906476</v>
      </c>
      <c r="BG20" s="22">
        <f t="shared" si="7"/>
        <v>164.16133458057877</v>
      </c>
      <c r="BH20" s="62">
        <f t="shared" si="8"/>
        <v>387.82390612345159</v>
      </c>
      <c r="BI20" s="62">
        <f ca="1">AVERAGE(OFFSET($BH$3,0,0,'Données projet'!$E$11+1,1))-AVERAGE(OFFSET($H$3,0,0,'Données projet'!$E$11+1,1))</f>
        <v>389.67854939311752</v>
      </c>
      <c r="BJ20" s="62">
        <f t="shared" si="38"/>
        <v>420.05189970516096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5.5190909090909095</v>
      </c>
      <c r="BY20" s="13">
        <f>IF('Données projet'!$A$114&gt;35,BY19+BX20-CG19,IF(A20&lt;'Données projet'!$A$114,$BV$205^A20,IF(A20='Données projet'!$A$114,'Données projet'!$B$114,BY19+BX20-CG19)))</f>
        <v>40.793212138152981</v>
      </c>
      <c r="BZ20" s="14">
        <f>BY20*VLOOKUP('Données projet'!$B$12,Paramètres!$A$1:$I$89,3,0)*VLOOKUP('Données projet'!$B$12,Paramètres!$A$1:$I$89,5,0)</f>
        <v>23.333717343023505</v>
      </c>
      <c r="CA20" s="14">
        <f t="shared" si="39"/>
        <v>7.4525117214227166</v>
      </c>
      <c r="CB20" s="22">
        <f t="shared" si="10"/>
        <v>53.619348953910503</v>
      </c>
      <c r="CC20" s="62">
        <f t="shared" si="11"/>
        <v>277.2819204967833</v>
      </c>
      <c r="CD20" s="62">
        <f ca="1">AVERAGE(OFFSET($CC$3,0,0,'Données projet'!$E$12+1,1))-AVERAGE(OFFSET($H$3,0,0,'Données projet'!$E$12+1,1))</f>
        <v>312.16891625633968</v>
      </c>
      <c r="CE20" s="62">
        <f t="shared" si="40"/>
        <v>215.34305815516177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9.3589743589743595</v>
      </c>
      <c r="CT20" s="13">
        <f>IF('Données projet'!$A$140&gt;35,CT19+CS20-DB19,IF(A20&lt;'Données projet'!$A$140,$CQ$205^A20,IF(A20='Données projet'!$A$140,'Données projet'!$B$140,CT19+CS20-DB19)))</f>
        <v>67.435897435897445</v>
      </c>
      <c r="CU20" s="18">
        <f>CT20*VLOOKUP('Données projet'!$B$13,Paramètres!$A$1:$I$89,3,0)*VLOOKUP('Données projet'!$B$13,Paramètres!$A$1:$I$89,5,0)</f>
        <v>45.236000000000004</v>
      </c>
      <c r="CV20" s="14">
        <f t="shared" si="41"/>
        <v>13.376358504258876</v>
      </c>
      <c r="CW20" s="22">
        <f t="shared" si="13"/>
        <v>102.0831910615842</v>
      </c>
      <c r="CX20" s="62">
        <f t="shared" si="14"/>
        <v>325.74576260445701</v>
      </c>
      <c r="CY20" s="62">
        <f ca="1">AVERAGE(OFFSET($CX$3,0,0,'Données projet'!$E$13+1,1))-AVERAGE(OFFSET($H$3,0,0,'Données projet'!$E$13+1,1))</f>
        <v>369.04754428478793</v>
      </c>
      <c r="CZ20" s="62">
        <f t="shared" si="42"/>
        <v>277.00523259351712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9.6</v>
      </c>
      <c r="DO20" s="13">
        <f>IF('Données projet'!$A$166&gt;35,DO19+DN20-DW19,IF(A20&lt;'Données projet'!$A$166,$DL$205^A20,IF(A20='Données projet'!$A$166,'Données projet'!$B$166,DO19+DN20-DW19)))</f>
        <v>59.2</v>
      </c>
      <c r="DP20" s="18">
        <f>DO20*VLOOKUP('Données projet'!$B$14,Paramètres!$A$1:$I$89,3,0)*VLOOKUP('Données projet'!$B$14,Paramètres!$A$1:$I$89,5,0)</f>
        <v>46.176000000000002</v>
      </c>
      <c r="DQ20" s="14">
        <f t="shared" si="43"/>
        <v>13.621668778540489</v>
      </c>
      <c r="DR20" s="22">
        <f t="shared" si="16"/>
        <v>104.14760645595801</v>
      </c>
      <c r="DS20" s="62">
        <f t="shared" si="17"/>
        <v>327.8101779988308</v>
      </c>
      <c r="DT20" s="62">
        <f ca="1">AVERAGE(OFFSET($DS$3,0,0,'Données projet'!$E$14+1,1))-AVERAGE(OFFSET($H$3,0,0,'Données projet'!$E$14+1,1))</f>
        <v>308.39181291575227</v>
      </c>
      <c r="DU20" s="62">
        <f t="shared" si="44"/>
        <v>298.58225298824334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2.1</v>
      </c>
      <c r="EJ20" s="13">
        <f>IF('Données projet'!$A$192&gt;35,EJ19+EI20-ER19,IF(A20&lt;'Données projet'!$A$192,$EG$205^A20,IF(A20='Données projet'!$A$192,'Données projet'!$B$192,EJ19+EI20-ER19)))</f>
        <v>23.975181126327602</v>
      </c>
      <c r="EK20" s="18">
        <f>EJ20*VLOOKUP('Données projet'!$B$15,Paramètres!$A$1:$I$89,3,0)*VLOOKUP('Données projet'!$B$15,Paramètres!$A$1:$I$89,5,0)</f>
        <v>23.188795185384055</v>
      </c>
      <c r="EL20" s="14">
        <f t="shared" si="45"/>
        <v>7.4115982288884323</v>
      </c>
      <c r="EM20" s="22">
        <f t="shared" si="19"/>
        <v>53.29568519652458</v>
      </c>
      <c r="EN20" s="62">
        <f t="shared" si="20"/>
        <v>276.95825673939737</v>
      </c>
      <c r="EO20" s="62">
        <f ca="1">AVERAGE(OFFSET($EN$3,0,0,'Données projet'!$E$15+1,1))-AVERAGE(OFFSET($H$3,0,0,'Données projet'!$E$15+1,1))</f>
        <v>487.76433095707876</v>
      </c>
      <c r="EP20" s="62">
        <f t="shared" si="46"/>
        <v>276.24209151398361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2.1</v>
      </c>
      <c r="FE20" s="13">
        <f>IF('Données projet'!$A$218&gt;35,FE19+FD20-FM19,IF(A20&lt;'Données projet'!$A$218,$FB$205^A20,IF(A20='Données projet'!$A$218,'Données projet'!$B$218,FE19+FD20-FM19)))</f>
        <v>23.975181126327602</v>
      </c>
      <c r="FF20" s="18">
        <f>FE20*VLOOKUP('Données projet'!$B$16,Paramètres!$A$1:$I$89,3,0)*VLOOKUP('Données projet'!$B$16,Paramètres!$A$1:$I$89,5,0)</f>
        <v>25.80688496437903</v>
      </c>
      <c r="FG20" s="14">
        <f t="shared" si="47"/>
        <v>8.146323052908933</v>
      </c>
      <c r="FH20" s="22">
        <f t="shared" si="22"/>
        <v>59.135170630109862</v>
      </c>
      <c r="FI20" s="62">
        <f t="shared" si="23"/>
        <v>282.79774217298268</v>
      </c>
      <c r="FJ20" s="62">
        <f ca="1">AVERAGE(OFFSET($FI$3,0,0,'Données projet'!$E$16+1,1))-AVERAGE(OFFSET($H$3,0,0,'Données projet'!$E$16+1,1))</f>
        <v>534.33392288300456</v>
      </c>
      <c r="FK20" s="62">
        <f t="shared" si="48"/>
        <v>300.93109615735477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7.4358974358974352</v>
      </c>
      <c r="FZ20" s="13">
        <f>IF('Données projet'!$A$244&gt;35,FZ19+FY20-GH19,IF(A20&lt;'Données projet'!$A$244,$FW$205^A20,IF(A20='Données projet'!$A$244,'Données projet'!$B$244,FZ19+FY20-GH19)))</f>
        <v>56.53846153846154</v>
      </c>
      <c r="GA20" s="18">
        <f>FZ20*VLOOKUP('Données projet'!$B$17,Paramètres!$A$1:$I$89,3,0)*VLOOKUP('Données projet'!$B$17,Paramètres!$A$1:$I$89,5,0)</f>
        <v>37.926000000000002</v>
      </c>
      <c r="GB20" s="14">
        <f t="shared" si="49"/>
        <v>11.447241207652391</v>
      </c>
      <c r="GC20" s="22">
        <f t="shared" si="25"/>
        <v>85.991728436661262</v>
      </c>
      <c r="GD20" s="62">
        <f t="shared" si="26"/>
        <v>309.65429997953407</v>
      </c>
      <c r="GE20" s="62">
        <f ca="1">AVERAGE(OFFSET($GD$3,0,0,'Données projet'!$E$17+1,1))-AVERAGE(OFFSET($H$3,0,0,'Données projet'!$E$17+1,1))</f>
        <v>316.17772895535211</v>
      </c>
      <c r="GF20" s="62">
        <f t="shared" si="50"/>
        <v>251.94445589652992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55.332216481389551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3.95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14.483333333333334</v>
      </c>
      <c r="H21" s="70">
        <f t="shared" si="1"/>
        <v>198.73333333333335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3.65</v>
      </c>
      <c r="N21" s="14">
        <f>IF('Données projet'!$A$36&gt;35,N20+M21-V20,IF(A21&lt;'Données projet'!$A$36,$K$205^A21,IF(A21='Données projet'!$A$36,'Données projet'!$B$36,N20+M21-V20)))</f>
        <v>47.532490941824946</v>
      </c>
      <c r="O21" s="14">
        <f>N21*VLOOKUP('Données projet'!$B$9,Paramètres!$A$1:$I$89,3,0)*VLOOKUP('Données projet'!$B$9,Paramètres!$A$1:$I$89,5,0)</f>
        <v>40.041370369393334</v>
      </c>
      <c r="P21" s="14">
        <f t="shared" si="33"/>
        <v>12.009611467876571</v>
      </c>
      <c r="Q21" s="22">
        <f t="shared" si="2"/>
        <v>90.655460033245092</v>
      </c>
      <c r="R21" s="62">
        <f t="shared" si="0"/>
        <v>316.47324905492752</v>
      </c>
      <c r="S21" s="62">
        <f ca="1">AVERAGE(OFFSET($R$3,0,0,'Données projet'!$E$9+1,1))-AVERAGE(OFFSET($H$3,0,0,'Données projet'!$E$9+1,1))</f>
        <v>508.93703669150443</v>
      </c>
      <c r="T21" s="62">
        <f t="shared" si="34"/>
        <v>277.04920840696707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2.1</v>
      </c>
      <c r="AI21" s="14">
        <f>IF('Données projet'!$A$62&gt;35,AI20+AH21-AQ20,IF(A21&lt;'Données projet'!$A$62,$AF$205^A21,IF(A21='Données projet'!$A$62,'Données projet'!$B$62,AI20+AH21-AQ20)))</f>
        <v>28.901764726506816</v>
      </c>
      <c r="AJ21" s="14">
        <f>AI21*VLOOKUP('Données projet'!$B$10,Paramètres!$A$1:$I$89,3,0)*VLOOKUP('Données projet'!$B$10,Paramètres!$A$1:$I$89,5,0)</f>
        <v>26.150316724543362</v>
      </c>
      <c r="AK21" s="14">
        <f t="shared" si="35"/>
        <v>8.2420396752158016</v>
      </c>
      <c r="AL21" s="22">
        <f t="shared" si="4"/>
        <v>59.900020729580547</v>
      </c>
      <c r="AM21" s="62">
        <f t="shared" si="5"/>
        <v>285.71780975126296</v>
      </c>
      <c r="AN21" s="62">
        <f ca="1">AVERAGE(OFFSET($AM$3,0,0,'Données projet'!$E$10+1,1))-AVERAGE(OFFSET($H$3,0,0,'Données projet'!$E$10+1,1))</f>
        <v>461.10503306101145</v>
      </c>
      <c r="AO21" s="62">
        <f t="shared" si="36"/>
        <v>262.10652147273288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13.8</v>
      </c>
      <c r="BD21" s="13">
        <f>IF('Données projet'!$A$88&gt;35,BD20+BC21-BL20,IF(A21&lt;'Données projet'!$A$88,$BA$205^A21,IF(A21='Données projet'!$A$88,'Données projet'!$B$88,BD20+BC21-BL20)))</f>
        <v>106.39999999999999</v>
      </c>
      <c r="BE21" s="14">
        <f>BD21*VLOOKUP('Données projet'!$B$11,Paramètres!$A$1:$I$89,3,0)*VLOOKUP('Données projet'!$B$11,Paramètres!$A$1:$I$89,5,0)</f>
        <v>84.651839999999993</v>
      </c>
      <c r="BF21" s="14">
        <f t="shared" si="37"/>
        <v>23.2708148096863</v>
      </c>
      <c r="BG21" s="22">
        <f t="shared" si="7"/>
        <v>187.96529046020362</v>
      </c>
      <c r="BH21" s="62">
        <f t="shared" si="8"/>
        <v>413.78307948188603</v>
      </c>
      <c r="BI21" s="62">
        <f ca="1">AVERAGE(OFFSET($BH$3,0,0,'Données projet'!$E$11+1,1))-AVERAGE(OFFSET($H$3,0,0,'Données projet'!$E$11+1,1))</f>
        <v>389.67854939311752</v>
      </c>
      <c r="BJ21" s="62">
        <f t="shared" si="38"/>
        <v>420.05189970516096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5.5190909090909095</v>
      </c>
      <c r="BY21" s="13">
        <f>IF('Données projet'!$A$114&gt;35,BY20+BX21-CG20,IF(A21&lt;'Données projet'!$A$114,$BV$205^A21,IF(A21='Données projet'!$A$114,'Données projet'!$B$114,BY20+BX21-CG20)))</f>
        <v>50.737418743983852</v>
      </c>
      <c r="BZ21" s="14">
        <f>BY21*VLOOKUP('Données projet'!$B$12,Paramètres!$A$1:$I$89,3,0)*VLOOKUP('Données projet'!$B$12,Paramètres!$A$1:$I$89,5,0)</f>
        <v>29.021803521558766</v>
      </c>
      <c r="CA21" s="14">
        <f t="shared" si="39"/>
        <v>9.0368139806086045</v>
      </c>
      <c r="CB21" s="22">
        <f t="shared" si="10"/>
        <v>66.285425482941505</v>
      </c>
      <c r="CC21" s="62">
        <f t="shared" si="11"/>
        <v>292.10321450462396</v>
      </c>
      <c r="CD21" s="62">
        <f ca="1">AVERAGE(OFFSET($CC$3,0,0,'Données projet'!$E$12+1,1))-AVERAGE(OFFSET($H$3,0,0,'Données projet'!$E$12+1,1))</f>
        <v>312.16891625633968</v>
      </c>
      <c r="CE21" s="62">
        <f t="shared" si="40"/>
        <v>215.34305815516177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9.3589743589743595</v>
      </c>
      <c r="CT21" s="13">
        <f>IF('Données projet'!$A$140&gt;35,CT20+CS21-DB20,IF(A21&lt;'Données projet'!$A$140,$CQ$205^A21,IF(A21='Données projet'!$A$140,'Données projet'!$B$140,CT20+CS21-DB20)))</f>
        <v>76.79487179487181</v>
      </c>
      <c r="CU21" s="18">
        <f>CT21*VLOOKUP('Données projet'!$B$13,Paramètres!$A$1:$I$89,3,0)*VLOOKUP('Données projet'!$B$13,Paramètres!$A$1:$I$89,5,0)</f>
        <v>51.514000000000003</v>
      </c>
      <c r="CV21" s="14">
        <f t="shared" si="41"/>
        <v>15.004075355320875</v>
      </c>
      <c r="CW21" s="22">
        <f t="shared" si="13"/>
        <v>115.85231457718385</v>
      </c>
      <c r="CX21" s="62">
        <f t="shared" si="14"/>
        <v>341.67010359886626</v>
      </c>
      <c r="CY21" s="62">
        <f ca="1">AVERAGE(OFFSET($CX$3,0,0,'Données projet'!$E$13+1,1))-AVERAGE(OFFSET($H$3,0,0,'Données projet'!$E$13+1,1))</f>
        <v>369.04754428478793</v>
      </c>
      <c r="CZ21" s="62">
        <f t="shared" si="42"/>
        <v>277.00523259351712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9.6</v>
      </c>
      <c r="DO21" s="13">
        <f>IF('Données projet'!$A$166&gt;35,DO20+DN21-DW20,IF(A21&lt;'Données projet'!$A$166,$DL$205^A21,IF(A21='Données projet'!$A$166,'Données projet'!$B$166,DO20+DN21-DW20)))</f>
        <v>68.8</v>
      </c>
      <c r="DP21" s="18">
        <f>DO21*VLOOKUP('Données projet'!$B$14,Paramètres!$A$1:$I$89,3,0)*VLOOKUP('Données projet'!$B$14,Paramètres!$A$1:$I$89,5,0)</f>
        <v>53.664000000000001</v>
      </c>
      <c r="DQ21" s="14">
        <f t="shared" si="43"/>
        <v>15.556073979202782</v>
      </c>
      <c r="DR21" s="22">
        <f t="shared" si="16"/>
        <v>120.55829551377816</v>
      </c>
      <c r="DS21" s="62">
        <f t="shared" si="17"/>
        <v>346.37608453546062</v>
      </c>
      <c r="DT21" s="62">
        <f ca="1">AVERAGE(OFFSET($DS$3,0,0,'Données projet'!$E$14+1,1))-AVERAGE(OFFSET($H$3,0,0,'Données projet'!$E$14+1,1))</f>
        <v>308.39181291575227</v>
      </c>
      <c r="DU21" s="62">
        <f t="shared" si="44"/>
        <v>298.58225298824334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2.1</v>
      </c>
      <c r="EJ21" s="13">
        <f>IF('Données projet'!$A$192&gt;35,EJ20+EI21-ER20,IF(A21&lt;'Données projet'!$A$192,$EG$205^A21,IF(A21='Données projet'!$A$192,'Données projet'!$B$192,EJ20+EI21-ER20)))</f>
        <v>28.901764726506816</v>
      </c>
      <c r="EK21" s="18">
        <f>EJ21*VLOOKUP('Données projet'!$B$15,Paramètres!$A$1:$I$89,3,0)*VLOOKUP('Données projet'!$B$15,Paramètres!$A$1:$I$89,5,0)</f>
        <v>27.953786843477392</v>
      </c>
      <c r="EL21" s="14">
        <f t="shared" si="45"/>
        <v>8.7423265089215931</v>
      </c>
      <c r="EM21" s="22">
        <f t="shared" si="19"/>
        <v>63.912397422094891</v>
      </c>
      <c r="EN21" s="62">
        <f t="shared" si="20"/>
        <v>289.73018644377731</v>
      </c>
      <c r="EO21" s="62">
        <f ca="1">AVERAGE(OFFSET($EN$3,0,0,'Données projet'!$E$15+1,1))-AVERAGE(OFFSET($H$3,0,0,'Données projet'!$E$15+1,1))</f>
        <v>487.76433095707876</v>
      </c>
      <c r="EP21" s="62">
        <f t="shared" si="46"/>
        <v>276.24209151398361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2.1</v>
      </c>
      <c r="FE21" s="13">
        <f>IF('Données projet'!$A$218&gt;35,FE20+FD21-FM20,IF(A21&lt;'Données projet'!$A$218,$FB$205^A21,IF(A21='Données projet'!$A$218,'Données projet'!$B$218,FE20+FD21-FM20)))</f>
        <v>28.901764726506816</v>
      </c>
      <c r="FF21" s="18">
        <f>FE21*VLOOKUP('Données projet'!$B$16,Paramètres!$A$1:$I$89,3,0)*VLOOKUP('Données projet'!$B$16,Paramètres!$A$1:$I$89,5,0)</f>
        <v>31.109859551611933</v>
      </c>
      <c r="FG21" s="14">
        <f t="shared" si="47"/>
        <v>9.6089687778941872</v>
      </c>
      <c r="FH21" s="22">
        <f t="shared" si="22"/>
        <v>70.918626007223153</v>
      </c>
      <c r="FI21" s="62">
        <f t="shared" si="23"/>
        <v>296.73641502890558</v>
      </c>
      <c r="FJ21" s="62">
        <f ca="1">AVERAGE(OFFSET($FI$3,0,0,'Données projet'!$E$16+1,1))-AVERAGE(OFFSET($H$3,0,0,'Données projet'!$E$16+1,1))</f>
        <v>534.33392288300456</v>
      </c>
      <c r="FK21" s="62">
        <f t="shared" si="48"/>
        <v>300.93109615735477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7.4358974358974352</v>
      </c>
      <c r="FZ21" s="13">
        <f>IF('Données projet'!$A$244&gt;35,FZ20+FY21-GH20,IF(A21&lt;'Données projet'!$A$244,$FW$205^A21,IF(A21='Données projet'!$A$244,'Données projet'!$B$244,FZ20+FY21-GH20)))</f>
        <v>63.974358974358978</v>
      </c>
      <c r="GA21" s="18">
        <f>FZ21*VLOOKUP('Données projet'!$B$17,Paramètres!$A$1:$I$89,3,0)*VLOOKUP('Données projet'!$B$17,Paramètres!$A$1:$I$89,5,0)</f>
        <v>42.914000000000001</v>
      </c>
      <c r="GB21" s="14">
        <f t="shared" si="49"/>
        <v>12.767813741258394</v>
      </c>
      <c r="GC21" s="22">
        <f t="shared" si="25"/>
        <v>96.979158932691703</v>
      </c>
      <c r="GD21" s="62">
        <f t="shared" si="26"/>
        <v>322.79694795437416</v>
      </c>
      <c r="GE21" s="62">
        <f ca="1">AVERAGE(OFFSET($GD$3,0,0,'Données projet'!$E$17+1,1))-AVERAGE(OFFSET($H$3,0,0,'Données projet'!$E$17+1,1))</f>
        <v>316.17772895535211</v>
      </c>
      <c r="GF21" s="62">
        <f t="shared" si="50"/>
        <v>251.94445589652992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55.586669733186127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3.95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14.483333333333334</v>
      </c>
      <c r="H22" s="70">
        <f t="shared" si="1"/>
        <v>198.73333333333335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3.65</v>
      </c>
      <c r="N22" s="14">
        <f>IF('Données projet'!$A$36&gt;35,N21+M22-V21,IF(A22&lt;'Données projet'!$A$36,$K$205^A22,IF(A22='Données projet'!$A$36,'Données projet'!$B$36,N21+M22-V21)))</f>
        <v>58.90561805764559</v>
      </c>
      <c r="O22" s="14">
        <f>N22*VLOOKUP('Données projet'!$B$9,Paramètres!$A$1:$I$89,3,0)*VLOOKUP('Données projet'!$B$9,Paramètres!$A$1:$I$89,5,0)</f>
        <v>49.622092651760646</v>
      </c>
      <c r="P22" s="14">
        <f t="shared" si="33"/>
        <v>14.516120390537463</v>
      </c>
      <c r="Q22" s="22">
        <f t="shared" si="2"/>
        <v>111.70738771533587</v>
      </c>
      <c r="R22" s="62">
        <f t="shared" si="0"/>
        <v>339.6642088339911</v>
      </c>
      <c r="S22" s="62">
        <f ca="1">AVERAGE(OFFSET($R$3,0,0,'Données projet'!$E$9+1,1))-AVERAGE(OFFSET($H$3,0,0,'Données projet'!$E$9+1,1))</f>
        <v>508.93703669150443</v>
      </c>
      <c r="T22" s="62">
        <f t="shared" si="34"/>
        <v>277.04920840696707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2.1</v>
      </c>
      <c r="AI22" s="14">
        <f>IF('Données projet'!$A$62&gt;35,AI21+AH22-AQ21,IF(A22&lt;'Données projet'!$A$62,$AF$205^A22,IF(A22='Données projet'!$A$62,'Données projet'!$B$62,AI21+AH22-AQ21)))</f>
        <v>34.840696297767764</v>
      </c>
      <c r="AJ22" s="14">
        <f>AI22*VLOOKUP('Données projet'!$B$10,Paramètres!$A$1:$I$89,3,0)*VLOOKUP('Données projet'!$B$10,Paramètres!$A$1:$I$89,5,0)</f>
        <v>31.52386201022027</v>
      </c>
      <c r="AK22" s="14">
        <f t="shared" si="35"/>
        <v>9.7218710074397983</v>
      </c>
      <c r="AL22" s="22">
        <f t="shared" si="4"/>
        <v>71.836318339091292</v>
      </c>
      <c r="AM22" s="62">
        <f t="shared" si="5"/>
        <v>299.79313945774652</v>
      </c>
      <c r="AN22" s="62">
        <f ca="1">AVERAGE(OFFSET($AM$3,0,0,'Données projet'!$E$10+1,1))-AVERAGE(OFFSET($H$3,0,0,'Données projet'!$E$10+1,1))</f>
        <v>461.10503306101145</v>
      </c>
      <c r="AO22" s="62">
        <f t="shared" si="36"/>
        <v>262.10652147273288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13.8</v>
      </c>
      <c r="BD22" s="13">
        <f>IF('Données projet'!$A$88&gt;35,BD21+BC22-BL21,IF(A22&lt;'Données projet'!$A$88,$BA$205^A22,IF(A22='Données projet'!$A$88,'Données projet'!$B$88,BD21+BC22-BL21)))</f>
        <v>120.19999999999999</v>
      </c>
      <c r="BE22" s="14">
        <f>BD22*VLOOKUP('Données projet'!$B$11,Paramètres!$A$1:$I$89,3,0)*VLOOKUP('Données projet'!$B$11,Paramètres!$A$1:$I$89,5,0)</f>
        <v>95.631119999999996</v>
      </c>
      <c r="BF22" s="14">
        <f t="shared" si="37"/>
        <v>25.918481589892259</v>
      </c>
      <c r="BG22" s="22">
        <f t="shared" si="7"/>
        <v>211.698889435729</v>
      </c>
      <c r="BH22" s="62">
        <f t="shared" si="8"/>
        <v>439.65571055438426</v>
      </c>
      <c r="BI22" s="62">
        <f ca="1">AVERAGE(OFFSET($BH$3,0,0,'Données projet'!$E$11+1,1))-AVERAGE(OFFSET($H$3,0,0,'Données projet'!$E$11+1,1))</f>
        <v>389.67854939311752</v>
      </c>
      <c r="BJ22" s="62">
        <f t="shared" si="38"/>
        <v>420.05189970516096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5.5190909090909095</v>
      </c>
      <c r="BY22" s="13">
        <f>IF('Données projet'!$A$114&gt;35,BY21+BX22-CG21,IF(A22&lt;'Données projet'!$A$114,$BV$205^A22,IF(A22='Données projet'!$A$114,'Données projet'!$B$114,BY21+BX22-CG21)))</f>
        <v>63.10573563278416</v>
      </c>
      <c r="BZ22" s="14">
        <f>BY22*VLOOKUP('Données projet'!$B$12,Paramètres!$A$1:$I$89,3,0)*VLOOKUP('Données projet'!$B$12,Paramètres!$A$1:$I$89,5,0)</f>
        <v>36.096480781952543</v>
      </c>
      <c r="CA22" s="14">
        <f t="shared" si="39"/>
        <v>10.957917273095294</v>
      </c>
      <c r="CB22" s="22">
        <f t="shared" si="10"/>
        <v>81.953076612541665</v>
      </c>
      <c r="CC22" s="62">
        <f t="shared" si="11"/>
        <v>309.90989773119691</v>
      </c>
      <c r="CD22" s="62">
        <f ca="1">AVERAGE(OFFSET($CC$3,0,0,'Données projet'!$E$12+1,1))-AVERAGE(OFFSET($H$3,0,0,'Données projet'!$E$12+1,1))</f>
        <v>312.16891625633968</v>
      </c>
      <c r="CE22" s="62">
        <f t="shared" si="40"/>
        <v>215.34305815516177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9.3589743589743595</v>
      </c>
      <c r="CT22" s="13">
        <f>IF('Données projet'!$A$140&gt;35,CT21+CS22-DB21,IF(A22&lt;'Données projet'!$A$140,$CQ$205^A22,IF(A22='Données projet'!$A$140,'Données projet'!$B$140,CT21+CS22-DB21)))</f>
        <v>86.153846153846175</v>
      </c>
      <c r="CU22" s="18">
        <f>CT22*VLOOKUP('Données projet'!$B$13,Paramètres!$A$1:$I$89,3,0)*VLOOKUP('Données projet'!$B$13,Paramètres!$A$1:$I$89,5,0)</f>
        <v>57.792000000000016</v>
      </c>
      <c r="CV22" s="14">
        <f t="shared" si="41"/>
        <v>16.608804995380293</v>
      </c>
      <c r="CW22" s="22">
        <f t="shared" si="13"/>
        <v>129.58140203362072</v>
      </c>
      <c r="CX22" s="62">
        <f t="shared" si="14"/>
        <v>357.53822315227598</v>
      </c>
      <c r="CY22" s="62">
        <f ca="1">AVERAGE(OFFSET($CX$3,0,0,'Données projet'!$E$13+1,1))-AVERAGE(OFFSET($H$3,0,0,'Données projet'!$E$13+1,1))</f>
        <v>369.04754428478793</v>
      </c>
      <c r="CZ22" s="62">
        <f t="shared" si="42"/>
        <v>277.00523259351712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9.6</v>
      </c>
      <c r="DO22" s="13">
        <f>IF('Données projet'!$A$166&gt;35,DO21+DN22-DW21,IF(A22&lt;'Données projet'!$A$166,$DL$205^A22,IF(A22='Données projet'!$A$166,'Données projet'!$B$166,DO21+DN22-DW21)))</f>
        <v>78.399999999999991</v>
      </c>
      <c r="DP22" s="18">
        <f>DO22*VLOOKUP('Données projet'!$B$14,Paramètres!$A$1:$I$89,3,0)*VLOOKUP('Données projet'!$B$14,Paramètres!$A$1:$I$89,5,0)</f>
        <v>61.151999999999994</v>
      </c>
      <c r="DQ22" s="14">
        <f t="shared" si="43"/>
        <v>17.459207591071255</v>
      </c>
      <c r="DR22" s="22">
        <f t="shared" si="16"/>
        <v>136.9145198877824</v>
      </c>
      <c r="DS22" s="62">
        <f t="shared" si="17"/>
        <v>364.87134100643766</v>
      </c>
      <c r="DT22" s="62">
        <f ca="1">AVERAGE(OFFSET($DS$3,0,0,'Données projet'!$E$14+1,1))-AVERAGE(OFFSET($H$3,0,0,'Données projet'!$E$14+1,1))</f>
        <v>308.39181291575227</v>
      </c>
      <c r="DU22" s="62">
        <f t="shared" si="44"/>
        <v>298.58225298824334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2.1</v>
      </c>
      <c r="EJ22" s="13">
        <f>IF('Données projet'!$A$192&gt;35,EJ21+EI22-ER21,IF(A22&lt;'Données projet'!$A$192,$EG$205^A22,IF(A22='Données projet'!$A$192,'Données projet'!$B$192,EJ21+EI22-ER21)))</f>
        <v>34.840696297767764</v>
      </c>
      <c r="EK22" s="18">
        <f>EJ22*VLOOKUP('Données projet'!$B$15,Paramètres!$A$1:$I$89,3,0)*VLOOKUP('Données projet'!$B$15,Paramètres!$A$1:$I$89,5,0)</f>
        <v>33.697921459200977</v>
      </c>
      <c r="EL22" s="14">
        <f t="shared" si="45"/>
        <v>10.31198270984201</v>
      </c>
      <c r="EM22" s="22">
        <f t="shared" si="19"/>
        <v>76.650583094416518</v>
      </c>
      <c r="EN22" s="62">
        <f t="shared" si="20"/>
        <v>304.60740421307179</v>
      </c>
      <c r="EO22" s="62">
        <f ca="1">AVERAGE(OFFSET($EN$3,0,0,'Données projet'!$E$15+1,1))-AVERAGE(OFFSET($H$3,0,0,'Données projet'!$E$15+1,1))</f>
        <v>487.76433095707876</v>
      </c>
      <c r="EP22" s="62">
        <f t="shared" si="46"/>
        <v>276.24209151398361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2.1</v>
      </c>
      <c r="FE22" s="13">
        <f>IF('Données projet'!$A$218&gt;35,FE21+FD22-FM21,IF(A22&lt;'Données projet'!$A$218,$FB$205^A22,IF(A22='Données projet'!$A$218,'Données projet'!$B$218,FE21+FD22-FM21)))</f>
        <v>34.840696297767764</v>
      </c>
      <c r="FF22" s="18">
        <f>FE22*VLOOKUP('Données projet'!$B$16,Paramètres!$A$1:$I$89,3,0)*VLOOKUP('Données projet'!$B$16,Paramètres!$A$1:$I$89,5,0)</f>
        <v>37.502525494917215</v>
      </c>
      <c r="FG22" s="14">
        <f t="shared" si="47"/>
        <v>11.334227770598273</v>
      </c>
      <c r="FH22" s="22">
        <f t="shared" si="22"/>
        <v>85.057345270772814</v>
      </c>
      <c r="FI22" s="62">
        <f t="shared" si="23"/>
        <v>313.01416638942806</v>
      </c>
      <c r="FJ22" s="62">
        <f ca="1">AVERAGE(OFFSET($FI$3,0,0,'Données projet'!$E$16+1,1))-AVERAGE(OFFSET($H$3,0,0,'Données projet'!$E$16+1,1))</f>
        <v>534.33392288300456</v>
      </c>
      <c r="FK22" s="62">
        <f t="shared" si="48"/>
        <v>300.93109615735477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7.4358974358974352</v>
      </c>
      <c r="FZ22" s="13">
        <f>IF('Données projet'!$A$244&gt;35,FZ21+FY22-GH21,IF(A22&lt;'Données projet'!$A$244,$FW$205^A22,IF(A22='Données projet'!$A$244,'Données projet'!$B$244,FZ21+FY22-GH21)))</f>
        <v>71.410256410256409</v>
      </c>
      <c r="GA22" s="18">
        <f>FZ22*VLOOKUP('Données projet'!$B$17,Paramètres!$A$1:$I$89,3,0)*VLOOKUP('Données projet'!$B$17,Paramètres!$A$1:$I$89,5,0)</f>
        <v>47.902000000000001</v>
      </c>
      <c r="GB22" s="14">
        <f t="shared" si="49"/>
        <v>14.070597725071474</v>
      </c>
      <c r="GC22" s="22">
        <f t="shared" si="25"/>
        <v>107.93560770449947</v>
      </c>
      <c r="GD22" s="62">
        <f t="shared" si="26"/>
        <v>335.89242882315472</v>
      </c>
      <c r="GE22" s="62">
        <f ca="1">AVERAGE(OFFSET($GD$3,0,0,'Données projet'!$E$17+1,1))-AVERAGE(OFFSET($H$3,0,0,'Données projet'!$E$17+1,1))</f>
        <v>316.17772895535211</v>
      </c>
      <c r="GF22" s="62">
        <f t="shared" si="50"/>
        <v>251.94445589652992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55.836708789936282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3.95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14.483333333333334</v>
      </c>
      <c r="H23" s="70">
        <f t="shared" si="1"/>
        <v>198.73333333333335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73</v>
      </c>
      <c r="L23" s="13">
        <f>VLOOKUP(A23,'Données projet'!$A$35:$I$55,9,0)</f>
        <v>3.65</v>
      </c>
      <c r="M23" s="13">
        <f t="array" ref="M23">INDEX(L:L,MIN(IF(ISNUMBER(L23:L219),ROW(L23:L219),"")))</f>
        <v>3.65</v>
      </c>
      <c r="N23" s="14">
        <f>IF('Données projet'!$A$36&gt;35,N22+M23-V22,IF(A23&lt;'Données projet'!$A$36,$K$205^A23,IF(A23='Données projet'!$A$36,'Données projet'!$B$36,N22+M23-V22)))</f>
        <v>73</v>
      </c>
      <c r="O23" s="14">
        <f>N23*VLOOKUP('Données projet'!$B$9,Paramètres!$A$1:$I$89,3,0)*VLOOKUP('Données projet'!$B$9,Paramètres!$A$1:$I$89,5,0)</f>
        <v>61.495200000000004</v>
      </c>
      <c r="P23" s="14">
        <f t="shared" si="33"/>
        <v>17.545759224285259</v>
      </c>
      <c r="Q23" s="22">
        <f t="shared" si="2"/>
        <v>137.66300398229683</v>
      </c>
      <c r="R23" s="62">
        <f t="shared" si="0"/>
        <v>367.74295259627775</v>
      </c>
      <c r="S23" s="62">
        <f ca="1">AVERAGE(OFFSET($R$3,0,0,'Données projet'!$E$9+1,1))-AVERAGE(OFFSET($H$3,0,0,'Données projet'!$E$9+1,1))</f>
        <v>508.93703669150443</v>
      </c>
      <c r="T23" s="62">
        <f t="shared" si="34"/>
        <v>277.04920840696707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42</v>
      </c>
      <c r="AG23" s="13">
        <f>VLOOKUP(A23,'Données projet'!$A$61:$I$81,9,0)</f>
        <v>2.1</v>
      </c>
      <c r="AH23" s="13">
        <f t="array" ref="AH23">INDEX(AG:AG,MIN(IF(ISNUMBER(AG23:AG219),ROW(AG23:AG219),"")))</f>
        <v>2.1</v>
      </c>
      <c r="AI23" s="14">
        <f>IF('Données projet'!$A$62&gt;35,AI22+AH23-AQ22,IF(A23&lt;'Données projet'!$A$62,$AF$205^A23,IF(A23='Données projet'!$A$62,'Données projet'!$B$62,AI22+AH23-AQ22)))</f>
        <v>42</v>
      </c>
      <c r="AJ23" s="14">
        <f>AI23*VLOOKUP('Données projet'!$B$10,Paramètres!$A$1:$I$89,3,0)*VLOOKUP('Données projet'!$B$10,Paramètres!$A$1:$I$89,5,0)</f>
        <v>38.001600000000003</v>
      </c>
      <c r="AK23" s="14">
        <f t="shared" si="35"/>
        <v>11.467401227090512</v>
      </c>
      <c r="AL23" s="22">
        <f t="shared" si="4"/>
        <v>86.158510470515978</v>
      </c>
      <c r="AM23" s="62">
        <f t="shared" si="5"/>
        <v>316.23845908449692</v>
      </c>
      <c r="AN23" s="62">
        <f ca="1">AVERAGE(OFFSET($AM$3,0,0,'Données projet'!$E$10+1,1))-AVERAGE(OFFSET($H$3,0,0,'Données projet'!$E$10+1,1))</f>
        <v>461.10503306101145</v>
      </c>
      <c r="AO23" s="62">
        <f t="shared" si="36"/>
        <v>262.10652147273288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134</v>
      </c>
      <c r="BB23" s="13">
        <f>VLOOKUP(A23,'Données projet'!$A$87:$I$107,9,0)</f>
        <v>13.8</v>
      </c>
      <c r="BC23" s="13">
        <f t="array" ref="BC23">INDEX(BB:BB,MIN(IF(ISNUMBER(BB23:BB219),ROW(BB23:BB219),"")))</f>
        <v>13.8</v>
      </c>
      <c r="BD23" s="13">
        <f>IF('Données projet'!$A$88&gt;35,BD22+BC23-BL22,IF(A23&lt;'Données projet'!$A$88,$BA$205^A23,IF(A23='Données projet'!$A$88,'Données projet'!$B$88,BD22+BC23-BL22)))</f>
        <v>134</v>
      </c>
      <c r="BE23" s="14">
        <f>BD23*VLOOKUP('Données projet'!$B$11,Paramètres!$A$1:$I$89,3,0)*VLOOKUP('Données projet'!$B$11,Paramètres!$A$1:$I$89,5,0)</f>
        <v>106.61040000000001</v>
      </c>
      <c r="BF23" s="14">
        <f t="shared" si="37"/>
        <v>28.530919434405451</v>
      </c>
      <c r="BG23" s="22">
        <f t="shared" si="7"/>
        <v>235.3711313482562</v>
      </c>
      <c r="BH23" s="62">
        <f t="shared" si="8"/>
        <v>465.45107996223715</v>
      </c>
      <c r="BI23" s="62">
        <f ca="1">AVERAGE(OFFSET($BH$3,0,0,'Données projet'!$E$11+1,1))-AVERAGE(OFFSET($H$3,0,0,'Données projet'!$E$11+1,1))</f>
        <v>389.67854939311752</v>
      </c>
      <c r="BJ23" s="62">
        <f t="shared" si="38"/>
        <v>420.05189970516096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67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5.5190909090909095</v>
      </c>
      <c r="BY23" s="13">
        <f>IF('Données projet'!$A$114&gt;35,BY22+BX23-CG22,IF(A23&lt;'Données projet'!$A$114,$BV$205^A23,IF(A23='Données projet'!$A$114,'Données projet'!$B$114,BY22+BX23-CG22)))</f>
        <v>78.489090859141243</v>
      </c>
      <c r="BZ23" s="14">
        <f>BY23*VLOOKUP('Données projet'!$B$12,Paramètres!$A$1:$I$89,3,0)*VLOOKUP('Données projet'!$B$12,Paramètres!$A$1:$I$89,5,0)</f>
        <v>44.895759971428795</v>
      </c>
      <c r="CA23" s="14">
        <f t="shared" si="39"/>
        <v>13.287420900957107</v>
      </c>
      <c r="CB23" s="22">
        <f t="shared" si="10"/>
        <v>101.33570668607211</v>
      </c>
      <c r="CC23" s="62">
        <f t="shared" si="11"/>
        <v>331.41565530005306</v>
      </c>
      <c r="CD23" s="62">
        <f ca="1">AVERAGE(OFFSET($CC$3,0,0,'Données projet'!$E$12+1,1))-AVERAGE(OFFSET($H$3,0,0,'Données projet'!$E$12+1,1))</f>
        <v>312.16891625633968</v>
      </c>
      <c r="CE23" s="62">
        <f t="shared" si="40"/>
        <v>215.34305815516177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95.512820512820511</v>
      </c>
      <c r="CR23" s="13">
        <f>VLOOKUP(A23,'Données projet'!$A$139:$I$159,9,0)</f>
        <v>9.3589743589743595</v>
      </c>
      <c r="CS23" s="13">
        <f t="array" ref="CS23">INDEX(CR:CR,MIN(IF(ISNUMBER(CR23:CR219),ROW(CR23:CR219),"")))</f>
        <v>9.3589743589743595</v>
      </c>
      <c r="CT23" s="13">
        <f>IF('Données projet'!$A$140&gt;35,CT22+CS23-DB22,IF(A23&lt;'Données projet'!$A$140,$CQ$205^A23,IF(A23='Données projet'!$A$140,'Données projet'!$B$140,CT22+CS23-DB22)))</f>
        <v>95.512820512820539</v>
      </c>
      <c r="CU23" s="18">
        <f>CT23*VLOOKUP('Données projet'!$B$13,Paramètres!$A$1:$I$89,3,0)*VLOOKUP('Données projet'!$B$13,Paramètres!$A$1:$I$89,5,0)</f>
        <v>64.070000000000022</v>
      </c>
      <c r="CV23" s="14">
        <f t="shared" si="41"/>
        <v>18.193329243637638</v>
      </c>
      <c r="CW23" s="22">
        <f t="shared" si="13"/>
        <v>143.27529843266893</v>
      </c>
      <c r="CX23" s="62">
        <f t="shared" si="14"/>
        <v>373.35524704664988</v>
      </c>
      <c r="CY23" s="62">
        <f ca="1">AVERAGE(OFFSET($CX$3,0,0,'Données projet'!$E$13+1,1))-AVERAGE(OFFSET($H$3,0,0,'Données projet'!$E$13+1,1))</f>
        <v>369.04754428478793</v>
      </c>
      <c r="CZ23" s="62">
        <f t="shared" si="42"/>
        <v>277.00523259351712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88</v>
      </c>
      <c r="DM23" s="13">
        <f>VLOOKUP(A23,'Données projet'!$A$165:$I$185,9,0)</f>
        <v>9.6</v>
      </c>
      <c r="DN23" s="13">
        <f t="array" ref="DN23">INDEX(DM:DM,MIN(IF(ISNUMBER(DM23:DM219),ROW(DM23:DM219),"")))</f>
        <v>9.6</v>
      </c>
      <c r="DO23" s="13">
        <f>IF('Données projet'!$A$166&gt;35,DO22+DN23-DW22,IF(A23&lt;'Données projet'!$A$166,$DL$205^A23,IF(A23='Données projet'!$A$166,'Données projet'!$B$166,DO22+DN23-DW22)))</f>
        <v>87.999999999999986</v>
      </c>
      <c r="DP23" s="18">
        <f>DO23*VLOOKUP('Données projet'!$B$14,Paramètres!$A$1:$I$89,3,0)*VLOOKUP('Données projet'!$B$14,Paramètres!$A$1:$I$89,5,0)</f>
        <v>68.639999999999986</v>
      </c>
      <c r="DQ23" s="14">
        <f t="shared" si="43"/>
        <v>19.335336956640202</v>
      </c>
      <c r="DR23" s="22">
        <f t="shared" si="16"/>
        <v>153.22371186614834</v>
      </c>
      <c r="DS23" s="62">
        <f t="shared" si="17"/>
        <v>383.30366048012928</v>
      </c>
      <c r="DT23" s="62">
        <f ca="1">AVERAGE(OFFSET($DS$3,0,0,'Données projet'!$E$14+1,1))-AVERAGE(OFFSET($H$3,0,0,'Données projet'!$E$14+1,1))</f>
        <v>308.39181291575227</v>
      </c>
      <c r="DU23" s="62">
        <f t="shared" si="44"/>
        <v>298.58225298824334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42</v>
      </c>
      <c r="EH23" s="13">
        <f>VLOOKUP(A23,'Données projet'!$A$191:$I$211,9,0)</f>
        <v>2.1</v>
      </c>
      <c r="EI23" s="13">
        <f t="array" ref="EI23">INDEX(EH:EH,MIN(IF(ISNUMBER(EH23:EH219),ROW(EH23:EH219),"")))</f>
        <v>2.1</v>
      </c>
      <c r="EJ23" s="13">
        <f>IF('Données projet'!$A$192&gt;35,EJ22+EI23-ER22,IF(A23&lt;'Données projet'!$A$192,$EG$205^A23,IF(A23='Données projet'!$A$192,'Données projet'!$B$192,EJ22+EI23-ER22)))</f>
        <v>42</v>
      </c>
      <c r="EK23" s="18">
        <f>EJ23*VLOOKUP('Données projet'!$B$15,Paramètres!$A$1:$I$89,3,0)*VLOOKUP('Données projet'!$B$15,Paramètres!$A$1:$I$89,5,0)</f>
        <v>40.622399999999999</v>
      </c>
      <c r="EL23" s="14">
        <f t="shared" si="45"/>
        <v>12.163465560290264</v>
      </c>
      <c r="EM23" s="22">
        <f t="shared" si="19"/>
        <v>91.935382517505545</v>
      </c>
      <c r="EN23" s="62">
        <f t="shared" si="20"/>
        <v>322.01533113148651</v>
      </c>
      <c r="EO23" s="62">
        <f ca="1">AVERAGE(OFFSET($EN$3,0,0,'Données projet'!$E$15+1,1))-AVERAGE(OFFSET($H$3,0,0,'Données projet'!$E$15+1,1))</f>
        <v>487.76433095707876</v>
      </c>
      <c r="EP23" s="62">
        <f t="shared" si="46"/>
        <v>276.24209151398361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42</v>
      </c>
      <c r="FC23" s="13">
        <f>VLOOKUP(A23,'Données projet'!$A$217:$I$237,9,0)</f>
        <v>2.1</v>
      </c>
      <c r="FD23" s="13">
        <f t="array" ref="FD23">INDEX(FC:FC,MIN(IF(ISNUMBER(FC23:FC219),ROW(FC23:FC219),"")))</f>
        <v>2.1</v>
      </c>
      <c r="FE23" s="13">
        <f>IF('Données projet'!$A$218&gt;35,FE22+FD23-FM22,IF(A23&lt;'Données projet'!$A$218,$FB$205^A23,IF(A23='Données projet'!$A$218,'Données projet'!$B$218,FE22+FD23-FM22)))</f>
        <v>42</v>
      </c>
      <c r="FF23" s="18">
        <f>FE23*VLOOKUP('Données projet'!$B$16,Paramètres!$A$1:$I$89,3,0)*VLOOKUP('Données projet'!$B$16,Paramètres!$A$1:$I$89,5,0)</f>
        <v>45.208799999999997</v>
      </c>
      <c r="FG23" s="14">
        <f t="shared" si="47"/>
        <v>13.369251386406743</v>
      </c>
      <c r="FH23" s="22">
        <f t="shared" si="22"/>
        <v>102.02343949799173</v>
      </c>
      <c r="FI23" s="62">
        <f t="shared" si="23"/>
        <v>332.10338811197266</v>
      </c>
      <c r="FJ23" s="62">
        <f ca="1">AVERAGE(OFFSET($FI$3,0,0,'Données projet'!$E$16+1,1))-AVERAGE(OFFSET($H$3,0,0,'Données projet'!$E$16+1,1))</f>
        <v>534.33392288300456</v>
      </c>
      <c r="FK23" s="62">
        <f t="shared" si="48"/>
        <v>300.93109615735477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78.84615384615384</v>
      </c>
      <c r="FX23" s="13">
        <f>VLOOKUP(A23,'Données projet'!$A$243:$I$263,9,0)</f>
        <v>7.4358974358974352</v>
      </c>
      <c r="FY23" s="13">
        <f t="array" ref="FY23">INDEX(FX:FX,MIN(IF(ISNUMBER(FX23:FX219),ROW(FX23:FX219),"")))</f>
        <v>7.4358974358974352</v>
      </c>
      <c r="FZ23" s="13">
        <f>IF('Données projet'!$A$244&gt;35,FZ22+FY23-GH22,IF(A23&lt;'Données projet'!$A$244,$FW$205^A23,IF(A23='Données projet'!$A$244,'Données projet'!$B$244,FZ22+FY23-GH22)))</f>
        <v>78.84615384615384</v>
      </c>
      <c r="GA23" s="18">
        <f>FZ23*VLOOKUP('Données projet'!$B$17,Paramètres!$A$1:$I$89,3,0)*VLOOKUP('Données projet'!$B$17,Paramètres!$A$1:$I$89,5,0)</f>
        <v>52.89</v>
      </c>
      <c r="GB23" s="14">
        <f t="shared" si="49"/>
        <v>15.357656466675607</v>
      </c>
      <c r="GC23" s="22">
        <f t="shared" si="25"/>
        <v>118.86466834612668</v>
      </c>
      <c r="GD23" s="62">
        <f t="shared" si="26"/>
        <v>348.94461696010762</v>
      </c>
      <c r="GE23" s="62">
        <f ca="1">AVERAGE(OFFSET($GD$3,0,0,'Données projet'!$E$17+1,1))-AVERAGE(OFFSET($H$3,0,0,'Données projet'!$E$17+1,1))</f>
        <v>316.17772895535211</v>
      </c>
      <c r="GF23" s="62">
        <f t="shared" si="50"/>
        <v>251.94445589652992</v>
      </c>
      <c r="GG23" s="16">
        <f>IF(ISNA(VLOOKUP(A23,'Données projet'!$A$243:$I$263,3,0)),0,VLOOKUP(A23,'Données projet'!$A$243:$I$263,3,0))</f>
        <v>1</v>
      </c>
      <c r="GH23" s="16">
        <f>IF(ISNA(VLOOKUP(A23,'Données projet'!$A$243:$I$263,4,0)),0,VLOOKUP(A23,'Données projet'!$A$243:$I$263,4,0))</f>
        <v>21.794871794871796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56.082410228055409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3.95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14.483333333333334</v>
      </c>
      <c r="H24" s="70">
        <f t="shared" si="1"/>
        <v>198.73333333333335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7.2</v>
      </c>
      <c r="N24" s="14">
        <f>IF('Données projet'!$A$36&gt;35,N23+M24-V23,IF(A24&lt;'Données projet'!$A$36,$K$205^A24,IF(A24='Données projet'!$A$36,'Données projet'!$B$36,N23+M24-V23)))</f>
        <v>80.2</v>
      </c>
      <c r="O24" s="14">
        <f>N24*VLOOKUP('Données projet'!$B$9,Paramètres!$A$1:$I$89,3,0)*VLOOKUP('Données projet'!$B$9,Paramètres!$A$1:$I$89,5,0)</f>
        <v>67.560480000000013</v>
      </c>
      <c r="P24" s="14">
        <f t="shared" si="33"/>
        <v>19.066393765425332</v>
      </c>
      <c r="Q24" s="22">
        <f t="shared" si="2"/>
        <v>150.87513847478246</v>
      </c>
      <c r="R24" s="62">
        <f t="shared" si="0"/>
        <v>383.06258589172324</v>
      </c>
      <c r="S24" s="62">
        <f ca="1">AVERAGE(OFFSET($R$3,0,0,'Données projet'!$E$9+1,1))-AVERAGE(OFFSET($H$3,0,0,'Données projet'!$E$9+1,1))</f>
        <v>508.93703669150443</v>
      </c>
      <c r="T24" s="62">
        <f t="shared" si="34"/>
        <v>277.04920840696707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5.6</v>
      </c>
      <c r="AI24" s="14">
        <f>IF('Données projet'!$A$62&gt;35,AI23+AH24-AQ23,IF(A24&lt;'Données projet'!$A$62,$AF$205^A24,IF(A24='Données projet'!$A$62,'Données projet'!$B$62,AI23+AH24-AQ23)))</f>
        <v>47.6</v>
      </c>
      <c r="AJ24" s="14">
        <f>AI24*VLOOKUP('Données projet'!$B$10,Paramètres!$A$1:$I$89,3,0)*VLOOKUP('Données projet'!$B$10,Paramètres!$A$1:$I$89,5,0)</f>
        <v>43.068480000000001</v>
      </c>
      <c r="AK24" s="14">
        <f t="shared" si="35"/>
        <v>12.808416415102187</v>
      </c>
      <c r="AL24" s="22">
        <f t="shared" si="4"/>
        <v>97.318927922969635</v>
      </c>
      <c r="AM24" s="62">
        <f t="shared" si="5"/>
        <v>329.50637533991039</v>
      </c>
      <c r="AN24" s="62">
        <f ca="1">AVERAGE(OFFSET($AM$3,0,0,'Données projet'!$E$10+1,1))-AVERAGE(OFFSET($H$3,0,0,'Données projet'!$E$10+1,1))</f>
        <v>461.10503306101145</v>
      </c>
      <c r="AO24" s="62">
        <f t="shared" si="36"/>
        <v>262.10652147273288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14.8</v>
      </c>
      <c r="BD24" s="13">
        <f>IF('Données projet'!$A$88&gt;35,BD23+BC24-BL23,IF(A24&lt;'Données projet'!$A$88,$BA$205^A24,IF(A24='Données projet'!$A$88,'Données projet'!$B$88,BD23+BC24-BL23)))</f>
        <v>81.800000000000011</v>
      </c>
      <c r="BE24" s="14">
        <f>BD24*VLOOKUP('Données projet'!$B$11,Paramètres!$A$1:$I$89,3,0)*VLOOKUP('Données projet'!$B$11,Paramètres!$A$1:$I$89,5,0)</f>
        <v>65.080080000000009</v>
      </c>
      <c r="BF24" s="14">
        <f t="shared" si="37"/>
        <v>18.44653442602603</v>
      </c>
      <c r="BG24" s="22">
        <f t="shared" si="7"/>
        <v>145.47552012532867</v>
      </c>
      <c r="BH24" s="62">
        <f t="shared" si="8"/>
        <v>377.66296754226948</v>
      </c>
      <c r="BI24" s="62">
        <f ca="1">AVERAGE(OFFSET($BH$3,0,0,'Données projet'!$E$11+1,1))-AVERAGE(OFFSET($H$3,0,0,'Données projet'!$E$11+1,1))</f>
        <v>389.67854939311752</v>
      </c>
      <c r="BJ24" s="62">
        <f t="shared" si="38"/>
        <v>420.05189970516096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5.5190909090909095</v>
      </c>
      <c r="BY24" s="13">
        <f>IF('Données projet'!$A$114&gt;35,BY23+BX24-CG23,IF(A24&lt;'Données projet'!$A$114,$BV$205^A24,IF(A24='Données projet'!$A$114,'Données projet'!$B$114,BY23+BX24-CG23)))</f>
        <v>97.622463665474783</v>
      </c>
      <c r="BZ24" s="14">
        <f>BY24*VLOOKUP('Données projet'!$B$12,Paramètres!$A$1:$I$89,3,0)*VLOOKUP('Données projet'!$B$12,Paramètres!$A$1:$I$89,5,0)</f>
        <v>55.840049216651579</v>
      </c>
      <c r="CA24" s="14">
        <f t="shared" si="39"/>
        <v>16.112145200501214</v>
      </c>
      <c r="CB24" s="22">
        <f t="shared" si="10"/>
        <v>125.31673860987443</v>
      </c>
      <c r="CC24" s="62">
        <f t="shared" si="11"/>
        <v>357.5041860268152</v>
      </c>
      <c r="CD24" s="62">
        <f ca="1">AVERAGE(OFFSET($CC$3,0,0,'Données projet'!$E$12+1,1))-AVERAGE(OFFSET($H$3,0,0,'Données projet'!$E$12+1,1))</f>
        <v>312.16891625633968</v>
      </c>
      <c r="CE24" s="62">
        <f t="shared" si="40"/>
        <v>215.34305815516177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9.2307692307692299</v>
      </c>
      <c r="CT24" s="13">
        <f>IF('Données projet'!$A$140&gt;35,CT23+CS24-DB23,IF(A24&lt;'Données projet'!$A$140,$CQ$205^A24,IF(A24='Données projet'!$A$140,'Données projet'!$B$140,CT23+CS24-DB23)))</f>
        <v>104.74358974358977</v>
      </c>
      <c r="CU24" s="18">
        <f>CT24*VLOOKUP('Données projet'!$B$13,Paramètres!$A$1:$I$89,3,0)*VLOOKUP('Données projet'!$B$13,Paramètres!$A$1:$I$89,5,0)</f>
        <v>70.262000000000015</v>
      </c>
      <c r="CV24" s="14">
        <f t="shared" si="41"/>
        <v>19.738507251987695</v>
      </c>
      <c r="CW24" s="22">
        <f t="shared" si="13"/>
        <v>156.75088346387858</v>
      </c>
      <c r="CX24" s="62">
        <f t="shared" si="14"/>
        <v>388.93833088081936</v>
      </c>
      <c r="CY24" s="62">
        <f ca="1">AVERAGE(OFFSET($CX$3,0,0,'Données projet'!$E$13+1,1))-AVERAGE(OFFSET($H$3,0,0,'Données projet'!$E$13+1,1))</f>
        <v>369.04754428478793</v>
      </c>
      <c r="CZ24" s="62">
        <f t="shared" si="42"/>
        <v>277.00523259351712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10.6</v>
      </c>
      <c r="DO24" s="13">
        <f>IF('Données projet'!$A$166&gt;35,DO23+DN24-DW23,IF(A24&lt;'Données projet'!$A$166,$DL$205^A24,IF(A24='Données projet'!$A$166,'Données projet'!$B$166,DO23+DN24-DW23)))</f>
        <v>98.59999999999998</v>
      </c>
      <c r="DP24" s="18">
        <f>DO24*VLOOKUP('Données projet'!$B$14,Paramètres!$A$1:$I$89,3,0)*VLOOKUP('Données projet'!$B$14,Paramètres!$A$1:$I$89,5,0)</f>
        <v>76.907999999999987</v>
      </c>
      <c r="DQ24" s="14">
        <f t="shared" si="43"/>
        <v>21.379448490435635</v>
      </c>
      <c r="DR24" s="22">
        <f t="shared" si="16"/>
        <v>171.18397278750868</v>
      </c>
      <c r="DS24" s="62">
        <f t="shared" si="17"/>
        <v>403.37142020444946</v>
      </c>
      <c r="DT24" s="62">
        <f ca="1">AVERAGE(OFFSET($DS$3,0,0,'Données projet'!$E$14+1,1))-AVERAGE(OFFSET($H$3,0,0,'Données projet'!$E$14+1,1))</f>
        <v>308.39181291575227</v>
      </c>
      <c r="DU24" s="62">
        <f t="shared" si="44"/>
        <v>298.58225298824334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5.6</v>
      </c>
      <c r="EJ24" s="13">
        <f>IF('Données projet'!$A$192&gt;35,EJ23+EI24-ER23,IF(A24&lt;'Données projet'!$A$192,$EG$205^A24,IF(A24='Données projet'!$A$192,'Données projet'!$B$192,EJ23+EI24-ER23)))</f>
        <v>47.6</v>
      </c>
      <c r="EK24" s="18">
        <f>EJ24*VLOOKUP('Données projet'!$B$15,Paramètres!$A$1:$I$89,3,0)*VLOOKUP('Données projet'!$B$15,Paramètres!$A$1:$I$89,5,0)</f>
        <v>46.038720000000005</v>
      </c>
      <c r="EL24" s="14">
        <f t="shared" si="45"/>
        <v>13.585879560828786</v>
      </c>
      <c r="EM24" s="22">
        <f t="shared" si="19"/>
        <v>103.84617756844348</v>
      </c>
      <c r="EN24" s="62">
        <f t="shared" si="20"/>
        <v>336.03362498538428</v>
      </c>
      <c r="EO24" s="62">
        <f ca="1">AVERAGE(OFFSET($EN$3,0,0,'Données projet'!$E$15+1,1))-AVERAGE(OFFSET($H$3,0,0,'Données projet'!$E$15+1,1))</f>
        <v>487.76433095707876</v>
      </c>
      <c r="EP24" s="62">
        <f t="shared" si="46"/>
        <v>276.24209151398361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5.6</v>
      </c>
      <c r="FE24" s="13">
        <f>IF('Données projet'!$A$218&gt;35,FE23+FD24-FM23,IF(A24&lt;'Données projet'!$A$218,$FB$205^A24,IF(A24='Données projet'!$A$218,'Données projet'!$B$218,FE23+FD24-FM23)))</f>
        <v>47.6</v>
      </c>
      <c r="FF24" s="18">
        <f>FE24*VLOOKUP('Données projet'!$B$16,Paramètres!$A$1:$I$89,3,0)*VLOOKUP('Données projet'!$B$16,Paramètres!$A$1:$I$89,5,0)</f>
        <v>51.236640000000001</v>
      </c>
      <c r="FG24" s="14">
        <f t="shared" si="47"/>
        <v>14.932671799321549</v>
      </c>
      <c r="FH24" s="22">
        <f t="shared" si="22"/>
        <v>115.24488471715169</v>
      </c>
      <c r="FI24" s="62">
        <f t="shared" si="23"/>
        <v>347.43233213409246</v>
      </c>
      <c r="FJ24" s="62">
        <f ca="1">AVERAGE(OFFSET($FI$3,0,0,'Données projet'!$E$16+1,1))-AVERAGE(OFFSET($H$3,0,0,'Données projet'!$E$16+1,1))</f>
        <v>534.33392288300456</v>
      </c>
      <c r="FK24" s="62">
        <f t="shared" si="48"/>
        <v>300.93109615735477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7.8205128205128203</v>
      </c>
      <c r="FZ24" s="13">
        <f>IF('Données projet'!$A$244&gt;35,FZ23+FY24-GH23,IF(A24&lt;'Données projet'!$A$244,$FW$205^A24,IF(A24='Données projet'!$A$244,'Données projet'!$B$244,FZ23+FY24-GH23)))</f>
        <v>64.871794871794862</v>
      </c>
      <c r="GA24" s="18">
        <f>FZ24*VLOOKUP('Données projet'!$B$17,Paramètres!$A$1:$I$89,3,0)*VLOOKUP('Données projet'!$B$17,Paramètres!$A$1:$I$89,5,0)</f>
        <v>43.515999999999991</v>
      </c>
      <c r="GB24" s="14">
        <f t="shared" si="49"/>
        <v>12.925944684628645</v>
      </c>
      <c r="GC24" s="22">
        <f t="shared" si="25"/>
        <v>98.303053659061547</v>
      </c>
      <c r="GD24" s="62">
        <f t="shared" si="26"/>
        <v>330.49050107600232</v>
      </c>
      <c r="GE24" s="62">
        <f ca="1">AVERAGE(OFFSET($GD$3,0,0,'Données projet'!$E$17+1,1))-AVERAGE(OFFSET($H$3,0,0,'Données projet'!$E$17+1,1))</f>
        <v>316.17772895535211</v>
      </c>
      <c r="GF24" s="62">
        <f t="shared" si="50"/>
        <v>251.94445589652992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56.3238492955293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3.95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14.483333333333334</v>
      </c>
      <c r="H25" s="70">
        <f t="shared" si="1"/>
        <v>198.73333333333335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7.2</v>
      </c>
      <c r="N25" s="14">
        <f>IF('Données projet'!$A$36&gt;35,N24+M25-V24,IF(A25&lt;'Données projet'!$A$36,$K$205^A25,IF(A25='Données projet'!$A$36,'Données projet'!$B$36,N24+M25-V24)))</f>
        <v>87.4</v>
      </c>
      <c r="O25" s="14">
        <f>N25*VLOOKUP('Données projet'!$B$9,Paramètres!$A$1:$I$89,3,0)*VLOOKUP('Données projet'!$B$9,Paramètres!$A$1:$I$89,5,0)</f>
        <v>73.625760000000014</v>
      </c>
      <c r="P25" s="14">
        <f t="shared" si="33"/>
        <v>20.571198174996731</v>
      </c>
      <c r="Q25" s="22">
        <f t="shared" si="2"/>
        <v>164.05970215478601</v>
      </c>
      <c r="R25" s="62">
        <f t="shared" si="0"/>
        <v>398.33929080519272</v>
      </c>
      <c r="S25" s="62">
        <f ca="1">AVERAGE(OFFSET($R$3,0,0,'Données projet'!$E$9+1,1))-AVERAGE(OFFSET($H$3,0,0,'Données projet'!$E$9+1,1))</f>
        <v>508.93703669150443</v>
      </c>
      <c r="T25" s="62">
        <f t="shared" si="34"/>
        <v>277.04920840696707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5.6</v>
      </c>
      <c r="AI25" s="14">
        <f>IF('Données projet'!$A$62&gt;35,AI24+AH25-AQ24,IF(A25&lt;'Données projet'!$A$62,$AF$205^A25,IF(A25='Données projet'!$A$62,'Données projet'!$B$62,AI24+AH25-AQ24)))</f>
        <v>53.2</v>
      </c>
      <c r="AJ25" s="14">
        <f>AI25*VLOOKUP('Données projet'!$B$10,Paramètres!$A$1:$I$89,3,0)*VLOOKUP('Données projet'!$B$10,Paramètres!$A$1:$I$89,5,0)</f>
        <v>48.135359999999999</v>
      </c>
      <c r="AK25" s="14">
        <f t="shared" si="35"/>
        <v>14.131148275361113</v>
      </c>
      <c r="AL25" s="22">
        <f t="shared" si="4"/>
        <v>108.4475019129206</v>
      </c>
      <c r="AM25" s="62">
        <f t="shared" si="5"/>
        <v>342.72709056332729</v>
      </c>
      <c r="AN25" s="62">
        <f ca="1">AVERAGE(OFFSET($AM$3,0,0,'Données projet'!$E$10+1,1))-AVERAGE(OFFSET($H$3,0,0,'Données projet'!$E$10+1,1))</f>
        <v>461.10503306101145</v>
      </c>
      <c r="AO25" s="62">
        <f t="shared" si="36"/>
        <v>262.10652147273288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14.8</v>
      </c>
      <c r="BD25" s="13">
        <f>IF('Données projet'!$A$88&gt;35,BD24+BC25-BL24,IF(A25&lt;'Données projet'!$A$88,$BA$205^A25,IF(A25='Données projet'!$A$88,'Données projet'!$B$88,BD24+BC25-BL24)))</f>
        <v>96.600000000000009</v>
      </c>
      <c r="BE25" s="14">
        <f>BD25*VLOOKUP('Données projet'!$B$11,Paramètres!$A$1:$I$89,3,0)*VLOOKUP('Données projet'!$B$11,Paramètres!$A$1:$I$89,5,0)</f>
        <v>76.854960000000005</v>
      </c>
      <c r="BF25" s="14">
        <f t="shared" si="37"/>
        <v>21.366419773799993</v>
      </c>
      <c r="BG25" s="22">
        <f t="shared" si="7"/>
        <v>171.06890310603498</v>
      </c>
      <c r="BH25" s="62">
        <f t="shared" si="8"/>
        <v>405.34849175644172</v>
      </c>
      <c r="BI25" s="62">
        <f ca="1">AVERAGE(OFFSET($BH$3,0,0,'Données projet'!$E$11+1,1))-AVERAGE(OFFSET($H$3,0,0,'Données projet'!$E$11+1,1))</f>
        <v>389.67854939311752</v>
      </c>
      <c r="BJ25" s="62">
        <f t="shared" si="38"/>
        <v>420.05189970516096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>
        <f>VLOOKUP(A25,'Données projet'!$A$113:$I$133,2,0)</f>
        <v>121.42</v>
      </c>
      <c r="BW25" s="13">
        <f>VLOOKUP(A25,'Données projet'!$A$113:$I$133,9,0)</f>
        <v>5.5190909090909095</v>
      </c>
      <c r="BX25" s="13">
        <f t="array" ref="BX25">INDEX(BW:BW,MIN(IF(ISNUMBER(BW25:BW221),ROW(BW25:BW221),"")))</f>
        <v>5.5190909090909095</v>
      </c>
      <c r="BY25" s="13">
        <f>IF('Données projet'!$A$114&gt;35,BY24+BX25-CG24,IF(A25&lt;'Données projet'!$A$114,$BV$205^A25,IF(A25='Données projet'!$A$114,'Données projet'!$B$114,BY24+BX25-CG24)))</f>
        <v>121.42</v>
      </c>
      <c r="BZ25" s="14">
        <f>BY25*VLOOKUP('Données projet'!$B$12,Paramètres!$A$1:$I$89,3,0)*VLOOKUP('Données projet'!$B$12,Paramètres!$A$1:$I$89,5,0)</f>
        <v>69.452240000000003</v>
      </c>
      <c r="CA25" s="14">
        <f t="shared" si="39"/>
        <v>19.537367326366169</v>
      </c>
      <c r="CB25" s="22">
        <f t="shared" si="10"/>
        <v>154.99023276008774</v>
      </c>
      <c r="CC25" s="62">
        <f t="shared" si="11"/>
        <v>389.26982141049444</v>
      </c>
      <c r="CD25" s="62">
        <f ca="1">AVERAGE(OFFSET($CC$3,0,0,'Données projet'!$E$12+1,1))-AVERAGE(OFFSET($H$3,0,0,'Données projet'!$E$12+1,1))</f>
        <v>312.16891625633968</v>
      </c>
      <c r="CE25" s="62">
        <f t="shared" si="40"/>
        <v>215.34305815516177</v>
      </c>
      <c r="CF25" s="16">
        <f>IF(ISNA(VLOOKUP(A25,'Données projet'!$A$113:$I$133,3,0)),0,VLOOKUP(A25,'Données projet'!$A$113:$I$133,3,0))</f>
        <v>1</v>
      </c>
      <c r="CG25" s="16">
        <f>IF(ISNA(VLOOKUP(A25,'Données projet'!$A$113:$I$133,4,0)),0,VLOOKUP(A25,'Données projet'!$A$113:$I$133,4,0))</f>
        <v>50.38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0.22500000000000001</v>
      </c>
      <c r="CJ25" s="17">
        <f>IF(ISNA(VLOOKUP(A25,'Données projet'!$A$113:$I$133,7,0)),0%,VLOOKUP(A25,'Données projet'!$A$113:$I$133,7,0))</f>
        <v>0.5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8.5674525608351715</v>
      </c>
      <c r="CM25" s="23">
        <f>EXP(-LN(2)/2)*CM24+(1-EXP(-LN(2)/2))/(LN(2)/2)*CG25*CJ25*VLOOKUP('Données projet'!$B$12,Paramètres!$A$1:$I$89,3,0)*0.475*44/12</f>
        <v>16.313972860723641</v>
      </c>
      <c r="CN25" s="24">
        <f t="shared" si="12"/>
        <v>24.881425421558813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9.2307692307692299</v>
      </c>
      <c r="CT25" s="13">
        <f>IF('Données projet'!$A$140&gt;35,CT24+CS25-DB24,IF(A25&lt;'Données projet'!$A$140,$CQ$205^A25,IF(A25='Données projet'!$A$140,'Données projet'!$B$140,CT24+CS25-DB24)))</f>
        <v>113.97435897435899</v>
      </c>
      <c r="CU25" s="18">
        <f>CT25*VLOOKUP('Données projet'!$B$13,Paramètres!$A$1:$I$89,3,0)*VLOOKUP('Données projet'!$B$13,Paramètres!$A$1:$I$89,5,0)</f>
        <v>76.454000000000008</v>
      </c>
      <c r="CV25" s="14">
        <f t="shared" si="41"/>
        <v>21.267894258297272</v>
      </c>
      <c r="CW25" s="22">
        <f t="shared" si="13"/>
        <v>170.1989658332011</v>
      </c>
      <c r="CX25" s="62">
        <f t="shared" si="14"/>
        <v>404.47855448360781</v>
      </c>
      <c r="CY25" s="62">
        <f ca="1">AVERAGE(OFFSET($CX$3,0,0,'Données projet'!$E$13+1,1))-AVERAGE(OFFSET($H$3,0,0,'Données projet'!$E$13+1,1))</f>
        <v>369.04754428478793</v>
      </c>
      <c r="CZ25" s="62">
        <f t="shared" si="42"/>
        <v>277.00523259351712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10.6</v>
      </c>
      <c r="DO25" s="13">
        <f>IF('Données projet'!$A$166&gt;35,DO24+DN25-DW24,IF(A25&lt;'Données projet'!$A$166,$DL$205^A25,IF(A25='Données projet'!$A$166,'Données projet'!$B$166,DO24+DN25-DW24)))</f>
        <v>109.19999999999997</v>
      </c>
      <c r="DP25" s="18">
        <f>DO25*VLOOKUP('Données projet'!$B$14,Paramètres!$A$1:$I$89,3,0)*VLOOKUP('Données projet'!$B$14,Paramètres!$A$1:$I$89,5,0)</f>
        <v>85.175999999999988</v>
      </c>
      <c r="DQ25" s="14">
        <f t="shared" si="43"/>
        <v>23.398088487656434</v>
      </c>
      <c r="DR25" s="22">
        <f t="shared" si="16"/>
        <v>189.09987078266826</v>
      </c>
      <c r="DS25" s="62">
        <f t="shared" si="17"/>
        <v>423.379459433075</v>
      </c>
      <c r="DT25" s="62">
        <f ca="1">AVERAGE(OFFSET($DS$3,0,0,'Données projet'!$E$14+1,1))-AVERAGE(OFFSET($H$3,0,0,'Données projet'!$E$14+1,1))</f>
        <v>308.39181291575227</v>
      </c>
      <c r="DU25" s="62">
        <f t="shared" si="44"/>
        <v>298.58225298824334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5.6</v>
      </c>
      <c r="EJ25" s="13">
        <f>IF('Données projet'!$A$192&gt;35,EJ24+EI25-ER24,IF(A25&lt;'Données projet'!$A$192,$EG$205^A25,IF(A25='Données projet'!$A$192,'Données projet'!$B$192,EJ24+EI25-ER24)))</f>
        <v>53.2</v>
      </c>
      <c r="EK25" s="18">
        <f>EJ25*VLOOKUP('Données projet'!$B$15,Paramètres!$A$1:$I$89,3,0)*VLOOKUP('Données projet'!$B$15,Paramètres!$A$1:$I$89,5,0)</f>
        <v>51.455040000000004</v>
      </c>
      <c r="EL25" s="14">
        <f t="shared" si="45"/>
        <v>14.988900446655085</v>
      </c>
      <c r="EM25" s="22">
        <f t="shared" si="19"/>
        <v>115.72319627792427</v>
      </c>
      <c r="EN25" s="62">
        <f t="shared" si="20"/>
        <v>350.00278492833098</v>
      </c>
      <c r="EO25" s="62">
        <f ca="1">AVERAGE(OFFSET($EN$3,0,0,'Données projet'!$E$15+1,1))-AVERAGE(OFFSET($H$3,0,0,'Données projet'!$E$15+1,1))</f>
        <v>487.76433095707876</v>
      </c>
      <c r="EP25" s="62">
        <f t="shared" si="46"/>
        <v>276.24209151398361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5.6</v>
      </c>
      <c r="FE25" s="13">
        <f>IF('Données projet'!$A$218&gt;35,FE24+FD25-FM24,IF(A25&lt;'Données projet'!$A$218,$FB$205^A25,IF(A25='Données projet'!$A$218,'Données projet'!$B$218,FE24+FD25-FM24)))</f>
        <v>53.2</v>
      </c>
      <c r="FF25" s="18">
        <f>FE25*VLOOKUP('Données projet'!$B$16,Paramètres!$A$1:$I$89,3,0)*VLOOKUP('Données projet'!$B$16,Paramètres!$A$1:$I$89,5,0)</f>
        <v>57.264479999999999</v>
      </c>
      <c r="FG25" s="14">
        <f t="shared" si="47"/>
        <v>16.474776623807379</v>
      </c>
      <c r="FH25" s="22">
        <f t="shared" si="22"/>
        <v>128.42920528646451</v>
      </c>
      <c r="FI25" s="62">
        <f t="shared" si="23"/>
        <v>362.70879393687119</v>
      </c>
      <c r="FJ25" s="62">
        <f ca="1">AVERAGE(OFFSET($FI$3,0,0,'Données projet'!$E$16+1,1))-AVERAGE(OFFSET($H$3,0,0,'Données projet'!$E$16+1,1))</f>
        <v>534.33392288300456</v>
      </c>
      <c r="FK25" s="62">
        <f t="shared" si="48"/>
        <v>300.93109615735477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7.8205128205128203</v>
      </c>
      <c r="FZ25" s="13">
        <f>IF('Données projet'!$A$244&gt;35,FZ24+FY25-GH24,IF(A25&lt;'Données projet'!$A$244,$FW$205^A25,IF(A25='Données projet'!$A$244,'Données projet'!$B$244,FZ24+FY25-GH24)))</f>
        <v>72.692307692307679</v>
      </c>
      <c r="GA25" s="18">
        <f>FZ25*VLOOKUP('Données projet'!$B$17,Paramètres!$A$1:$I$89,3,0)*VLOOKUP('Données projet'!$B$17,Paramètres!$A$1:$I$89,5,0)</f>
        <v>48.761999999999993</v>
      </c>
      <c r="GB25" s="14">
        <f t="shared" si="49"/>
        <v>14.293575738035427</v>
      </c>
      <c r="GC25" s="22">
        <f t="shared" si="25"/>
        <v>109.82179441041167</v>
      </c>
      <c r="GD25" s="62">
        <f t="shared" si="26"/>
        <v>344.10138306081836</v>
      </c>
      <c r="GE25" s="62">
        <f ca="1">AVERAGE(OFFSET($GD$3,0,0,'Données projet'!$E$17+1,1))-AVERAGE(OFFSET($H$3,0,0,'Données projet'!$E$17+1,1))</f>
        <v>316.17772895535211</v>
      </c>
      <c r="GF25" s="62">
        <f t="shared" si="50"/>
        <v>251.94445589652992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56.561099934959401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3.95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14.483333333333334</v>
      </c>
      <c r="H26" s="70">
        <f t="shared" si="1"/>
        <v>198.73333333333335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7.2</v>
      </c>
      <c r="N26" s="14">
        <f>IF('Données projet'!$A$36&gt;35,N25+M26-V25,IF(A26&lt;'Données projet'!$A$36,$K$205^A26,IF(A26='Données projet'!$A$36,'Données projet'!$B$36,N25+M26-V25)))</f>
        <v>94.600000000000009</v>
      </c>
      <c r="O26" s="14">
        <f>N26*VLOOKUP('Données projet'!$B$9,Paramètres!$A$1:$I$89,3,0)*VLOOKUP('Données projet'!$B$9,Paramètres!$A$1:$I$89,5,0)</f>
        <v>79.691040000000015</v>
      </c>
      <c r="P26" s="14">
        <f t="shared" si="33"/>
        <v>22.061624798490286</v>
      </c>
      <c r="Q26" s="22">
        <f t="shared" si="2"/>
        <v>177.21922452403726</v>
      </c>
      <c r="R26" s="62">
        <f t="shared" si="0"/>
        <v>413.57586325791237</v>
      </c>
      <c r="S26" s="62">
        <f ca="1">AVERAGE(OFFSET($R$3,0,0,'Données projet'!$E$9+1,1))-AVERAGE(OFFSET($H$3,0,0,'Données projet'!$E$9+1,1))</f>
        <v>508.93703669150443</v>
      </c>
      <c r="T26" s="62">
        <f t="shared" si="34"/>
        <v>277.04920840696707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5.6</v>
      </c>
      <c r="AI26" s="14">
        <f>IF('Données projet'!$A$62&gt;35,AI25+AH26-AQ25,IF(A26&lt;'Données projet'!$A$62,$AF$205^A26,IF(A26='Données projet'!$A$62,'Données projet'!$B$62,AI25+AH26-AQ25)))</f>
        <v>58.800000000000004</v>
      </c>
      <c r="AJ26" s="14">
        <f>AI26*VLOOKUP('Données projet'!$B$10,Paramètres!$A$1:$I$89,3,0)*VLOOKUP('Données projet'!$B$10,Paramètres!$A$1:$I$89,5,0)</f>
        <v>53.202240000000003</v>
      </c>
      <c r="AK26" s="14">
        <f t="shared" si="35"/>
        <v>15.437740642425908</v>
      </c>
      <c r="AL26" s="22">
        <f t="shared" si="4"/>
        <v>119.54796628555846</v>
      </c>
      <c r="AM26" s="62">
        <f t="shared" si="5"/>
        <v>355.90460501943357</v>
      </c>
      <c r="AN26" s="62">
        <f ca="1">AVERAGE(OFFSET($AM$3,0,0,'Données projet'!$E$10+1,1))-AVERAGE(OFFSET($H$3,0,0,'Données projet'!$E$10+1,1))</f>
        <v>461.10503306101145</v>
      </c>
      <c r="AO26" s="62">
        <f t="shared" si="36"/>
        <v>262.10652147273288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14.8</v>
      </c>
      <c r="BD26" s="13">
        <f>IF('Données projet'!$A$88&gt;35,BD25+BC26-BL25,IF(A26&lt;'Données projet'!$A$88,$BA$205^A26,IF(A26='Données projet'!$A$88,'Données projet'!$B$88,BD25+BC26-BL25)))</f>
        <v>111.4</v>
      </c>
      <c r="BE26" s="14">
        <f>BD26*VLOOKUP('Données projet'!$B$11,Paramètres!$A$1:$I$89,3,0)*VLOOKUP('Données projet'!$B$11,Paramètres!$A$1:$I$89,5,0)</f>
        <v>88.629840000000016</v>
      </c>
      <c r="BF26" s="14">
        <f t="shared" si="37"/>
        <v>24.234480932534542</v>
      </c>
      <c r="BG26" s="22">
        <f t="shared" si="7"/>
        <v>196.57202562416433</v>
      </c>
      <c r="BH26" s="62">
        <f t="shared" si="8"/>
        <v>432.92866435803944</v>
      </c>
      <c r="BI26" s="62">
        <f ca="1">AVERAGE(OFFSET($BH$3,0,0,'Données projet'!$E$11+1,1))-AVERAGE(OFFSET($H$3,0,0,'Données projet'!$E$11+1,1))</f>
        <v>389.67854939311752</v>
      </c>
      <c r="BJ26" s="62">
        <f t="shared" si="38"/>
        <v>420.05189970516096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11.041428571428574</v>
      </c>
      <c r="BY26" s="13">
        <f>IF('Données projet'!$A$114&gt;35,BY25+BX26-CG25,IF(A26&lt;'Données projet'!$A$114,$BV$205^A26,IF(A26='Données projet'!$A$114,'Données projet'!$B$114,BY25+BX26-CG25)))</f>
        <v>82.081428571428575</v>
      </c>
      <c r="BZ26" s="14">
        <f>BY26*VLOOKUP('Données projet'!$B$12,Paramètres!$A$1:$I$89,3,0)*VLOOKUP('Données projet'!$B$12,Paramètres!$A$1:$I$89,5,0)</f>
        <v>46.950577142857149</v>
      </c>
      <c r="CA26" s="14">
        <f t="shared" si="39"/>
        <v>13.82337199310426</v>
      </c>
      <c r="CB26" s="22">
        <f t="shared" si="10"/>
        <v>105.84796141179943</v>
      </c>
      <c r="CC26" s="62">
        <f t="shared" si="11"/>
        <v>342.20460014567453</v>
      </c>
      <c r="CD26" s="62">
        <f ca="1">AVERAGE(OFFSET($CC$3,0,0,'Données projet'!$E$12+1,1))-AVERAGE(OFFSET($H$3,0,0,'Données projet'!$E$12+1,1))</f>
        <v>312.16891625633968</v>
      </c>
      <c r="CE26" s="62">
        <f t="shared" si="40"/>
        <v>215.34305815516177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8.3331751200163851</v>
      </c>
      <c r="CM26" s="23">
        <f>EXP(-LN(2)/2)*CM25+(1-EXP(-LN(2)/2))/(LN(2)/2)*CG26*CJ26*VLOOKUP('Données projet'!$B$12,Paramètres!$A$1:$I$89,3,0)*0.475*44/12</f>
        <v>11.535720837910988</v>
      </c>
      <c r="CN26" s="24">
        <f t="shared" si="12"/>
        <v>19.868895957927371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9.2307692307692299</v>
      </c>
      <c r="CT26" s="13">
        <f>IF('Données projet'!$A$140&gt;35,CT25+CS26-DB25,IF(A26&lt;'Données projet'!$A$140,$CQ$205^A26,IF(A26='Données projet'!$A$140,'Données projet'!$B$140,CT25+CS26-DB25)))</f>
        <v>123.20512820512822</v>
      </c>
      <c r="CU26" s="18">
        <f>CT26*VLOOKUP('Données projet'!$B$13,Paramètres!$A$1:$I$89,3,0)*VLOOKUP('Données projet'!$B$13,Paramètres!$A$1:$I$89,5,0)</f>
        <v>82.646000000000015</v>
      </c>
      <c r="CV26" s="14">
        <f t="shared" si="41"/>
        <v>22.78291457325621</v>
      </c>
      <c r="CW26" s="22">
        <f t="shared" si="13"/>
        <v>183.62202621508791</v>
      </c>
      <c r="CX26" s="62">
        <f t="shared" si="14"/>
        <v>419.978664948963</v>
      </c>
      <c r="CY26" s="62">
        <f ca="1">AVERAGE(OFFSET($CX$3,0,0,'Données projet'!$E$13+1,1))-AVERAGE(OFFSET($H$3,0,0,'Données projet'!$E$13+1,1))</f>
        <v>369.04754428478793</v>
      </c>
      <c r="CZ26" s="62">
        <f t="shared" si="42"/>
        <v>277.00523259351712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10.6</v>
      </c>
      <c r="DO26" s="13">
        <f>IF('Données projet'!$A$166&gt;35,DO25+DN26-DW25,IF(A26&lt;'Données projet'!$A$166,$DL$205^A26,IF(A26='Données projet'!$A$166,'Données projet'!$B$166,DO25+DN26-DW25)))</f>
        <v>119.79999999999997</v>
      </c>
      <c r="DP26" s="18">
        <f>DO26*VLOOKUP('Données projet'!$B$14,Paramètres!$A$1:$I$89,3,0)*VLOOKUP('Données projet'!$B$14,Paramètres!$A$1:$I$89,5,0)</f>
        <v>93.443999999999974</v>
      </c>
      <c r="DQ26" s="14">
        <f t="shared" si="43"/>
        <v>25.394010816431489</v>
      </c>
      <c r="DR26" s="22">
        <f t="shared" si="16"/>
        <v>206.97620217195148</v>
      </c>
      <c r="DS26" s="62">
        <f t="shared" si="17"/>
        <v>443.33284090582657</v>
      </c>
      <c r="DT26" s="62">
        <f ca="1">AVERAGE(OFFSET($DS$3,0,0,'Données projet'!$E$14+1,1))-AVERAGE(OFFSET($H$3,0,0,'Données projet'!$E$14+1,1))</f>
        <v>308.39181291575227</v>
      </c>
      <c r="DU26" s="62">
        <f t="shared" si="44"/>
        <v>298.58225298824334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5.6</v>
      </c>
      <c r="EJ26" s="13">
        <f>IF('Données projet'!$A$192&gt;35,EJ25+EI26-ER25,IF(A26&lt;'Données projet'!$A$192,$EG$205^A26,IF(A26='Données projet'!$A$192,'Données projet'!$B$192,EJ25+EI26-ER25)))</f>
        <v>58.800000000000004</v>
      </c>
      <c r="EK26" s="18">
        <f>EJ26*VLOOKUP('Données projet'!$B$15,Paramètres!$A$1:$I$89,3,0)*VLOOKUP('Données projet'!$B$15,Paramètres!$A$1:$I$89,5,0)</f>
        <v>56.87136000000001</v>
      </c>
      <c r="EL26" s="14">
        <f t="shared" si="45"/>
        <v>16.374802181791551</v>
      </c>
      <c r="EM26" s="22">
        <f t="shared" si="19"/>
        <v>127.57039913328697</v>
      </c>
      <c r="EN26" s="62">
        <f t="shared" si="20"/>
        <v>363.92703786716208</v>
      </c>
      <c r="EO26" s="62">
        <f ca="1">AVERAGE(OFFSET($EN$3,0,0,'Données projet'!$E$15+1,1))-AVERAGE(OFFSET($H$3,0,0,'Données projet'!$E$15+1,1))</f>
        <v>487.76433095707876</v>
      </c>
      <c r="EP26" s="62">
        <f t="shared" si="46"/>
        <v>276.24209151398361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5.6</v>
      </c>
      <c r="FE26" s="13">
        <f>IF('Données projet'!$A$218&gt;35,FE25+FD26-FM25,IF(A26&lt;'Données projet'!$A$218,$FB$205^A26,IF(A26='Données projet'!$A$218,'Données projet'!$B$218,FE25+FD26-FM25)))</f>
        <v>58.800000000000004</v>
      </c>
      <c r="FF26" s="18">
        <f>FE26*VLOOKUP('Données projet'!$B$16,Paramètres!$A$1:$I$89,3,0)*VLOOKUP('Données projet'!$B$16,Paramètres!$A$1:$I$89,5,0)</f>
        <v>63.292320000000004</v>
      </c>
      <c r="FG26" s="14">
        <f t="shared" si="47"/>
        <v>17.998065245956816</v>
      </c>
      <c r="FH26" s="22">
        <f t="shared" si="22"/>
        <v>141.58075430337479</v>
      </c>
      <c r="FI26" s="62">
        <f t="shared" si="23"/>
        <v>377.93739303724988</v>
      </c>
      <c r="FJ26" s="62">
        <f ca="1">AVERAGE(OFFSET($FI$3,0,0,'Données projet'!$E$16+1,1))-AVERAGE(OFFSET($H$3,0,0,'Données projet'!$E$16+1,1))</f>
        <v>534.33392288300456</v>
      </c>
      <c r="FK26" s="62">
        <f t="shared" si="48"/>
        <v>300.93109615735477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7.8205128205128203</v>
      </c>
      <c r="FZ26" s="13">
        <f>IF('Données projet'!$A$244&gt;35,FZ25+FY26-GH25,IF(A26&lt;'Données projet'!$A$244,$FW$205^A26,IF(A26='Données projet'!$A$244,'Données projet'!$B$244,FZ25+FY26-GH25)))</f>
        <v>80.512820512820497</v>
      </c>
      <c r="GA26" s="18">
        <f>FZ26*VLOOKUP('Données projet'!$B$17,Paramètres!$A$1:$I$89,3,0)*VLOOKUP('Données projet'!$B$17,Paramètres!$A$1:$I$89,5,0)</f>
        <v>54.007999999999996</v>
      </c>
      <c r="GB26" s="14">
        <f t="shared" si="49"/>
        <v>15.644152383611804</v>
      </c>
      <c r="GC26" s="22">
        <f t="shared" si="25"/>
        <v>121.31083206812384</v>
      </c>
      <c r="GD26" s="62">
        <f t="shared" si="26"/>
        <v>357.66747080199895</v>
      </c>
      <c r="GE26" s="62">
        <f ca="1">AVERAGE(OFFSET($GD$3,0,0,'Données projet'!$E$17+1,1))-AVERAGE(OFFSET($H$3,0,0,'Données projet'!$E$17+1,1))</f>
        <v>316.17772895535211</v>
      </c>
      <c r="GF26" s="62">
        <f t="shared" si="50"/>
        <v>251.94445589652992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56.794234806208351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3.95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14.483333333333334</v>
      </c>
      <c r="H27" s="70">
        <f t="shared" si="1"/>
        <v>198.73333333333335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7.2</v>
      </c>
      <c r="N27" s="14">
        <f>IF('Données projet'!$A$36&gt;35,N26+M27-V26,IF(A27&lt;'Données projet'!$A$36,$K$205^A27,IF(A27='Données projet'!$A$36,'Données projet'!$B$36,N26+M27-V26)))</f>
        <v>101.80000000000001</v>
      </c>
      <c r="O27" s="14">
        <f>N27*VLOOKUP('Données projet'!$B$9,Paramètres!$A$1:$I$89,3,0)*VLOOKUP('Données projet'!$B$9,Paramètres!$A$1:$I$89,5,0)</f>
        <v>85.756320000000017</v>
      </c>
      <c r="P27" s="14">
        <f t="shared" si="33"/>
        <v>23.538892352228263</v>
      </c>
      <c r="Q27" s="22">
        <f t="shared" si="2"/>
        <v>190.35582818013089</v>
      </c>
      <c r="R27" s="62">
        <f t="shared" si="0"/>
        <v>428.77468764519051</v>
      </c>
      <c r="S27" s="62">
        <f ca="1">AVERAGE(OFFSET($R$3,0,0,'Données projet'!$E$9+1,1))-AVERAGE(OFFSET($H$3,0,0,'Données projet'!$E$9+1,1))</f>
        <v>508.93703669150443</v>
      </c>
      <c r="T27" s="62">
        <f t="shared" si="34"/>
        <v>277.04920840696707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5.6</v>
      </c>
      <c r="AI27" s="14">
        <f>IF('Données projet'!$A$62&gt;35,AI26+AH27-AQ26,IF(A27&lt;'Données projet'!$A$62,$AF$205^A27,IF(A27='Données projet'!$A$62,'Données projet'!$B$62,AI26+AH27-AQ26)))</f>
        <v>64.400000000000006</v>
      </c>
      <c r="AJ27" s="14">
        <f>AI27*VLOOKUP('Données projet'!$B$10,Paramètres!$A$1:$I$89,3,0)*VLOOKUP('Données projet'!$B$10,Paramètres!$A$1:$I$89,5,0)</f>
        <v>58.269120000000008</v>
      </c>
      <c r="AK27" s="14">
        <f t="shared" si="35"/>
        <v>16.729905486873804</v>
      </c>
      <c r="AL27" s="22">
        <f t="shared" si="4"/>
        <v>130.62330272297189</v>
      </c>
      <c r="AM27" s="62">
        <f t="shared" si="5"/>
        <v>369.04216218803151</v>
      </c>
      <c r="AN27" s="62">
        <f ca="1">AVERAGE(OFFSET($AM$3,0,0,'Données projet'!$E$10+1,1))-AVERAGE(OFFSET($H$3,0,0,'Données projet'!$E$10+1,1))</f>
        <v>461.10503306101145</v>
      </c>
      <c r="AO27" s="62">
        <f t="shared" si="36"/>
        <v>262.10652147273288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14.8</v>
      </c>
      <c r="BD27" s="13">
        <f>IF('Données projet'!$A$88&gt;35,BD26+BC27-BL26,IF(A27&lt;'Données projet'!$A$88,$BA$205^A27,IF(A27='Données projet'!$A$88,'Données projet'!$B$88,BD26+BC27-BL26)))</f>
        <v>126.2</v>
      </c>
      <c r="BE27" s="14">
        <f>BD27*VLOOKUP('Données projet'!$B$11,Paramètres!$A$1:$I$89,3,0)*VLOOKUP('Données projet'!$B$11,Paramètres!$A$1:$I$89,5,0)</f>
        <v>100.40472000000001</v>
      </c>
      <c r="BF27" s="14">
        <f t="shared" si="37"/>
        <v>27.058393830330502</v>
      </c>
      <c r="BG27" s="22">
        <f t="shared" si="7"/>
        <v>221.99825658782564</v>
      </c>
      <c r="BH27" s="62">
        <f t="shared" si="8"/>
        <v>460.41711605288526</v>
      </c>
      <c r="BI27" s="62">
        <f ca="1">AVERAGE(OFFSET($BH$3,0,0,'Données projet'!$E$11+1,1))-AVERAGE(OFFSET($H$3,0,0,'Données projet'!$E$11+1,1))</f>
        <v>389.67854939311752</v>
      </c>
      <c r="BJ27" s="62">
        <f t="shared" si="38"/>
        <v>420.05189970516096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11.041428571428574</v>
      </c>
      <c r="BY27" s="13">
        <f>IF('Données projet'!$A$114&gt;35,BY26+BX27-CG26,IF(A27&lt;'Données projet'!$A$114,$BV$205^A27,IF(A27='Données projet'!$A$114,'Données projet'!$B$114,BY26+BX27-CG26)))</f>
        <v>93.122857142857143</v>
      </c>
      <c r="BZ27" s="14">
        <f>BY27*VLOOKUP('Données projet'!$B$12,Paramètres!$A$1:$I$89,3,0)*VLOOKUP('Données projet'!$B$12,Paramètres!$A$1:$I$89,5,0)</f>
        <v>53.266274285714289</v>
      </c>
      <c r="CA27" s="14">
        <f t="shared" si="39"/>
        <v>15.454157562712979</v>
      </c>
      <c r="CB27" s="22">
        <f t="shared" si="10"/>
        <v>119.68808546934416</v>
      </c>
      <c r="CC27" s="62">
        <f t="shared" si="11"/>
        <v>358.10694493440383</v>
      </c>
      <c r="CD27" s="62">
        <f ca="1">AVERAGE(OFFSET($CC$3,0,0,'Données projet'!$E$12+1,1))-AVERAGE(OFFSET($H$3,0,0,'Données projet'!$E$12+1,1))</f>
        <v>312.16891625633968</v>
      </c>
      <c r="CE27" s="62">
        <f t="shared" si="40"/>
        <v>215.34305815516177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8.105304008136903</v>
      </c>
      <c r="CM27" s="23">
        <f>EXP(-LN(2)/2)*CM26+(1-EXP(-LN(2)/2))/(LN(2)/2)*CG27*CJ27*VLOOKUP('Données projet'!$B$12,Paramètres!$A$1:$I$89,3,0)*0.475*44/12</f>
        <v>8.1569864303618225</v>
      </c>
      <c r="CN27" s="24">
        <f t="shared" si="12"/>
        <v>16.262290438498724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9.2307692307692299</v>
      </c>
      <c r="CT27" s="13">
        <f>IF('Données projet'!$A$140&gt;35,CT26+CS27-DB26,IF(A27&lt;'Données projet'!$A$140,$CQ$205^A27,IF(A27='Données projet'!$A$140,'Données projet'!$B$140,CT26+CS27-DB26)))</f>
        <v>132.43589743589746</v>
      </c>
      <c r="CU27" s="18">
        <f>CT27*VLOOKUP('Données projet'!$B$13,Paramètres!$A$1:$I$89,3,0)*VLOOKUP('Données projet'!$B$13,Paramètres!$A$1:$I$89,5,0)</f>
        <v>88.838000000000022</v>
      </c>
      <c r="CV27" s="14">
        <f t="shared" si="41"/>
        <v>24.284766971422886</v>
      </c>
      <c r="CW27" s="22">
        <f t="shared" si="13"/>
        <v>197.02215247522824</v>
      </c>
      <c r="CX27" s="62">
        <f t="shared" si="14"/>
        <v>435.44101194028792</v>
      </c>
      <c r="CY27" s="62">
        <f ca="1">AVERAGE(OFFSET($CX$3,0,0,'Données projet'!$E$13+1,1))-AVERAGE(OFFSET($H$3,0,0,'Données projet'!$E$13+1,1))</f>
        <v>369.04754428478793</v>
      </c>
      <c r="CZ27" s="62">
        <f t="shared" si="42"/>
        <v>277.00523259351712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10.6</v>
      </c>
      <c r="DO27" s="13">
        <f>IF('Données projet'!$A$166&gt;35,DO26+DN27-DW26,IF(A27&lt;'Données projet'!$A$166,$DL$205^A27,IF(A27='Données projet'!$A$166,'Données projet'!$B$166,DO26+DN27-DW26)))</f>
        <v>130.39999999999998</v>
      </c>
      <c r="DP27" s="18">
        <f>DO27*VLOOKUP('Données projet'!$B$14,Paramètres!$A$1:$I$89,3,0)*VLOOKUP('Données projet'!$B$14,Paramètres!$A$1:$I$89,5,0)</f>
        <v>101.71199999999999</v>
      </c>
      <c r="DQ27" s="14">
        <f t="shared" si="43"/>
        <v>27.369454120725656</v>
      </c>
      <c r="DR27" s="22">
        <f t="shared" si="16"/>
        <v>224.81686592693052</v>
      </c>
      <c r="DS27" s="62">
        <f t="shared" si="17"/>
        <v>463.23572539199017</v>
      </c>
      <c r="DT27" s="62">
        <f ca="1">AVERAGE(OFFSET($DS$3,0,0,'Données projet'!$E$14+1,1))-AVERAGE(OFFSET($H$3,0,0,'Données projet'!$E$14+1,1))</f>
        <v>308.39181291575227</v>
      </c>
      <c r="DU27" s="62">
        <f t="shared" si="44"/>
        <v>298.58225298824334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5.6</v>
      </c>
      <c r="EJ27" s="13">
        <f>IF('Données projet'!$A$192&gt;35,EJ26+EI27-ER26,IF(A27&lt;'Données projet'!$A$192,$EG$205^A27,IF(A27='Données projet'!$A$192,'Données projet'!$B$192,EJ26+EI27-ER26)))</f>
        <v>64.400000000000006</v>
      </c>
      <c r="EK27" s="18">
        <f>EJ27*VLOOKUP('Données projet'!$B$15,Paramètres!$A$1:$I$89,3,0)*VLOOKUP('Données projet'!$B$15,Paramètres!$A$1:$I$89,5,0)</f>
        <v>62.287680000000009</v>
      </c>
      <c r="EL27" s="14">
        <f t="shared" si="45"/>
        <v>17.745400652396182</v>
      </c>
      <c r="EM27" s="22">
        <f t="shared" si="19"/>
        <v>139.39094880292336</v>
      </c>
      <c r="EN27" s="62">
        <f t="shared" si="20"/>
        <v>377.80980826798304</v>
      </c>
      <c r="EO27" s="62">
        <f ca="1">AVERAGE(OFFSET($EN$3,0,0,'Données projet'!$E$15+1,1))-AVERAGE(OFFSET($H$3,0,0,'Données projet'!$E$15+1,1))</f>
        <v>487.76433095707876</v>
      </c>
      <c r="EP27" s="62">
        <f t="shared" si="46"/>
        <v>276.24209151398361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5.6</v>
      </c>
      <c r="FE27" s="13">
        <f>IF('Données projet'!$A$218&gt;35,FE26+FD27-FM26,IF(A27&lt;'Données projet'!$A$218,$FB$205^A27,IF(A27='Données projet'!$A$218,'Données projet'!$B$218,FE26+FD27-FM26)))</f>
        <v>64.400000000000006</v>
      </c>
      <c r="FF27" s="18">
        <f>FE27*VLOOKUP('Données projet'!$B$16,Paramètres!$A$1:$I$89,3,0)*VLOOKUP('Données projet'!$B$16,Paramètres!$A$1:$I$89,5,0)</f>
        <v>69.320160000000001</v>
      </c>
      <c r="FG27" s="14">
        <f t="shared" si="47"/>
        <v>19.50453356393022</v>
      </c>
      <c r="FH27" s="22">
        <f t="shared" si="22"/>
        <v>154.70300795717847</v>
      </c>
      <c r="FI27" s="62">
        <f t="shared" si="23"/>
        <v>393.1218674222381</v>
      </c>
      <c r="FJ27" s="62">
        <f ca="1">AVERAGE(OFFSET($FI$3,0,0,'Données projet'!$E$16+1,1))-AVERAGE(OFFSET($H$3,0,0,'Données projet'!$E$16+1,1))</f>
        <v>534.33392288300456</v>
      </c>
      <c r="FK27" s="62">
        <f t="shared" si="48"/>
        <v>300.93109615735477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7.8205128205128203</v>
      </c>
      <c r="FZ27" s="13">
        <f>IF('Données projet'!$A$244&gt;35,FZ26+FY27-GH26,IF(A27&lt;'Données projet'!$A$244,$FW$205^A27,IF(A27='Données projet'!$A$244,'Données projet'!$B$244,FZ26+FY27-GH26)))</f>
        <v>88.333333333333314</v>
      </c>
      <c r="GA27" s="18">
        <f>FZ27*VLOOKUP('Données projet'!$B$17,Paramètres!$A$1:$I$89,3,0)*VLOOKUP('Données projet'!$B$17,Paramètres!$A$1:$I$89,5,0)</f>
        <v>59.253999999999991</v>
      </c>
      <c r="GB27" s="14">
        <f t="shared" si="49"/>
        <v>16.979519687513168</v>
      </c>
      <c r="GC27" s="22">
        <f t="shared" si="25"/>
        <v>132.77338012241873</v>
      </c>
      <c r="GD27" s="62">
        <f t="shared" si="26"/>
        <v>371.19223958747841</v>
      </c>
      <c r="GE27" s="62">
        <f ca="1">AVERAGE(OFFSET($GD$3,0,0,'Données projet'!$E$17+1,1))-AVERAGE(OFFSET($H$3,0,0,'Données projet'!$E$17+1,1))</f>
        <v>316.17772895535211</v>
      </c>
      <c r="GF27" s="62">
        <f t="shared" si="50"/>
        <v>251.94445589652992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57.02332530865263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3.95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14.483333333333334</v>
      </c>
      <c r="H28" s="70">
        <f t="shared" si="1"/>
        <v>198.73333333333335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109</v>
      </c>
      <c r="L28" s="13">
        <f>VLOOKUP(A28,'Données projet'!$A$35:$I$55,9,0)</f>
        <v>7.2</v>
      </c>
      <c r="M28" s="13">
        <f t="array" ref="M28">INDEX(L:L,MIN(IF(ISNUMBER(L28:L224),ROW(L28:L224),"")))</f>
        <v>7.2</v>
      </c>
      <c r="N28" s="14">
        <f>IF('Données projet'!$A$36&gt;35,N27+M28-V27,IF(A28&lt;'Données projet'!$A$36,$K$205^A28,IF(A28='Données projet'!$A$36,'Données projet'!$B$36,N27+M28-V27)))</f>
        <v>109.00000000000001</v>
      </c>
      <c r="O28" s="14">
        <f>N28*VLOOKUP('Données projet'!$B$9,Paramètres!$A$1:$I$89,3,0)*VLOOKUP('Données projet'!$B$9,Paramètres!$A$1:$I$89,5,0)</f>
        <v>91.821600000000018</v>
      </c>
      <c r="P28" s="14">
        <f t="shared" si="33"/>
        <v>25.004037394505982</v>
      </c>
      <c r="Q28" s="22">
        <f t="shared" si="2"/>
        <v>203.47131846209797</v>
      </c>
      <c r="R28" s="62">
        <f t="shared" si="0"/>
        <v>443.937826562167</v>
      </c>
      <c r="S28" s="62">
        <f ca="1">AVERAGE(OFFSET($R$3,0,0,'Données projet'!$E$9+1,1))-AVERAGE(OFFSET($H$3,0,0,'Données projet'!$E$9+1,1))</f>
        <v>508.93703669150443</v>
      </c>
      <c r="T28" s="62">
        <f t="shared" si="34"/>
        <v>277.04920840696707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34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70</v>
      </c>
      <c r="AG28" s="13">
        <f>VLOOKUP(A28,'Données projet'!$A$61:$I$81,9,0)</f>
        <v>5.6</v>
      </c>
      <c r="AH28" s="13">
        <f t="array" ref="AH28">INDEX(AG:AG,MIN(IF(ISNUMBER(AG28:AG224),ROW(AG28:AG224),"")))</f>
        <v>5.6</v>
      </c>
      <c r="AI28" s="14">
        <f>IF('Données projet'!$A$62&gt;35,AI27+AH28-AQ27,IF(A28&lt;'Données projet'!$A$62,$AF$205^A28,IF(A28='Données projet'!$A$62,'Données projet'!$B$62,AI27+AH28-AQ27)))</f>
        <v>70</v>
      </c>
      <c r="AJ28" s="14">
        <f>AI28*VLOOKUP('Données projet'!$B$10,Paramètres!$A$1:$I$89,3,0)*VLOOKUP('Données projet'!$B$10,Paramètres!$A$1:$I$89,5,0)</f>
        <v>63.335999999999991</v>
      </c>
      <c r="AK28" s="14">
        <f t="shared" si="35"/>
        <v>18.009040022946227</v>
      </c>
      <c r="AL28" s="22">
        <f t="shared" si="4"/>
        <v>141.67594470663133</v>
      </c>
      <c r="AM28" s="62">
        <f t="shared" si="5"/>
        <v>382.14245280670036</v>
      </c>
      <c r="AN28" s="62">
        <f ca="1">AVERAGE(OFFSET($AM$3,0,0,'Données projet'!$E$10+1,1))-AVERAGE(OFFSET($H$3,0,0,'Données projet'!$E$10+1,1))</f>
        <v>461.10503306101145</v>
      </c>
      <c r="AO28" s="62">
        <f t="shared" si="36"/>
        <v>262.10652147273288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141</v>
      </c>
      <c r="BB28" s="13">
        <f>VLOOKUP(A28,'Données projet'!$A$87:$I$107,9,0)</f>
        <v>14.8</v>
      </c>
      <c r="BC28" s="13">
        <f t="array" ref="BC28">INDEX(BB:BB,MIN(IF(ISNUMBER(BB28:BB224),ROW(BB28:BB224),"")))</f>
        <v>14.8</v>
      </c>
      <c r="BD28" s="13">
        <f>IF('Données projet'!$A$88&gt;35,BD27+BC28-BL27,IF(A28&lt;'Données projet'!$A$88,$BA$205^A28,IF(A28='Données projet'!$A$88,'Données projet'!$B$88,BD27+BC28-BL27)))</f>
        <v>141</v>
      </c>
      <c r="BE28" s="14">
        <f>BD28*VLOOKUP('Données projet'!$B$11,Paramètres!$A$1:$I$89,3,0)*VLOOKUP('Données projet'!$B$11,Paramètres!$A$1:$I$89,5,0)</f>
        <v>112.17959999999999</v>
      </c>
      <c r="BF28" s="14">
        <f t="shared" si="37"/>
        <v>29.8439274472838</v>
      </c>
      <c r="BG28" s="22">
        <f t="shared" si="7"/>
        <v>247.35764363735257</v>
      </c>
      <c r="BH28" s="62">
        <f t="shared" si="8"/>
        <v>487.82415173742163</v>
      </c>
      <c r="BI28" s="62">
        <f ca="1">AVERAGE(OFFSET($BH$3,0,0,'Données projet'!$E$11+1,1))-AVERAGE(OFFSET($H$3,0,0,'Données projet'!$E$11+1,1))</f>
        <v>389.67854939311752</v>
      </c>
      <c r="BJ28" s="62">
        <f t="shared" si="38"/>
        <v>420.05189970516096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11.041428571428574</v>
      </c>
      <c r="BY28" s="13">
        <f>IF('Données projet'!$A$114&gt;35,BY27+BX28-CG27,IF(A28&lt;'Données projet'!$A$114,$BV$205^A28,IF(A28='Données projet'!$A$114,'Données projet'!$B$114,BY27+BX28-CG27)))</f>
        <v>104.16428571428571</v>
      </c>
      <c r="BZ28" s="14">
        <f>BY28*VLOOKUP('Données projet'!$B$12,Paramètres!$A$1:$I$89,3,0)*VLOOKUP('Données projet'!$B$12,Paramètres!$A$1:$I$89,5,0)</f>
        <v>59.581971428571428</v>
      </c>
      <c r="CA28" s="14">
        <f t="shared" si="39"/>
        <v>17.062535306176482</v>
      </c>
      <c r="CB28" s="22">
        <f t="shared" si="10"/>
        <v>133.48918256301928</v>
      </c>
      <c r="CC28" s="62">
        <f t="shared" si="11"/>
        <v>373.95569066308832</v>
      </c>
      <c r="CD28" s="62">
        <f ca="1">AVERAGE(OFFSET($CC$3,0,0,'Données projet'!$E$12+1,1))-AVERAGE(OFFSET($H$3,0,0,'Données projet'!$E$12+1,1))</f>
        <v>312.16891625633968</v>
      </c>
      <c r="CE28" s="62">
        <f t="shared" si="40"/>
        <v>215.34305815516177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7.8836640437949868</v>
      </c>
      <c r="CM28" s="23">
        <f>EXP(-LN(2)/2)*CM27+(1-EXP(-LN(2)/2))/(LN(2)/2)*CG28*CJ28*VLOOKUP('Données projet'!$B$12,Paramètres!$A$1:$I$89,3,0)*0.475*44/12</f>
        <v>5.7678604189554949</v>
      </c>
      <c r="CN28" s="24">
        <f t="shared" si="12"/>
        <v>13.651524462750482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141.66666666666666</v>
      </c>
      <c r="CR28" s="13">
        <f>VLOOKUP(A28,'Données projet'!$A$139:$I$159,9,0)</f>
        <v>9.2307692307692299</v>
      </c>
      <c r="CS28" s="13">
        <f t="array" ref="CS28">INDEX(CR:CR,MIN(IF(ISNUMBER(CR28:CR224),ROW(CR28:CR224),"")))</f>
        <v>9.2307692307692299</v>
      </c>
      <c r="CT28" s="13">
        <f>IF('Données projet'!$A$140&gt;35,CT27+CS28-DB27,IF(A28&lt;'Données projet'!$A$140,$CQ$205^A28,IF(A28='Données projet'!$A$140,'Données projet'!$B$140,CT27+CS28-DB27)))</f>
        <v>141.66666666666669</v>
      </c>
      <c r="CU28" s="18">
        <f>CT28*VLOOKUP('Données projet'!$B$13,Paramètres!$A$1:$I$89,3,0)*VLOOKUP('Données projet'!$B$13,Paramètres!$A$1:$I$89,5,0)</f>
        <v>95.030000000000015</v>
      </c>
      <c r="CV28" s="14">
        <f t="shared" si="41"/>
        <v>25.774473655280186</v>
      </c>
      <c r="CW28" s="22">
        <f t="shared" si="13"/>
        <v>210.40112494961298</v>
      </c>
      <c r="CX28" s="62">
        <f t="shared" si="14"/>
        <v>450.86763304968201</v>
      </c>
      <c r="CY28" s="62">
        <f ca="1">AVERAGE(OFFSET($CX$3,0,0,'Données projet'!$E$13+1,1))-AVERAGE(OFFSET($H$3,0,0,'Données projet'!$E$13+1,1))</f>
        <v>369.04754428478793</v>
      </c>
      <c r="CZ28" s="62">
        <f t="shared" si="42"/>
        <v>277.00523259351712</v>
      </c>
      <c r="DA28" s="16">
        <f>IF(ISNA(VLOOKUP(A28,'Données projet'!$A$139:$I$159,3,0)),0,VLOOKUP(A28,'Données projet'!$A$139:$I$159,3,0))</f>
        <v>2</v>
      </c>
      <c r="DB28" s="16">
        <f>IF(ISNA(VLOOKUP(A28,'Données projet'!$A$139:$I$159,4,0)),0,VLOOKUP(A28,'Données projet'!$A$139:$I$159,4,0))</f>
        <v>33.974358974358971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141</v>
      </c>
      <c r="DM28" s="13">
        <f>VLOOKUP(A28,'Données projet'!$A$165:$I$185,9,0)</f>
        <v>10.6</v>
      </c>
      <c r="DN28" s="13">
        <f t="array" ref="DN28">INDEX(DM:DM,MIN(IF(ISNUMBER(DM28:DM224),ROW(DM28:DM224),"")))</f>
        <v>10.6</v>
      </c>
      <c r="DO28" s="13">
        <f>IF('Données projet'!$A$166&gt;35,DO27+DN28-DW27,IF(A28&lt;'Données projet'!$A$166,$DL$205^A28,IF(A28='Données projet'!$A$166,'Données projet'!$B$166,DO27+DN28-DW27)))</f>
        <v>140.99999999999997</v>
      </c>
      <c r="DP28" s="18">
        <f>DO28*VLOOKUP('Données projet'!$B$14,Paramètres!$A$1:$I$89,3,0)*VLOOKUP('Données projet'!$B$14,Paramètres!$A$1:$I$89,5,0)</f>
        <v>109.97999999999998</v>
      </c>
      <c r="DQ28" s="14">
        <f t="shared" si="43"/>
        <v>29.326272366698234</v>
      </c>
      <c r="DR28" s="22">
        <f t="shared" si="16"/>
        <v>242.62509103866606</v>
      </c>
      <c r="DS28" s="62">
        <f t="shared" si="17"/>
        <v>483.09159913873509</v>
      </c>
      <c r="DT28" s="62">
        <f ca="1">AVERAGE(OFFSET($DS$3,0,0,'Données projet'!$E$14+1,1))-AVERAGE(OFFSET($H$3,0,0,'Données projet'!$E$14+1,1))</f>
        <v>308.39181291575227</v>
      </c>
      <c r="DU28" s="62">
        <f t="shared" si="44"/>
        <v>298.58225298824334</v>
      </c>
      <c r="DV28" s="16">
        <f>IF(ISNA(VLOOKUP(A28,'Données projet'!$A$165:$I$185,3,0)),0,VLOOKUP(A28,'Données projet'!$A$165:$I$185,3,0))</f>
        <v>1</v>
      </c>
      <c r="DW28" s="16">
        <f>IF(ISNA(VLOOKUP(A28,'Données projet'!$A$165:$I$185,4,0)),0,VLOOKUP(A28,'Données projet'!$A$165:$I$185,4,0))</f>
        <v>55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70</v>
      </c>
      <c r="EH28" s="13">
        <f>VLOOKUP(A28,'Données projet'!$A$191:$I$211,9,0)</f>
        <v>5.6</v>
      </c>
      <c r="EI28" s="13">
        <f t="array" ref="EI28">INDEX(EH:EH,MIN(IF(ISNUMBER(EH28:EH224),ROW(EH28:EH224),"")))</f>
        <v>5.6</v>
      </c>
      <c r="EJ28" s="13">
        <f>IF('Données projet'!$A$192&gt;35,EJ27+EI28-ER27,IF(A28&lt;'Données projet'!$A$192,$EG$205^A28,IF(A28='Données projet'!$A$192,'Données projet'!$B$192,EJ27+EI28-ER27)))</f>
        <v>70</v>
      </c>
      <c r="EK28" s="18">
        <f>EJ28*VLOOKUP('Données projet'!$B$15,Paramètres!$A$1:$I$89,3,0)*VLOOKUP('Données projet'!$B$15,Paramètres!$A$1:$I$89,5,0)</f>
        <v>67.703999999999994</v>
      </c>
      <c r="EL28" s="14">
        <f t="shared" si="45"/>
        <v>19.102177882771514</v>
      </c>
      <c r="EM28" s="22">
        <f t="shared" si="19"/>
        <v>151.18742647916039</v>
      </c>
      <c r="EN28" s="62">
        <f t="shared" si="20"/>
        <v>391.65393457922943</v>
      </c>
      <c r="EO28" s="62">
        <f ca="1">AVERAGE(OFFSET($EN$3,0,0,'Données projet'!$E$15+1,1))-AVERAGE(OFFSET($H$3,0,0,'Données projet'!$E$15+1,1))</f>
        <v>487.76433095707876</v>
      </c>
      <c r="EP28" s="62">
        <f t="shared" si="46"/>
        <v>276.24209151398361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70</v>
      </c>
      <c r="FC28" s="13">
        <f>VLOOKUP(A28,'Données projet'!$A$217:$I$237,9,0)</f>
        <v>5.6</v>
      </c>
      <c r="FD28" s="13">
        <f t="array" ref="FD28">INDEX(FC:FC,MIN(IF(ISNUMBER(FC28:FC224),ROW(FC28:FC224),"")))</f>
        <v>5.6</v>
      </c>
      <c r="FE28" s="13">
        <f>IF('Données projet'!$A$218&gt;35,FE27+FD28-FM27,IF(A28&lt;'Données projet'!$A$218,$FB$205^A28,IF(A28='Données projet'!$A$218,'Données projet'!$B$218,FE27+FD28-FM27)))</f>
        <v>70</v>
      </c>
      <c r="FF28" s="18">
        <f>FE28*VLOOKUP('Données projet'!$B$16,Paramètres!$A$1:$I$89,3,0)*VLOOKUP('Données projet'!$B$16,Paramètres!$A$1:$I$89,5,0)</f>
        <v>75.347999999999999</v>
      </c>
      <c r="FG28" s="14">
        <f t="shared" si="47"/>
        <v>20.99581051771704</v>
      </c>
      <c r="FH28" s="22">
        <f t="shared" si="22"/>
        <v>167.79880331835713</v>
      </c>
      <c r="FI28" s="62">
        <f t="shared" si="23"/>
        <v>408.26531141842617</v>
      </c>
      <c r="FJ28" s="62">
        <f ca="1">AVERAGE(OFFSET($FI$3,0,0,'Données projet'!$E$16+1,1))-AVERAGE(OFFSET($H$3,0,0,'Données projet'!$E$16+1,1))</f>
        <v>534.33392288300456</v>
      </c>
      <c r="FK28" s="62">
        <f t="shared" si="48"/>
        <v>300.93109615735477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96.153846153846146</v>
      </c>
      <c r="FX28" s="13">
        <f>VLOOKUP(A28,'Données projet'!$A$243:$I$263,9,0)</f>
        <v>7.8205128205128203</v>
      </c>
      <c r="FY28" s="13">
        <f t="array" ref="FY28">INDEX(FX:FX,MIN(IF(ISNUMBER(FX28:FX224),ROW(FX28:FX224),"")))</f>
        <v>7.8205128205128203</v>
      </c>
      <c r="FZ28" s="13">
        <f>IF('Données projet'!$A$244&gt;35,FZ27+FY28-GH27,IF(A28&lt;'Données projet'!$A$244,$FW$205^A28,IF(A28='Données projet'!$A$244,'Données projet'!$B$244,FZ27+FY28-GH27)))</f>
        <v>96.153846153846132</v>
      </c>
      <c r="GA28" s="18">
        <f>FZ28*VLOOKUP('Données projet'!$B$17,Paramètres!$A$1:$I$89,3,0)*VLOOKUP('Données projet'!$B$17,Paramètres!$A$1:$I$89,5,0)</f>
        <v>64.499999999999986</v>
      </c>
      <c r="GB28" s="14">
        <f t="shared" si="49"/>
        <v>18.301177311709043</v>
      </c>
      <c r="GC28" s="22">
        <f t="shared" si="25"/>
        <v>144.21205048455988</v>
      </c>
      <c r="GD28" s="62">
        <f t="shared" si="26"/>
        <v>384.67855858462895</v>
      </c>
      <c r="GE28" s="62">
        <f ca="1">AVERAGE(OFFSET($GD$3,0,0,'Données projet'!$E$17+1,1))-AVERAGE(OFFSET($H$3,0,0,'Données projet'!$E$17+1,1))</f>
        <v>316.17772895535211</v>
      </c>
      <c r="GF28" s="62">
        <f t="shared" si="50"/>
        <v>251.94445589652992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57.24844160304913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3.95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14.483333333333334</v>
      </c>
      <c r="H29" s="70">
        <f t="shared" si="1"/>
        <v>198.73333333333335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9.1999999999999993</v>
      </c>
      <c r="N29" s="14">
        <f>IF('Données projet'!$A$36&gt;35,N28+M29-V28,IF(A29&lt;'Données projet'!$A$36,$K$205^A29,IF(A29='Données projet'!$A$36,'Données projet'!$B$36,N28+M29-V28)))</f>
        <v>84.200000000000017</v>
      </c>
      <c r="O29" s="14">
        <f>N29*VLOOKUP('Données projet'!$B$9,Paramètres!$A$1:$I$89,3,0)*VLOOKUP('Données projet'!$B$9,Paramètres!$A$1:$I$89,5,0)</f>
        <v>70.930080000000018</v>
      </c>
      <c r="P29" s="14">
        <f t="shared" si="33"/>
        <v>19.904251483253464</v>
      </c>
      <c r="Q29" s="22">
        <f t="shared" si="2"/>
        <v>158.20312733333313</v>
      </c>
      <c r="R29" s="62">
        <f t="shared" si="0"/>
        <v>400.7029647655267</v>
      </c>
      <c r="S29" s="62">
        <f ca="1">AVERAGE(OFFSET($R$3,0,0,'Données projet'!$E$9+1,1))-AVERAGE(OFFSET($H$3,0,0,'Données projet'!$E$9+1,1))</f>
        <v>508.93703669150443</v>
      </c>
      <c r="T29" s="62">
        <f t="shared" si="34"/>
        <v>277.04920840696707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7</v>
      </c>
      <c r="AI29" s="14">
        <f>IF('Données projet'!$A$62&gt;35,AI28+AH29-AQ28,IF(A29&lt;'Données projet'!$A$62,$AF$205^A29,IF(A29='Données projet'!$A$62,'Données projet'!$B$62,AI28+AH29-AQ28)))</f>
        <v>77</v>
      </c>
      <c r="AJ29" s="14">
        <f>AI29*VLOOKUP('Données projet'!$B$10,Paramètres!$A$1:$I$89,3,0)*VLOOKUP('Données projet'!$B$10,Paramètres!$A$1:$I$89,5,0)</f>
        <v>69.669600000000003</v>
      </c>
      <c r="AK29" s="14">
        <f t="shared" si="35"/>
        <v>19.591385027476957</v>
      </c>
      <c r="AL29" s="22">
        <f t="shared" si="4"/>
        <v>155.46288225618903</v>
      </c>
      <c r="AM29" s="62">
        <f t="shared" si="5"/>
        <v>397.96271968838261</v>
      </c>
      <c r="AN29" s="62">
        <f ca="1">AVERAGE(OFFSET($AM$3,0,0,'Données projet'!$E$10+1,1))-AVERAGE(OFFSET($H$3,0,0,'Données projet'!$E$10+1,1))</f>
        <v>461.10503306101145</v>
      </c>
      <c r="AO29" s="62">
        <f t="shared" si="36"/>
        <v>262.10652147273288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14.2</v>
      </c>
      <c r="BD29" s="13">
        <f>IF('Données projet'!$A$88&gt;35,BD28+BC29-BL28,IF(A29&lt;'Données projet'!$A$88,$BA$205^A29,IF(A29='Données projet'!$A$88,'Données projet'!$B$88,BD28+BC29-BL28)))</f>
        <v>155.19999999999999</v>
      </c>
      <c r="BE29" s="14">
        <f>BD29*VLOOKUP('Données projet'!$B$11,Paramètres!$A$1:$I$89,3,0)*VLOOKUP('Données projet'!$B$11,Paramètres!$A$1:$I$89,5,0)</f>
        <v>123.47712</v>
      </c>
      <c r="BF29" s="14">
        <f t="shared" si="37"/>
        <v>32.484627317240388</v>
      </c>
      <c r="BG29" s="22">
        <f t="shared" si="7"/>
        <v>271.63337657752703</v>
      </c>
      <c r="BH29" s="62">
        <f t="shared" si="8"/>
        <v>514.13321400972063</v>
      </c>
      <c r="BI29" s="62">
        <f ca="1">AVERAGE(OFFSET($BH$3,0,0,'Données projet'!$E$11+1,1))-AVERAGE(OFFSET($H$3,0,0,'Données projet'!$E$11+1,1))</f>
        <v>389.67854939311752</v>
      </c>
      <c r="BJ29" s="62">
        <f t="shared" si="38"/>
        <v>420.05189970516096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11.041428571428574</v>
      </c>
      <c r="BY29" s="13">
        <f>IF('Données projet'!$A$114&gt;35,BY28+BX29-CG28,IF(A29&lt;'Données projet'!$A$114,$BV$205^A29,IF(A29='Données projet'!$A$114,'Données projet'!$B$114,BY28+BX29-CG28)))</f>
        <v>115.20571428571428</v>
      </c>
      <c r="BZ29" s="14">
        <f>BY29*VLOOKUP('Données projet'!$B$12,Paramètres!$A$1:$I$89,3,0)*VLOOKUP('Données projet'!$B$12,Paramètres!$A$1:$I$89,5,0)</f>
        <v>65.897668571428568</v>
      </c>
      <c r="CA29" s="14">
        <f t="shared" si="39"/>
        <v>18.651151114025541</v>
      </c>
      <c r="CB29" s="22">
        <f t="shared" si="10"/>
        <v>147.2558609521659</v>
      </c>
      <c r="CC29" s="62">
        <f t="shared" si="11"/>
        <v>389.75569838435945</v>
      </c>
      <c r="CD29" s="62">
        <f ca="1">AVERAGE(OFFSET($CC$3,0,0,'Données projet'!$E$12+1,1))-AVERAGE(OFFSET($H$3,0,0,'Données projet'!$E$12+1,1))</f>
        <v>312.16891625633968</v>
      </c>
      <c r="CE29" s="62">
        <f t="shared" si="40"/>
        <v>215.34305815516177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7.6680848359335387</v>
      </c>
      <c r="CM29" s="23">
        <f>EXP(-LN(2)/2)*CM28+(1-EXP(-LN(2)/2))/(LN(2)/2)*CG29*CJ29*VLOOKUP('Données projet'!$B$12,Paramètres!$A$1:$I$89,3,0)*0.475*44/12</f>
        <v>4.0784932151809121</v>
      </c>
      <c r="CN29" s="24">
        <f t="shared" si="12"/>
        <v>11.746578051114451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8.8461538461538449</v>
      </c>
      <c r="CT29" s="13">
        <f>IF('Données projet'!$A$140&gt;35,CT28+CS29-DB28,IF(A29&lt;'Données projet'!$A$140,$CQ$205^A29,IF(A29='Données projet'!$A$140,'Données projet'!$B$140,CT28+CS29-DB28)))</f>
        <v>116.53846153846155</v>
      </c>
      <c r="CU29" s="18">
        <f>CT29*VLOOKUP('Données projet'!$B$13,Paramètres!$A$1:$I$89,3,0)*VLOOKUP('Données projet'!$B$13,Paramètres!$A$1:$I$89,5,0)</f>
        <v>78.174000000000007</v>
      </c>
      <c r="CV29" s="14">
        <f t="shared" si="41"/>
        <v>21.690119443632522</v>
      </c>
      <c r="CW29" s="22">
        <f t="shared" si="13"/>
        <v>173.93000803099332</v>
      </c>
      <c r="CX29" s="62">
        <f t="shared" si="14"/>
        <v>416.42984546318689</v>
      </c>
      <c r="CY29" s="62">
        <f ca="1">AVERAGE(OFFSET($CX$3,0,0,'Données projet'!$E$13+1,1))-AVERAGE(OFFSET($H$3,0,0,'Données projet'!$E$13+1,1))</f>
        <v>369.04754428478793</v>
      </c>
      <c r="CZ29" s="62">
        <f t="shared" si="42"/>
        <v>277.00523259351712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11.5</v>
      </c>
      <c r="DO29" s="13">
        <f>IF('Données projet'!$A$166&gt;35,DO28+DN29-DW28,IF(A29&lt;'Données projet'!$A$166,$DL$205^A29,IF(A29='Données projet'!$A$166,'Données projet'!$B$166,DO28+DN29-DW28)))</f>
        <v>97.499999999999972</v>
      </c>
      <c r="DP29" s="18">
        <f>DO29*VLOOKUP('Données projet'!$B$14,Paramètres!$A$1:$I$89,3,0)*VLOOKUP('Données projet'!$B$14,Paramètres!$A$1:$I$89,5,0)</f>
        <v>76.049999999999983</v>
      </c>
      <c r="DQ29" s="14">
        <f t="shared" si="43"/>
        <v>21.168560890749262</v>
      </c>
      <c r="DR29" s="22">
        <f t="shared" si="16"/>
        <v>169.32232688472158</v>
      </c>
      <c r="DS29" s="62">
        <f t="shared" si="17"/>
        <v>411.82216431691518</v>
      </c>
      <c r="DT29" s="62">
        <f ca="1">AVERAGE(OFFSET($DS$3,0,0,'Données projet'!$E$14+1,1))-AVERAGE(OFFSET($H$3,0,0,'Données projet'!$E$14+1,1))</f>
        <v>308.39181291575227</v>
      </c>
      <c r="DU29" s="62">
        <f t="shared" si="44"/>
        <v>298.58225298824334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7</v>
      </c>
      <c r="EJ29" s="13">
        <f>IF('Données projet'!$A$192&gt;35,EJ28+EI29-ER28,IF(A29&lt;'Données projet'!$A$192,$EG$205^A29,IF(A29='Données projet'!$A$192,'Données projet'!$B$192,EJ28+EI29-ER28)))</f>
        <v>77</v>
      </c>
      <c r="EK29" s="18">
        <f>EJ29*VLOOKUP('Données projet'!$B$15,Paramètres!$A$1:$I$89,3,0)*VLOOKUP('Données projet'!$B$15,Paramètres!$A$1:$I$89,5,0)</f>
        <v>74.474400000000003</v>
      </c>
      <c r="EL29" s="14">
        <f t="shared" si="45"/>
        <v>20.780570274034375</v>
      </c>
      <c r="EM29" s="22">
        <f t="shared" si="19"/>
        <v>165.90240656060988</v>
      </c>
      <c r="EN29" s="62">
        <f t="shared" si="20"/>
        <v>408.40224399280345</v>
      </c>
      <c r="EO29" s="62">
        <f ca="1">AVERAGE(OFFSET($EN$3,0,0,'Données projet'!$E$15+1,1))-AVERAGE(OFFSET($H$3,0,0,'Données projet'!$E$15+1,1))</f>
        <v>487.76433095707876</v>
      </c>
      <c r="EP29" s="62">
        <f t="shared" si="46"/>
        <v>276.24209151398361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7</v>
      </c>
      <c r="FE29" s="13">
        <f>IF('Données projet'!$A$218&gt;35,FE28+FD29-FM28,IF(A29&lt;'Données projet'!$A$218,$FB$205^A29,IF(A29='Données projet'!$A$218,'Données projet'!$B$218,FE28+FD29-FM28)))</f>
        <v>77</v>
      </c>
      <c r="FF29" s="18">
        <f>FE29*VLOOKUP('Données projet'!$B$16,Paramètres!$A$1:$I$89,3,0)*VLOOKUP('Données projet'!$B$16,Paramètres!$A$1:$I$89,5,0)</f>
        <v>82.882799999999989</v>
      </c>
      <c r="FG29" s="14">
        <f t="shared" si="47"/>
        <v>22.840584911380041</v>
      </c>
      <c r="FH29" s="22">
        <f t="shared" si="22"/>
        <v>184.1348953873202</v>
      </c>
      <c r="FI29" s="62">
        <f t="shared" si="23"/>
        <v>426.63473281951377</v>
      </c>
      <c r="FJ29" s="62">
        <f ca="1">AVERAGE(OFFSET($FI$3,0,0,'Données projet'!$E$16+1,1))-AVERAGE(OFFSET($H$3,0,0,'Données projet'!$E$16+1,1))</f>
        <v>534.33392288300456</v>
      </c>
      <c r="FK29" s="62">
        <f t="shared" si="48"/>
        <v>300.93109615735477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7.6923076923076934</v>
      </c>
      <c r="FZ29" s="13">
        <f>IF('Données projet'!$A$244&gt;35,FZ28+FY29-GH28,IF(A29&lt;'Données projet'!$A$244,$FW$205^A29,IF(A29='Données projet'!$A$244,'Données projet'!$B$244,FZ28+FY29-GH28)))</f>
        <v>103.84615384615383</v>
      </c>
      <c r="GA29" s="18">
        <f>FZ29*VLOOKUP('Données projet'!$B$17,Paramètres!$A$1:$I$89,3,0)*VLOOKUP('Données projet'!$B$17,Paramètres!$A$1:$I$89,5,0)</f>
        <v>69.66</v>
      </c>
      <c r="GB29" s="14">
        <f t="shared" si="49"/>
        <v>19.588999676738897</v>
      </c>
      <c r="GC29" s="22">
        <f t="shared" si="25"/>
        <v>155.44200777032023</v>
      </c>
      <c r="GD29" s="62">
        <f t="shared" si="26"/>
        <v>397.94184520251383</v>
      </c>
      <c r="GE29" s="62">
        <f ca="1">AVERAGE(OFFSET($GD$3,0,0,'Données projet'!$E$17+1,1))-AVERAGE(OFFSET($H$3,0,0,'Données projet'!$E$17+1,1))</f>
        <v>316.17772895535211</v>
      </c>
      <c r="GF29" s="62">
        <f t="shared" si="50"/>
        <v>251.94445589652992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57.469652633022491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3.95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14.483333333333334</v>
      </c>
      <c r="H30" s="70">
        <f t="shared" si="1"/>
        <v>198.73333333333335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9.1999999999999993</v>
      </c>
      <c r="N30" s="14">
        <f>IF('Données projet'!$A$36&gt;35,N29+M30-V29,IF(A30&lt;'Données projet'!$A$36,$K$205^A30,IF(A30='Données projet'!$A$36,'Données projet'!$B$36,N29+M30-V29)))</f>
        <v>93.40000000000002</v>
      </c>
      <c r="O30" s="14">
        <f>N30*VLOOKUP('Données projet'!$B$9,Paramètres!$A$1:$I$89,3,0)*VLOOKUP('Données projet'!$B$9,Paramètres!$A$1:$I$89,5,0)</f>
        <v>78.680160000000029</v>
      </c>
      <c r="P30" s="14">
        <f t="shared" si="33"/>
        <v>21.814164609384523</v>
      </c>
      <c r="Q30" s="22">
        <f t="shared" si="2"/>
        <v>175.02761536134474</v>
      </c>
      <c r="R30" s="62">
        <f t="shared" si="0"/>
        <v>419.54671123066987</v>
      </c>
      <c r="S30" s="62">
        <f ca="1">AVERAGE(OFFSET($R$3,0,0,'Données projet'!$E$9+1,1))-AVERAGE(OFFSET($H$3,0,0,'Données projet'!$E$9+1,1))</f>
        <v>508.93703669150443</v>
      </c>
      <c r="T30" s="62">
        <f t="shared" si="34"/>
        <v>277.04920840696707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7</v>
      </c>
      <c r="AI30" s="14">
        <f>IF('Données projet'!$A$62&gt;35,AI29+AH30-AQ29,IF(A30&lt;'Données projet'!$A$62,$AF$205^A30,IF(A30='Données projet'!$A$62,'Données projet'!$B$62,AI29+AH30-AQ29)))</f>
        <v>84</v>
      </c>
      <c r="AJ30" s="14">
        <f>AI30*VLOOKUP('Données projet'!$B$10,Paramètres!$A$1:$I$89,3,0)*VLOOKUP('Données projet'!$B$10,Paramètres!$A$1:$I$89,5,0)</f>
        <v>76.003200000000007</v>
      </c>
      <c r="AK30" s="14">
        <f t="shared" si="35"/>
        <v>21.157049992000456</v>
      </c>
      <c r="AL30" s="22">
        <f t="shared" si="4"/>
        <v>169.22076873606747</v>
      </c>
      <c r="AM30" s="62">
        <f t="shared" si="5"/>
        <v>413.73986460539265</v>
      </c>
      <c r="AN30" s="62">
        <f ca="1">AVERAGE(OFFSET($AM$3,0,0,'Données projet'!$E$10+1,1))-AVERAGE(OFFSET($H$3,0,0,'Données projet'!$E$10+1,1))</f>
        <v>461.10503306101145</v>
      </c>
      <c r="AO30" s="62">
        <f t="shared" si="36"/>
        <v>262.10652147273288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14.2</v>
      </c>
      <c r="BD30" s="13">
        <f>IF('Données projet'!$A$88&gt;35,BD29+BC30-BL29,IF(A30&lt;'Données projet'!$A$88,$BA$205^A30,IF(A30='Données projet'!$A$88,'Données projet'!$B$88,BD29+BC30-BL29)))</f>
        <v>169.39999999999998</v>
      </c>
      <c r="BE30" s="14">
        <f>BD30*VLOOKUP('Données projet'!$B$11,Paramètres!$A$1:$I$89,3,0)*VLOOKUP('Données projet'!$B$11,Paramètres!$A$1:$I$89,5,0)</f>
        <v>134.77464000000001</v>
      </c>
      <c r="BF30" s="14">
        <f t="shared" si="37"/>
        <v>35.097311734235603</v>
      </c>
      <c r="BG30" s="22">
        <f t="shared" si="7"/>
        <v>295.86031593712704</v>
      </c>
      <c r="BH30" s="62">
        <f t="shared" si="8"/>
        <v>540.37941180645225</v>
      </c>
      <c r="BI30" s="62">
        <f ca="1">AVERAGE(OFFSET($BH$3,0,0,'Données projet'!$E$11+1,1))-AVERAGE(OFFSET($H$3,0,0,'Données projet'!$E$11+1,1))</f>
        <v>389.67854939311752</v>
      </c>
      <c r="BJ30" s="62">
        <f t="shared" si="38"/>
        <v>420.05189970516096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11.041428571428574</v>
      </c>
      <c r="BY30" s="13">
        <f>IF('Données projet'!$A$114&gt;35,BY29+BX30-CG29,IF(A30&lt;'Données projet'!$A$114,$BV$205^A30,IF(A30='Données projet'!$A$114,'Données projet'!$B$114,BY29+BX30-CG29)))</f>
        <v>126.24714285714285</v>
      </c>
      <c r="BZ30" s="14">
        <f>BY30*VLOOKUP('Données projet'!$B$12,Paramètres!$A$1:$I$89,3,0)*VLOOKUP('Données projet'!$B$12,Paramètres!$A$1:$I$89,5,0)</f>
        <v>72.213365714285715</v>
      </c>
      <c r="CA30" s="14">
        <f t="shared" si="39"/>
        <v>20.222114485071764</v>
      </c>
      <c r="CB30" s="22">
        <f t="shared" si="10"/>
        <v>160.9917946805476</v>
      </c>
      <c r="CC30" s="62">
        <f t="shared" si="11"/>
        <v>405.51089054987278</v>
      </c>
      <c r="CD30" s="62">
        <f ca="1">AVERAGE(OFFSET($CC$3,0,0,'Données projet'!$E$12+1,1))-AVERAGE(OFFSET($H$3,0,0,'Données projet'!$E$12+1,1))</f>
        <v>312.16891625633968</v>
      </c>
      <c r="CE30" s="62">
        <f t="shared" si="40"/>
        <v>215.34305815516177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7.4584006528478799</v>
      </c>
      <c r="CM30" s="23">
        <f>EXP(-LN(2)/2)*CM29+(1-EXP(-LN(2)/2))/(LN(2)/2)*CG30*CJ30*VLOOKUP('Données projet'!$B$12,Paramètres!$A$1:$I$89,3,0)*0.475*44/12</f>
        <v>2.8839302094777479</v>
      </c>
      <c r="CN30" s="24">
        <f t="shared" si="12"/>
        <v>10.342330862325628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8.8461538461538449</v>
      </c>
      <c r="CT30" s="13">
        <f>IF('Données projet'!$A$140&gt;35,CT29+CS30-DB29,IF(A30&lt;'Données projet'!$A$140,$CQ$205^A30,IF(A30='Données projet'!$A$140,'Données projet'!$B$140,CT29+CS30-DB29)))</f>
        <v>125.38461538461539</v>
      </c>
      <c r="CU30" s="18">
        <f>CT30*VLOOKUP('Données projet'!$B$13,Paramètres!$A$1:$I$89,3,0)*VLOOKUP('Données projet'!$B$13,Paramètres!$A$1:$I$89,5,0)</f>
        <v>84.108000000000004</v>
      </c>
      <c r="CV30" s="14">
        <f t="shared" si="41"/>
        <v>23.1386655347386</v>
      </c>
      <c r="CW30" s="22">
        <f t="shared" si="13"/>
        <v>186.78794247300308</v>
      </c>
      <c r="CX30" s="62">
        <f t="shared" si="14"/>
        <v>431.30703834232827</v>
      </c>
      <c r="CY30" s="62">
        <f ca="1">AVERAGE(OFFSET($CX$3,0,0,'Données projet'!$E$13+1,1))-AVERAGE(OFFSET($H$3,0,0,'Données projet'!$E$13+1,1))</f>
        <v>369.04754428478793</v>
      </c>
      <c r="CZ30" s="62">
        <f t="shared" si="42"/>
        <v>277.00523259351712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11.5</v>
      </c>
      <c r="DO30" s="13">
        <f>IF('Données projet'!$A$166&gt;35,DO29+DN30-DW29,IF(A30&lt;'Données projet'!$A$166,$DL$205^A30,IF(A30='Données projet'!$A$166,'Données projet'!$B$166,DO29+DN30-DW29)))</f>
        <v>108.99999999999997</v>
      </c>
      <c r="DP30" s="18">
        <f>DO30*VLOOKUP('Données projet'!$B$14,Paramètres!$A$1:$I$89,3,0)*VLOOKUP('Données projet'!$B$14,Paramètres!$A$1:$I$89,5,0)</f>
        <v>85.019999999999982</v>
      </c>
      <c r="DQ30" s="14">
        <f t="shared" si="43"/>
        <v>23.360218970693108</v>
      </c>
      <c r="DR30" s="22">
        <f t="shared" si="16"/>
        <v>188.76221470729047</v>
      </c>
      <c r="DS30" s="62">
        <f t="shared" si="17"/>
        <v>433.28131057661562</v>
      </c>
      <c r="DT30" s="62">
        <f ca="1">AVERAGE(OFFSET($DS$3,0,0,'Données projet'!$E$14+1,1))-AVERAGE(OFFSET($H$3,0,0,'Données projet'!$E$14+1,1))</f>
        <v>308.39181291575227</v>
      </c>
      <c r="DU30" s="62">
        <f t="shared" si="44"/>
        <v>298.58225298824334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7</v>
      </c>
      <c r="EJ30" s="13">
        <f>IF('Données projet'!$A$192&gt;35,EJ29+EI30-ER29,IF(A30&lt;'Données projet'!$A$192,$EG$205^A30,IF(A30='Données projet'!$A$192,'Données projet'!$B$192,EJ29+EI30-ER29)))</f>
        <v>84</v>
      </c>
      <c r="EK30" s="18">
        <f>EJ30*VLOOKUP('Données projet'!$B$15,Paramètres!$A$1:$I$89,3,0)*VLOOKUP('Données projet'!$B$15,Paramètres!$A$1:$I$89,5,0)</f>
        <v>81.244799999999998</v>
      </c>
      <c r="EL30" s="14">
        <f t="shared" si="45"/>
        <v>22.441270156928962</v>
      </c>
      <c r="EM30" s="22">
        <f t="shared" si="19"/>
        <v>180.58657218998462</v>
      </c>
      <c r="EN30" s="62">
        <f t="shared" si="20"/>
        <v>425.10566805930978</v>
      </c>
      <c r="EO30" s="62">
        <f ca="1">AVERAGE(OFFSET($EN$3,0,0,'Données projet'!$E$15+1,1))-AVERAGE(OFFSET($H$3,0,0,'Données projet'!$E$15+1,1))</f>
        <v>487.76433095707876</v>
      </c>
      <c r="EP30" s="62">
        <f t="shared" si="46"/>
        <v>276.24209151398361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7</v>
      </c>
      <c r="FE30" s="13">
        <f>IF('Données projet'!$A$218&gt;35,FE29+FD30-FM29,IF(A30&lt;'Données projet'!$A$218,$FB$205^A30,IF(A30='Données projet'!$A$218,'Données projet'!$B$218,FE29+FD30-FM29)))</f>
        <v>84</v>
      </c>
      <c r="FF30" s="18">
        <f>FE30*VLOOKUP('Données projet'!$B$16,Paramètres!$A$1:$I$89,3,0)*VLOOKUP('Données projet'!$B$16,Paramètres!$A$1:$I$89,5,0)</f>
        <v>90.417599999999993</v>
      </c>
      <c r="FG30" s="14">
        <f t="shared" si="47"/>
        <v>24.665912907068826</v>
      </c>
      <c r="FH30" s="22">
        <f t="shared" si="22"/>
        <v>200.43711831314488</v>
      </c>
      <c r="FI30" s="62">
        <f t="shared" si="23"/>
        <v>444.95621418247003</v>
      </c>
      <c r="FJ30" s="62">
        <f ca="1">AVERAGE(OFFSET($FI$3,0,0,'Données projet'!$E$16+1,1))-AVERAGE(OFFSET($H$3,0,0,'Données projet'!$E$16+1,1))</f>
        <v>534.33392288300456</v>
      </c>
      <c r="FK30" s="62">
        <f t="shared" si="48"/>
        <v>300.93109615735477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7.6923076923076934</v>
      </c>
      <c r="FZ30" s="13">
        <f>IF('Données projet'!$A$244&gt;35,FZ29+FY30-GH29,IF(A30&lt;'Données projet'!$A$244,$FW$205^A30,IF(A30='Données projet'!$A$244,'Données projet'!$B$244,FZ29+FY30-GH29)))</f>
        <v>111.53846153846152</v>
      </c>
      <c r="GA30" s="18">
        <f>FZ30*VLOOKUP('Données projet'!$B$17,Paramètres!$A$1:$I$89,3,0)*VLOOKUP('Données projet'!$B$17,Paramètres!$A$1:$I$89,5,0)</f>
        <v>74.819999999999993</v>
      </c>
      <c r="GB30" s="14">
        <f t="shared" si="49"/>
        <v>20.865755206280021</v>
      </c>
      <c r="GC30" s="22">
        <f t="shared" si="25"/>
        <v>166.65269031760437</v>
      </c>
      <c r="GD30" s="62">
        <f t="shared" si="26"/>
        <v>411.17178618692952</v>
      </c>
      <c r="GE30" s="62">
        <f ca="1">AVERAGE(OFFSET($GD$3,0,0,'Données projet'!$E$17+1,1))-AVERAGE(OFFSET($H$3,0,0,'Données projet'!$E$17+1,1))</f>
        <v>316.17772895535211</v>
      </c>
      <c r="GF30" s="62">
        <f t="shared" si="50"/>
        <v>251.94445589652992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57.687026146179591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3.95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14.483333333333334</v>
      </c>
      <c r="H31" s="70">
        <f t="shared" si="1"/>
        <v>198.73333333333335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9.1999999999999993</v>
      </c>
      <c r="N31" s="14">
        <f>IF('Données projet'!$A$36&gt;35,N30+M31-V30,IF(A31&lt;'Données projet'!$A$36,$K$205^A31,IF(A31='Données projet'!$A$36,'Données projet'!$B$36,N30+M31-V30)))</f>
        <v>102.60000000000002</v>
      </c>
      <c r="O31" s="14">
        <f>N31*VLOOKUP('Données projet'!$B$9,Paramètres!$A$1:$I$89,3,0)*VLOOKUP('Données projet'!$B$9,Paramètres!$A$1:$I$89,5,0)</f>
        <v>86.430240000000026</v>
      </c>
      <c r="P31" s="14">
        <f t="shared" si="33"/>
        <v>23.702267442352529</v>
      </c>
      <c r="Q31" s="22">
        <f t="shared" si="2"/>
        <v>191.81411712876402</v>
      </c>
      <c r="R31" s="62">
        <f t="shared" si="0"/>
        <v>438.33864463879809</v>
      </c>
      <c r="S31" s="62">
        <f ca="1">AVERAGE(OFFSET($R$3,0,0,'Données projet'!$E$9+1,1))-AVERAGE(OFFSET($H$3,0,0,'Données projet'!$E$9+1,1))</f>
        <v>508.93703669150443</v>
      </c>
      <c r="T31" s="62">
        <f t="shared" si="34"/>
        <v>277.04920840696707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7</v>
      </c>
      <c r="AI31" s="14">
        <f>IF('Données projet'!$A$62&gt;35,AI30+AH31-AQ30,IF(A31&lt;'Données projet'!$A$62,$AF$205^A31,IF(A31='Données projet'!$A$62,'Données projet'!$B$62,AI30+AH31-AQ30)))</f>
        <v>91</v>
      </c>
      <c r="AJ31" s="14">
        <f>AI31*VLOOKUP('Données projet'!$B$10,Paramètres!$A$1:$I$89,3,0)*VLOOKUP('Données projet'!$B$10,Paramètres!$A$1:$I$89,5,0)</f>
        <v>82.336799999999997</v>
      </c>
      <c r="AK31" s="14">
        <f t="shared" si="35"/>
        <v>22.707582950885364</v>
      </c>
      <c r="AL31" s="22">
        <f t="shared" si="4"/>
        <v>182.95230030612535</v>
      </c>
      <c r="AM31" s="62">
        <f t="shared" si="5"/>
        <v>429.47682781615947</v>
      </c>
      <c r="AN31" s="62">
        <f ca="1">AVERAGE(OFFSET($AM$3,0,0,'Données projet'!$E$10+1,1))-AVERAGE(OFFSET($H$3,0,0,'Données projet'!$E$10+1,1))</f>
        <v>461.10503306101145</v>
      </c>
      <c r="AO31" s="62">
        <f t="shared" si="36"/>
        <v>262.10652147273288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14.2</v>
      </c>
      <c r="BD31" s="13">
        <f>IF('Données projet'!$A$88&gt;35,BD30+BC31-BL30,IF(A31&lt;'Données projet'!$A$88,$BA$205^A31,IF(A31='Données projet'!$A$88,'Données projet'!$B$88,BD30+BC31-BL30)))</f>
        <v>183.59999999999997</v>
      </c>
      <c r="BE31" s="14">
        <f>BD31*VLOOKUP('Données projet'!$B$11,Paramètres!$A$1:$I$89,3,0)*VLOOKUP('Données projet'!$B$11,Paramètres!$A$1:$I$89,5,0)</f>
        <v>146.07215999999997</v>
      </c>
      <c r="BF31" s="14">
        <f t="shared" si="37"/>
        <v>37.684596095571003</v>
      </c>
      <c r="BG31" s="22">
        <f t="shared" si="7"/>
        <v>320.04301686645277</v>
      </c>
      <c r="BH31" s="62">
        <f t="shared" si="8"/>
        <v>566.56754437648692</v>
      </c>
      <c r="BI31" s="62">
        <f ca="1">AVERAGE(OFFSET($BH$3,0,0,'Données projet'!$E$11+1,1))-AVERAGE(OFFSET($H$3,0,0,'Données projet'!$E$11+1,1))</f>
        <v>389.67854939311752</v>
      </c>
      <c r="BJ31" s="62">
        <f t="shared" si="38"/>
        <v>420.05189970516096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11.041428571428574</v>
      </c>
      <c r="BY31" s="13">
        <f>IF('Données projet'!$A$114&gt;35,BY30+BX31-CG30,IF(A31&lt;'Données projet'!$A$114,$BV$205^A31,IF(A31='Données projet'!$A$114,'Données projet'!$B$114,BY30+BX31-CG30)))</f>
        <v>137.28857142857143</v>
      </c>
      <c r="BZ31" s="14">
        <f>BY31*VLOOKUP('Données projet'!$B$12,Paramètres!$A$1:$I$89,3,0)*VLOOKUP('Données projet'!$B$12,Paramètres!$A$1:$I$89,5,0)</f>
        <v>78.529062857142861</v>
      </c>
      <c r="CA31" s="14">
        <f t="shared" si="39"/>
        <v>21.777144825180152</v>
      </c>
      <c r="CB31" s="22">
        <f t="shared" si="10"/>
        <v>174.69997838004591</v>
      </c>
      <c r="CC31" s="62">
        <f t="shared" si="11"/>
        <v>421.22450589007997</v>
      </c>
      <c r="CD31" s="62">
        <f ca="1">AVERAGE(OFFSET($CC$3,0,0,'Données projet'!$E$12+1,1))-AVERAGE(OFFSET($H$3,0,0,'Données projet'!$E$12+1,1))</f>
        <v>312.16891625633968</v>
      </c>
      <c r="CE31" s="62">
        <f t="shared" si="40"/>
        <v>215.34305815516177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7.254450294775511</v>
      </c>
      <c r="CM31" s="23">
        <f>EXP(-LN(2)/2)*CM30+(1-EXP(-LN(2)/2))/(LN(2)/2)*CG31*CJ31*VLOOKUP('Données projet'!$B$12,Paramètres!$A$1:$I$89,3,0)*0.475*44/12</f>
        <v>2.0392466075904561</v>
      </c>
      <c r="CN31" s="24">
        <f t="shared" si="12"/>
        <v>9.2936969023659675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8.8461538461538449</v>
      </c>
      <c r="CT31" s="13">
        <f>IF('Données projet'!$A$140&gt;35,CT30+CS31-DB30,IF(A31&lt;'Données projet'!$A$140,$CQ$205^A31,IF(A31='Données projet'!$A$140,'Données projet'!$B$140,CT30+CS31-DB30)))</f>
        <v>134.23076923076923</v>
      </c>
      <c r="CU31" s="18">
        <f>CT31*VLOOKUP('Données projet'!$B$13,Paramètres!$A$1:$I$89,3,0)*VLOOKUP('Données projet'!$B$13,Paramètres!$A$1:$I$89,5,0)</f>
        <v>90.042000000000002</v>
      </c>
      <c r="CV31" s="14">
        <f t="shared" si="41"/>
        <v>24.575354107485161</v>
      </c>
      <c r="CW31" s="22">
        <f t="shared" si="13"/>
        <v>199.62522507053666</v>
      </c>
      <c r="CX31" s="62">
        <f t="shared" si="14"/>
        <v>446.14975258057075</v>
      </c>
      <c r="CY31" s="62">
        <f ca="1">AVERAGE(OFFSET($CX$3,0,0,'Données projet'!$E$13+1,1))-AVERAGE(OFFSET($H$3,0,0,'Données projet'!$E$13+1,1))</f>
        <v>369.04754428478793</v>
      </c>
      <c r="CZ31" s="62">
        <f t="shared" si="42"/>
        <v>277.00523259351712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11.5</v>
      </c>
      <c r="DO31" s="13">
        <f>IF('Données projet'!$A$166&gt;35,DO30+DN31-DW30,IF(A31&lt;'Données projet'!$A$166,$DL$205^A31,IF(A31='Données projet'!$A$166,'Données projet'!$B$166,DO30+DN31-DW30)))</f>
        <v>120.49999999999997</v>
      </c>
      <c r="DP31" s="18">
        <f>DO31*VLOOKUP('Données projet'!$B$14,Paramètres!$A$1:$I$89,3,0)*VLOOKUP('Données projet'!$B$14,Paramètres!$A$1:$I$89,5,0)</f>
        <v>93.989999999999981</v>
      </c>
      <c r="DQ31" s="14">
        <f t="shared" si="43"/>
        <v>25.525074036970079</v>
      </c>
      <c r="DR31" s="22">
        <f t="shared" si="16"/>
        <v>208.15542061438953</v>
      </c>
      <c r="DS31" s="62">
        <f t="shared" si="17"/>
        <v>454.67994812442362</v>
      </c>
      <c r="DT31" s="62">
        <f ca="1">AVERAGE(OFFSET($DS$3,0,0,'Données projet'!$E$14+1,1))-AVERAGE(OFFSET($H$3,0,0,'Données projet'!$E$14+1,1))</f>
        <v>308.39181291575227</v>
      </c>
      <c r="DU31" s="62">
        <f t="shared" si="44"/>
        <v>298.58225298824334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7</v>
      </c>
      <c r="EJ31" s="13">
        <f>IF('Données projet'!$A$192&gt;35,EJ30+EI31-ER30,IF(A31&lt;'Données projet'!$A$192,$EG$205^A31,IF(A31='Données projet'!$A$192,'Données projet'!$B$192,EJ30+EI31-ER30)))</f>
        <v>91</v>
      </c>
      <c r="EK31" s="18">
        <f>EJ31*VLOOKUP('Données projet'!$B$15,Paramètres!$A$1:$I$89,3,0)*VLOOKUP('Données projet'!$B$15,Paramètres!$A$1:$I$89,5,0)</f>
        <v>88.015200000000007</v>
      </c>
      <c r="EL31" s="14">
        <f t="shared" si="45"/>
        <v>24.085919530575829</v>
      </c>
      <c r="EM31" s="22">
        <f t="shared" si="19"/>
        <v>195.24278318241954</v>
      </c>
      <c r="EN31" s="62">
        <f t="shared" si="20"/>
        <v>441.76731069245363</v>
      </c>
      <c r="EO31" s="62">
        <f ca="1">AVERAGE(OFFSET($EN$3,0,0,'Données projet'!$E$15+1,1))-AVERAGE(OFFSET($H$3,0,0,'Données projet'!$E$15+1,1))</f>
        <v>487.76433095707876</v>
      </c>
      <c r="EP31" s="62">
        <f t="shared" si="46"/>
        <v>276.24209151398361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7</v>
      </c>
      <c r="FE31" s="13">
        <f>IF('Données projet'!$A$218&gt;35,FE30+FD31-FM30,IF(A31&lt;'Données projet'!$A$218,$FB$205^A31,IF(A31='Données projet'!$A$218,'Données projet'!$B$218,FE30+FD31-FM30)))</f>
        <v>91</v>
      </c>
      <c r="FF31" s="18">
        <f>FE31*VLOOKUP('Données projet'!$B$16,Paramètres!$A$1:$I$89,3,0)*VLOOKUP('Données projet'!$B$16,Paramètres!$A$1:$I$89,5,0)</f>
        <v>97.952399999999997</v>
      </c>
      <c r="FG31" s="14">
        <f t="shared" si="47"/>
        <v>26.473599278177087</v>
      </c>
      <c r="FH31" s="22">
        <f t="shared" si="22"/>
        <v>216.70861540949173</v>
      </c>
      <c r="FI31" s="62">
        <f t="shared" si="23"/>
        <v>463.23314291952579</v>
      </c>
      <c r="FJ31" s="62">
        <f ca="1">AVERAGE(OFFSET($FI$3,0,0,'Données projet'!$E$16+1,1))-AVERAGE(OFFSET($H$3,0,0,'Données projet'!$E$16+1,1))</f>
        <v>534.33392288300456</v>
      </c>
      <c r="FK31" s="62">
        <f t="shared" si="48"/>
        <v>300.93109615735477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7.6923076923076934</v>
      </c>
      <c r="FZ31" s="13">
        <f>IF('Données projet'!$A$244&gt;35,FZ30+FY31-GH30,IF(A31&lt;'Données projet'!$A$244,$FW$205^A31,IF(A31='Données projet'!$A$244,'Données projet'!$B$244,FZ30+FY31-GH30)))</f>
        <v>119.23076923076921</v>
      </c>
      <c r="GA31" s="18">
        <f>FZ31*VLOOKUP('Données projet'!$B$17,Paramètres!$A$1:$I$89,3,0)*VLOOKUP('Données projet'!$B$17,Paramètres!$A$1:$I$89,5,0)</f>
        <v>79.97999999999999</v>
      </c>
      <c r="GB31" s="14">
        <f t="shared" si="49"/>
        <v>22.132293953529679</v>
      </c>
      <c r="GC31" s="22">
        <f t="shared" si="25"/>
        <v>177.84557863573085</v>
      </c>
      <c r="GD31" s="62">
        <f t="shared" si="26"/>
        <v>424.37010614576491</v>
      </c>
      <c r="GE31" s="62">
        <f ca="1">AVERAGE(OFFSET($GD$3,0,0,'Données projet'!$E$17+1,1))-AVERAGE(OFFSET($H$3,0,0,'Données projet'!$E$17+1,1))</f>
        <v>316.17772895535211</v>
      </c>
      <c r="GF31" s="62">
        <f t="shared" si="50"/>
        <v>251.94445589652992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57.900628714857788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3.95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14.483333333333334</v>
      </c>
      <c r="H32" s="70">
        <f t="shared" si="1"/>
        <v>198.73333333333335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9.1999999999999993</v>
      </c>
      <c r="N32" s="14">
        <f>IF('Données projet'!$A$36&gt;35,N31+M32-V31,IF(A32&lt;'Données projet'!$A$36,$K$205^A32,IF(A32='Données projet'!$A$36,'Données projet'!$B$36,N31+M32-V31)))</f>
        <v>111.80000000000003</v>
      </c>
      <c r="O32" s="14">
        <f>N32*VLOOKUP('Données projet'!$B$9,Paramètres!$A$1:$I$89,3,0)*VLOOKUP('Données projet'!$B$9,Paramètres!$A$1:$I$89,5,0)</f>
        <v>94.180320000000037</v>
      </c>
      <c r="P32" s="14">
        <f t="shared" si="33"/>
        <v>25.570738079029208</v>
      </c>
      <c r="Q32" s="22">
        <f t="shared" si="2"/>
        <v>208.56642615430928</v>
      </c>
      <c r="R32" s="62">
        <f t="shared" si="0"/>
        <v>457.08279837263547</v>
      </c>
      <c r="S32" s="62">
        <f ca="1">AVERAGE(OFFSET($R$3,0,0,'Données projet'!$E$9+1,1))-AVERAGE(OFFSET($H$3,0,0,'Données projet'!$E$9+1,1))</f>
        <v>508.93703669150443</v>
      </c>
      <c r="T32" s="62">
        <f t="shared" si="34"/>
        <v>277.04920840696707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7</v>
      </c>
      <c r="AI32" s="14">
        <f>IF('Données projet'!$A$62&gt;35,AI31+AH32-AQ31,IF(A32&lt;'Données projet'!$A$62,$AF$205^A32,IF(A32='Données projet'!$A$62,'Données projet'!$B$62,AI31+AH32-AQ31)))</f>
        <v>98</v>
      </c>
      <c r="AJ32" s="14">
        <f>AI32*VLOOKUP('Données projet'!$B$10,Paramètres!$A$1:$I$89,3,0)*VLOOKUP('Données projet'!$B$10,Paramètres!$A$1:$I$89,5,0)</f>
        <v>88.670400000000001</v>
      </c>
      <c r="AK32" s="14">
        <f t="shared" si="35"/>
        <v>24.244280250395512</v>
      </c>
      <c r="AL32" s="22">
        <f t="shared" si="4"/>
        <v>196.65973476943884</v>
      </c>
      <c r="AM32" s="62">
        <f t="shared" si="5"/>
        <v>445.17610698776502</v>
      </c>
      <c r="AN32" s="62">
        <f ca="1">AVERAGE(OFFSET($AM$3,0,0,'Données projet'!$E$10+1,1))-AVERAGE(OFFSET($H$3,0,0,'Données projet'!$E$10+1,1))</f>
        <v>461.10503306101145</v>
      </c>
      <c r="AO32" s="62">
        <f t="shared" si="36"/>
        <v>262.10652147273288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14.2</v>
      </c>
      <c r="BD32" s="13">
        <f>IF('Données projet'!$A$88&gt;35,BD31+BC32-BL31,IF(A32&lt;'Données projet'!$A$88,$BA$205^A32,IF(A32='Données projet'!$A$88,'Données projet'!$B$88,BD31+BC32-BL31)))</f>
        <v>197.79999999999995</v>
      </c>
      <c r="BE32" s="14">
        <f>BD32*VLOOKUP('Données projet'!$B$11,Paramètres!$A$1:$I$89,3,0)*VLOOKUP('Données projet'!$B$11,Paramètres!$A$1:$I$89,5,0)</f>
        <v>157.36967999999996</v>
      </c>
      <c r="BF32" s="14">
        <f t="shared" si="37"/>
        <v>40.248668251494934</v>
      </c>
      <c r="BG32" s="22">
        <f t="shared" si="7"/>
        <v>344.18528987135363</v>
      </c>
      <c r="BH32" s="62">
        <f t="shared" si="8"/>
        <v>592.70166208967987</v>
      </c>
      <c r="BI32" s="62">
        <f ca="1">AVERAGE(OFFSET($BH$3,0,0,'Données projet'!$E$11+1,1))-AVERAGE(OFFSET($H$3,0,0,'Données projet'!$E$11+1,1))</f>
        <v>389.67854939311752</v>
      </c>
      <c r="BJ32" s="62">
        <f t="shared" si="38"/>
        <v>420.05189970516096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>
        <f>VLOOKUP(A32,'Données projet'!$A$113:$I$133,2,0)</f>
        <v>148.33000000000001</v>
      </c>
      <c r="BW32" s="13">
        <f>VLOOKUP(A32,'Données projet'!$A$113:$I$133,9,0)</f>
        <v>11.041428571428574</v>
      </c>
      <c r="BX32" s="13">
        <f t="array" ref="BX32">INDEX(BW:BW,MIN(IF(ISNUMBER(BW32:BW228),ROW(BW32:BW228),"")))</f>
        <v>11.041428571428574</v>
      </c>
      <c r="BY32" s="13">
        <f>IF('Données projet'!$A$114&gt;35,BY31+BX32-CG31,IF(A32&lt;'Données projet'!$A$114,$BV$205^A32,IF(A32='Données projet'!$A$114,'Données projet'!$B$114,BY31+BX32-CG31)))</f>
        <v>148.33000000000001</v>
      </c>
      <c r="BZ32" s="14">
        <f>BY32*VLOOKUP('Données projet'!$B$12,Paramètres!$A$1:$I$89,3,0)*VLOOKUP('Données projet'!$B$12,Paramètres!$A$1:$I$89,5,0)</f>
        <v>84.844760000000008</v>
      </c>
      <c r="CA32" s="14">
        <f t="shared" si="39"/>
        <v>23.317669232214776</v>
      </c>
      <c r="CB32" s="22">
        <f t="shared" si="10"/>
        <v>188.38289757944074</v>
      </c>
      <c r="CC32" s="62">
        <f t="shared" si="11"/>
        <v>436.89926979776692</v>
      </c>
      <c r="CD32" s="62">
        <f ca="1">AVERAGE(OFFSET($CC$3,0,0,'Données projet'!$E$12+1,1))-AVERAGE(OFFSET($H$3,0,0,'Données projet'!$E$12+1,1))</f>
        <v>312.16891625633968</v>
      </c>
      <c r="CE32" s="62">
        <f t="shared" si="40"/>
        <v>215.34305815516177</v>
      </c>
      <c r="CF32" s="16">
        <f>IF(ISNA(VLOOKUP(A32,'Données projet'!$A$113:$I$133,3,0)),0,VLOOKUP(A32,'Données projet'!$A$113:$I$133,3,0))</f>
        <v>2</v>
      </c>
      <c r="CG32" s="16">
        <f>IF(ISNA(VLOOKUP(A32,'Données projet'!$A$113:$I$133,4,0)),0,VLOOKUP(A32,'Données projet'!$A$113:$I$133,4,0))</f>
        <v>31.13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0.22500000000000001</v>
      </c>
      <c r="CJ32" s="17">
        <f>IF(ISNA(VLOOKUP(A32,'Données projet'!$A$113:$I$133,7,0)),0%,VLOOKUP(A32,'Données projet'!$A$113:$I$133,7,0))</f>
        <v>0.5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12.349939578520903</v>
      </c>
      <c r="CM32" s="23">
        <f>EXP(-LN(2)/2)*CM31+(1-EXP(-LN(2)/2))/(LN(2)/2)*CG32*CJ32*VLOOKUP('Données projet'!$B$12,Paramètres!$A$1:$I$89,3,0)*0.475*44/12</f>
        <v>11.522433051430555</v>
      </c>
      <c r="CN32" s="24">
        <f t="shared" si="12"/>
        <v>23.872372629951457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8.8461538461538449</v>
      </c>
      <c r="CT32" s="13">
        <f>IF('Données projet'!$A$140&gt;35,CT31+CS32-DB31,IF(A32&lt;'Données projet'!$A$140,$CQ$205^A32,IF(A32='Données projet'!$A$140,'Données projet'!$B$140,CT31+CS32-DB31)))</f>
        <v>143.07692307692307</v>
      </c>
      <c r="CU32" s="18">
        <f>CT32*VLOOKUP('Données projet'!$B$13,Paramètres!$A$1:$I$89,3,0)*VLOOKUP('Données projet'!$B$13,Paramètres!$A$1:$I$89,5,0)</f>
        <v>95.975999999999985</v>
      </c>
      <c r="CV32" s="14">
        <f t="shared" si="41"/>
        <v>26.001055526327377</v>
      </c>
      <c r="CW32" s="22">
        <f t="shared" si="13"/>
        <v>212.44337170835345</v>
      </c>
      <c r="CX32" s="62">
        <f t="shared" si="14"/>
        <v>460.95974392667966</v>
      </c>
      <c r="CY32" s="62">
        <f ca="1">AVERAGE(OFFSET($CX$3,0,0,'Données projet'!$E$13+1,1))-AVERAGE(OFFSET($H$3,0,0,'Données projet'!$E$13+1,1))</f>
        <v>369.04754428478793</v>
      </c>
      <c r="CZ32" s="62">
        <f t="shared" si="42"/>
        <v>277.00523259351712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11.5</v>
      </c>
      <c r="DO32" s="13">
        <f>IF('Données projet'!$A$166&gt;35,DO31+DN32-DW31,IF(A32&lt;'Données projet'!$A$166,$DL$205^A32,IF(A32='Données projet'!$A$166,'Données projet'!$B$166,DO31+DN32-DW31)))</f>
        <v>131.99999999999997</v>
      </c>
      <c r="DP32" s="18">
        <f>DO32*VLOOKUP('Données projet'!$B$14,Paramètres!$A$1:$I$89,3,0)*VLOOKUP('Données projet'!$B$14,Paramètres!$A$1:$I$89,5,0)</f>
        <v>102.95999999999998</v>
      </c>
      <c r="DQ32" s="14">
        <f t="shared" si="43"/>
        <v>27.665975080374633</v>
      </c>
      <c r="DR32" s="22">
        <f t="shared" si="16"/>
        <v>227.50690659831912</v>
      </c>
      <c r="DS32" s="62">
        <f t="shared" si="17"/>
        <v>476.0232788166453</v>
      </c>
      <c r="DT32" s="62">
        <f ca="1">AVERAGE(OFFSET($DS$3,0,0,'Données projet'!$E$14+1,1))-AVERAGE(OFFSET($H$3,0,0,'Données projet'!$E$14+1,1))</f>
        <v>308.39181291575227</v>
      </c>
      <c r="DU32" s="62">
        <f t="shared" si="44"/>
        <v>298.58225298824334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7</v>
      </c>
      <c r="EJ32" s="13">
        <f>IF('Données projet'!$A$192&gt;35,EJ31+EI32-ER31,IF(A32&lt;'Données projet'!$A$192,$EG$205^A32,IF(A32='Données projet'!$A$192,'Données projet'!$B$192,EJ31+EI32-ER31)))</f>
        <v>98</v>
      </c>
      <c r="EK32" s="18">
        <f>EJ32*VLOOKUP('Données projet'!$B$15,Paramètres!$A$1:$I$89,3,0)*VLOOKUP('Données projet'!$B$15,Paramètres!$A$1:$I$89,5,0)</f>
        <v>94.785600000000002</v>
      </c>
      <c r="EL32" s="14">
        <f t="shared" si="45"/>
        <v>25.715893428674526</v>
      </c>
      <c r="EM32" s="22">
        <f t="shared" si="19"/>
        <v>209.87343438827483</v>
      </c>
      <c r="EN32" s="62">
        <f t="shared" si="20"/>
        <v>458.38980660660104</v>
      </c>
      <c r="EO32" s="62">
        <f ca="1">AVERAGE(OFFSET($EN$3,0,0,'Données projet'!$E$15+1,1))-AVERAGE(OFFSET($H$3,0,0,'Données projet'!$E$15+1,1))</f>
        <v>487.76433095707876</v>
      </c>
      <c r="EP32" s="62">
        <f t="shared" si="46"/>
        <v>276.24209151398361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7</v>
      </c>
      <c r="FE32" s="13">
        <f>IF('Données projet'!$A$218&gt;35,FE31+FD32-FM31,IF(A32&lt;'Données projet'!$A$218,$FB$205^A32,IF(A32='Données projet'!$A$218,'Données projet'!$B$218,FE31+FD32-FM31)))</f>
        <v>98</v>
      </c>
      <c r="FF32" s="18">
        <f>FE32*VLOOKUP('Données projet'!$B$16,Paramètres!$A$1:$I$89,3,0)*VLOOKUP('Données projet'!$B$16,Paramètres!$A$1:$I$89,5,0)</f>
        <v>105.48719999999999</v>
      </c>
      <c r="FG32" s="14">
        <f t="shared" si="47"/>
        <v>28.265155367923839</v>
      </c>
      <c r="FH32" s="22">
        <f t="shared" si="22"/>
        <v>232.95201893246733</v>
      </c>
      <c r="FI32" s="62">
        <f t="shared" si="23"/>
        <v>481.46839115079354</v>
      </c>
      <c r="FJ32" s="62">
        <f ca="1">AVERAGE(OFFSET($FI$3,0,0,'Données projet'!$E$16+1,1))-AVERAGE(OFFSET($H$3,0,0,'Données projet'!$E$16+1,1))</f>
        <v>534.33392288300456</v>
      </c>
      <c r="FK32" s="62">
        <f t="shared" si="48"/>
        <v>300.93109615735477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7.6923076923076934</v>
      </c>
      <c r="FZ32" s="13">
        <f>IF('Données projet'!$A$244&gt;35,FZ31+FY32-GH31,IF(A32&lt;'Données projet'!$A$244,$FW$205^A32,IF(A32='Données projet'!$A$244,'Données projet'!$B$244,FZ31+FY32-GH31)))</f>
        <v>126.92307692307691</v>
      </c>
      <c r="GA32" s="18">
        <f>FZ32*VLOOKUP('Données projet'!$B$17,Paramètres!$A$1:$I$89,3,0)*VLOOKUP('Données projet'!$B$17,Paramètres!$A$1:$I$89,5,0)</f>
        <v>85.139999999999986</v>
      </c>
      <c r="GB32" s="14">
        <f t="shared" si="49"/>
        <v>23.389350085445869</v>
      </c>
      <c r="GC32" s="22">
        <f t="shared" si="25"/>
        <v>189.02195139881817</v>
      </c>
      <c r="GD32" s="62">
        <f t="shared" si="26"/>
        <v>437.53832361714439</v>
      </c>
      <c r="GE32" s="62">
        <f ca="1">AVERAGE(OFFSET($GD$3,0,0,'Données projet'!$E$17+1,1))-AVERAGE(OFFSET($H$3,0,0,'Données projet'!$E$17+1,1))</f>
        <v>316.17772895535211</v>
      </c>
      <c r="GF32" s="62">
        <f t="shared" si="50"/>
        <v>251.94445589652992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58.110525756513212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3.95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14.483333333333334</v>
      </c>
      <c r="H33" s="70">
        <f t="shared" si="1"/>
        <v>198.73333333333335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121</v>
      </c>
      <c r="L33" s="13">
        <f>VLOOKUP(A33,'Données projet'!$A$35:$I$55,9,0)</f>
        <v>9.1999999999999993</v>
      </c>
      <c r="M33" s="13">
        <f t="array" ref="M33">INDEX(L:L,MIN(IF(ISNUMBER(L33:L229),ROW(L33:L229),"")))</f>
        <v>9.1999999999999993</v>
      </c>
      <c r="N33" s="14">
        <f>IF('Données projet'!$A$36&gt;35,N32+M33-V32,IF(A33&lt;'Données projet'!$A$36,$K$205^A33,IF(A33='Données projet'!$A$36,'Données projet'!$B$36,N32+M33-V32)))</f>
        <v>121.00000000000003</v>
      </c>
      <c r="O33" s="14">
        <f>N33*VLOOKUP('Données projet'!$B$9,Paramètres!$A$1:$I$89,3,0)*VLOOKUP('Données projet'!$B$9,Paramètres!$A$1:$I$89,5,0)</f>
        <v>101.93040000000003</v>
      </c>
      <c r="P33" s="14">
        <f t="shared" si="33"/>
        <v>27.421375718582158</v>
      </c>
      <c r="Q33" s="22">
        <f t="shared" si="2"/>
        <v>225.28767604319731</v>
      </c>
      <c r="R33" s="62">
        <f t="shared" si="0"/>
        <v>475.78254174030042</v>
      </c>
      <c r="S33" s="62">
        <f ca="1">AVERAGE(OFFSET($R$3,0,0,'Données projet'!$E$9+1,1))-AVERAGE(OFFSET($H$3,0,0,'Données projet'!$E$9+1,1))</f>
        <v>508.93703669150443</v>
      </c>
      <c r="T33" s="62">
        <f t="shared" si="34"/>
        <v>277.04920840696707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105</v>
      </c>
      <c r="AG33" s="13">
        <f>VLOOKUP(A33,'Données projet'!$A$61:$I$81,9,0)</f>
        <v>7</v>
      </c>
      <c r="AH33" s="13">
        <f t="array" ref="AH33">INDEX(AG:AG,MIN(IF(ISNUMBER(AG33:AG229),ROW(AG33:AG229),"")))</f>
        <v>7</v>
      </c>
      <c r="AI33" s="14">
        <f>IF('Données projet'!$A$62&gt;35,AI32+AH33-AQ32,IF(A33&lt;'Données projet'!$A$62,$AF$205^A33,IF(A33='Données projet'!$A$62,'Données projet'!$B$62,AI32+AH33-AQ32)))</f>
        <v>105</v>
      </c>
      <c r="AJ33" s="14">
        <f>AI33*VLOOKUP('Données projet'!$B$10,Paramètres!$A$1:$I$89,3,0)*VLOOKUP('Données projet'!$B$10,Paramètres!$A$1:$I$89,5,0)</f>
        <v>95.004000000000005</v>
      </c>
      <c r="AK33" s="14">
        <f t="shared" si="35"/>
        <v>25.768242550600785</v>
      </c>
      <c r="AL33" s="22">
        <f t="shared" si="4"/>
        <v>210.34498910896306</v>
      </c>
      <c r="AM33" s="62">
        <f t="shared" si="5"/>
        <v>460.83985480606623</v>
      </c>
      <c r="AN33" s="62">
        <f ca="1">AVERAGE(OFFSET($AM$3,0,0,'Données projet'!$E$10+1,1))-AVERAGE(OFFSET($H$3,0,0,'Données projet'!$E$10+1,1))</f>
        <v>461.10503306101145</v>
      </c>
      <c r="AO33" s="62">
        <f t="shared" si="36"/>
        <v>262.10652147273288</v>
      </c>
      <c r="AP33" s="16">
        <f>IF(ISNA(VLOOKUP(A33,'Données projet'!$A$61:$I$81,3,0)),0,VLOOKUP(A33,'Données projet'!$A$61:$I$81,3,0))</f>
        <v>1</v>
      </c>
      <c r="AQ33" s="16">
        <f>IF(ISNA(VLOOKUP(A33,'Données projet'!$A$61:$I$81,4,0)),0,VLOOKUP(A33,'Données projet'!$A$61:$I$81,4,0))</f>
        <v>29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212</v>
      </c>
      <c r="BB33" s="13">
        <f>VLOOKUP(A33,'Données projet'!$A$87:$I$107,9,0)</f>
        <v>14.2</v>
      </c>
      <c r="BC33" s="13">
        <f t="array" ref="BC33">INDEX(BB:BB,MIN(IF(ISNUMBER(BB33:BB229),ROW(BB33:BB229),"")))</f>
        <v>14.2</v>
      </c>
      <c r="BD33" s="13">
        <f>IF('Données projet'!$A$88&gt;35,BD32+BC33-BL32,IF(A33&lt;'Données projet'!$A$88,$BA$205^A33,IF(A33='Données projet'!$A$88,'Données projet'!$B$88,BD32+BC33-BL32)))</f>
        <v>211.99999999999994</v>
      </c>
      <c r="BE33" s="14">
        <f>BD33*VLOOKUP('Données projet'!$B$11,Paramètres!$A$1:$I$89,3,0)*VLOOKUP('Données projet'!$B$11,Paramètres!$A$1:$I$89,5,0)</f>
        <v>168.66719999999998</v>
      </c>
      <c r="BF33" s="14">
        <f t="shared" si="37"/>
        <v>42.791384119459089</v>
      </c>
      <c r="BG33" s="22">
        <f t="shared" si="7"/>
        <v>368.29036734139117</v>
      </c>
      <c r="BH33" s="62">
        <f t="shared" si="8"/>
        <v>618.78523303849431</v>
      </c>
      <c r="BI33" s="62">
        <f ca="1">AVERAGE(OFFSET($BH$3,0,0,'Données projet'!$E$11+1,1))-AVERAGE(OFFSET($H$3,0,0,'Données projet'!$E$11+1,1))</f>
        <v>389.67854939311752</v>
      </c>
      <c r="BJ33" s="62">
        <f t="shared" si="38"/>
        <v>420.05189970516096</v>
      </c>
      <c r="BK33" s="16">
        <f>IF(ISNA(VLOOKUP(A33,'Données projet'!$A$87:$I$107,3,0)),0,VLOOKUP(A33,'Données projet'!$A$87:$I$107,3,0))</f>
        <v>2</v>
      </c>
      <c r="BL33" s="16">
        <f>IF(ISNA(VLOOKUP(A33,'Données projet'!$A$87:$I$107,4,0)),0,VLOOKUP(A33,'Données projet'!$A$87:$I$107,4,0))</f>
        <v>70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11.13142857142857</v>
      </c>
      <c r="BY33" s="13">
        <f>IF('Données projet'!$A$114&gt;35,BY32+BX33-CG32,IF(A33&lt;'Données projet'!$A$114,$BV$205^A33,IF(A33='Données projet'!$A$114,'Données projet'!$B$114,BY32+BX33-CG32)))</f>
        <v>128.33142857142857</v>
      </c>
      <c r="BZ33" s="14">
        <f>BY33*VLOOKUP('Données projet'!$B$12,Paramètres!$A$1:$I$89,3,0)*VLOOKUP('Données projet'!$B$12,Paramètres!$A$1:$I$89,5,0)</f>
        <v>73.405577142857155</v>
      </c>
      <c r="CA33" s="14">
        <f t="shared" si="39"/>
        <v>20.516830010095177</v>
      </c>
      <c r="CB33" s="22">
        <f t="shared" si="10"/>
        <v>163.58152579139198</v>
      </c>
      <c r="CC33" s="62">
        <f t="shared" si="11"/>
        <v>414.07639148849512</v>
      </c>
      <c r="CD33" s="62">
        <f ca="1">AVERAGE(OFFSET($CC$3,0,0,'Données projet'!$E$12+1,1))-AVERAGE(OFFSET($H$3,0,0,'Données projet'!$E$12+1,1))</f>
        <v>312.16891625633968</v>
      </c>
      <c r="CE33" s="62">
        <f t="shared" si="40"/>
        <v>215.34305815516177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12.012229831291153</v>
      </c>
      <c r="CM33" s="23">
        <f>EXP(-LN(2)/2)*CM32+(1-EXP(-LN(2)/2))/(LN(2)/2)*CG33*CJ33*VLOOKUP('Données projet'!$B$12,Paramètres!$A$1:$I$89,3,0)*0.475*44/12</f>
        <v>8.1475905464345502</v>
      </c>
      <c r="CN33" s="24">
        <f t="shared" si="12"/>
        <v>20.159820377725701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151.92307692307691</v>
      </c>
      <c r="CR33" s="13">
        <f>VLOOKUP(A33,'Données projet'!$A$139:$I$159,9,0)</f>
        <v>8.8461538461538449</v>
      </c>
      <c r="CS33" s="13">
        <f t="array" ref="CS33">INDEX(CR:CR,MIN(IF(ISNUMBER(CR33:CR229),ROW(CR33:CR229),"")))</f>
        <v>8.8461538461538449</v>
      </c>
      <c r="CT33" s="13">
        <f>IF('Données projet'!$A$140&gt;35,CT32+CS33-DB32,IF(A33&lt;'Données projet'!$A$140,$CQ$205^A33,IF(A33='Données projet'!$A$140,'Données projet'!$B$140,CT32+CS33-DB32)))</f>
        <v>151.92307692307691</v>
      </c>
      <c r="CU33" s="18">
        <f>CT33*VLOOKUP('Données projet'!$B$13,Paramètres!$A$1:$I$89,3,0)*VLOOKUP('Données projet'!$B$13,Paramètres!$A$1:$I$89,5,0)</f>
        <v>101.90999999999998</v>
      </c>
      <c r="CV33" s="14">
        <f t="shared" si="41"/>
        <v>27.416526447701855</v>
      </c>
      <c r="CW33" s="22">
        <f t="shared" si="13"/>
        <v>225.24370022974736</v>
      </c>
      <c r="CX33" s="62">
        <f t="shared" si="14"/>
        <v>475.73856592685047</v>
      </c>
      <c r="CY33" s="62">
        <f ca="1">AVERAGE(OFFSET($CX$3,0,0,'Données projet'!$E$13+1,1))-AVERAGE(OFFSET($H$3,0,0,'Données projet'!$E$13+1,1))</f>
        <v>369.04754428478793</v>
      </c>
      <c r="CZ33" s="62">
        <f t="shared" si="42"/>
        <v>277.00523259351712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11.5</v>
      </c>
      <c r="DO33" s="13">
        <f>IF('Données projet'!$A$166&gt;35,DO32+DN33-DW32,IF(A33&lt;'Données projet'!$A$166,$DL$205^A33,IF(A33='Données projet'!$A$166,'Données projet'!$B$166,DO32+DN33-DW32)))</f>
        <v>143.49999999999997</v>
      </c>
      <c r="DP33" s="18">
        <f>DO33*VLOOKUP('Données projet'!$B$14,Paramètres!$A$1:$I$89,3,0)*VLOOKUP('Données projet'!$B$14,Paramètres!$A$1:$I$89,5,0)</f>
        <v>111.92999999999998</v>
      </c>
      <c r="DQ33" s="14">
        <f t="shared" si="43"/>
        <v>29.785246291563833</v>
      </c>
      <c r="DR33" s="22">
        <f t="shared" si="16"/>
        <v>246.82072062447358</v>
      </c>
      <c r="DS33" s="62">
        <f t="shared" si="17"/>
        <v>497.31558632157669</v>
      </c>
      <c r="DT33" s="62">
        <f ca="1">AVERAGE(OFFSET($DS$3,0,0,'Données projet'!$E$14+1,1))-AVERAGE(OFFSET($H$3,0,0,'Données projet'!$E$14+1,1))</f>
        <v>308.39181291575227</v>
      </c>
      <c r="DU33" s="62">
        <f t="shared" si="44"/>
        <v>298.58225298824334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105</v>
      </c>
      <c r="EH33" s="13">
        <f>VLOOKUP(A33,'Données projet'!$A$191:$I$211,9,0)</f>
        <v>7</v>
      </c>
      <c r="EI33" s="13">
        <f t="array" ref="EI33">INDEX(EH:EH,MIN(IF(ISNUMBER(EH33:EH229),ROW(EH33:EH229),"")))</f>
        <v>7</v>
      </c>
      <c r="EJ33" s="13">
        <f>IF('Données projet'!$A$192&gt;35,EJ32+EI33-ER32,IF(A33&lt;'Données projet'!$A$192,$EG$205^A33,IF(A33='Données projet'!$A$192,'Données projet'!$B$192,EJ32+EI33-ER32)))</f>
        <v>105</v>
      </c>
      <c r="EK33" s="18">
        <f>EJ33*VLOOKUP('Données projet'!$B$15,Paramètres!$A$1:$I$89,3,0)*VLOOKUP('Données projet'!$B$15,Paramètres!$A$1:$I$89,5,0)</f>
        <v>101.556</v>
      </c>
      <c r="EL33" s="14">
        <f t="shared" si="45"/>
        <v>27.332359320696909</v>
      </c>
      <c r="EM33" s="22">
        <f t="shared" si="19"/>
        <v>224.48055915021379</v>
      </c>
      <c r="EN33" s="62">
        <f t="shared" si="20"/>
        <v>474.97542484731696</v>
      </c>
      <c r="EO33" s="62">
        <f ca="1">AVERAGE(OFFSET($EN$3,0,0,'Données projet'!$E$15+1,1))-AVERAGE(OFFSET($H$3,0,0,'Données projet'!$E$15+1,1))</f>
        <v>487.76433095707876</v>
      </c>
      <c r="EP33" s="62">
        <f t="shared" si="46"/>
        <v>276.24209151398361</v>
      </c>
      <c r="EQ33" s="16">
        <f>IF(ISNA(VLOOKUP(A33,'Données projet'!$A$191:$I$211,3,0)),0,VLOOKUP(A33,'Données projet'!$A$191:$I$211,3,0))</f>
        <v>1</v>
      </c>
      <c r="ER33" s="16">
        <f>IF(ISNA(VLOOKUP(A33,'Données projet'!$A$191:$I$211,4,0)),0,VLOOKUP(A33,'Données projet'!$A$191:$I$211,4,0))</f>
        <v>29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105</v>
      </c>
      <c r="FC33" s="13">
        <f>VLOOKUP(A33,'Données projet'!$A$217:$I$237,9,0)</f>
        <v>7</v>
      </c>
      <c r="FD33" s="13">
        <f t="array" ref="FD33">INDEX(FC:FC,MIN(IF(ISNUMBER(FC33:FC229),ROW(FC33:FC229),"")))</f>
        <v>7</v>
      </c>
      <c r="FE33" s="13">
        <f>IF('Données projet'!$A$218&gt;35,FE32+FD33-FM32,IF(A33&lt;'Données projet'!$A$218,$FB$205^A33,IF(A33='Données projet'!$A$218,'Données projet'!$B$218,FE32+FD33-FM32)))</f>
        <v>105</v>
      </c>
      <c r="FF33" s="18">
        <f>FE33*VLOOKUP('Données projet'!$B$16,Paramètres!$A$1:$I$89,3,0)*VLOOKUP('Données projet'!$B$16,Paramètres!$A$1:$I$89,5,0)</f>
        <v>113.02199999999999</v>
      </c>
      <c r="FG33" s="14">
        <f t="shared" si="47"/>
        <v>30.041864379091852</v>
      </c>
      <c r="FH33" s="22">
        <f t="shared" si="22"/>
        <v>249.16956379358496</v>
      </c>
      <c r="FI33" s="62">
        <f t="shared" si="23"/>
        <v>499.66442949068812</v>
      </c>
      <c r="FJ33" s="62">
        <f ca="1">AVERAGE(OFFSET($FI$3,0,0,'Données projet'!$E$16+1,1))-AVERAGE(OFFSET($H$3,0,0,'Données projet'!$E$16+1,1))</f>
        <v>534.33392288300456</v>
      </c>
      <c r="FK33" s="62">
        <f t="shared" si="48"/>
        <v>300.93109615735477</v>
      </c>
      <c r="FL33" s="16">
        <f>IF(ISNA(VLOOKUP(A33,'Données projet'!$A$217:$I$237,3,0)),0,VLOOKUP(A33,'Données projet'!$A$217:$I$237,3,0))</f>
        <v>1</v>
      </c>
      <c r="FM33" s="16">
        <f>IF(ISNA(VLOOKUP(A33,'Données projet'!$A$217:$I$237,4,0)),0,VLOOKUP(A33,'Données projet'!$A$217:$I$237,4,0))</f>
        <v>29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134.61538461538461</v>
      </c>
      <c r="FX33" s="13">
        <f>VLOOKUP(A33,'Données projet'!$A$243:$I$263,9,0)</f>
        <v>7.6923076923076934</v>
      </c>
      <c r="FY33" s="13">
        <f t="array" ref="FY33">INDEX(FX:FX,MIN(IF(ISNUMBER(FX33:FX229),ROW(FX33:FX229),"")))</f>
        <v>7.6923076923076934</v>
      </c>
      <c r="FZ33" s="13">
        <f>IF('Données projet'!$A$244&gt;35,FZ32+FY33-GH32,IF(A33&lt;'Données projet'!$A$244,$FW$205^A33,IF(A33='Données projet'!$A$244,'Données projet'!$B$244,FZ32+FY33-GH32)))</f>
        <v>134.61538461538458</v>
      </c>
      <c r="GA33" s="18">
        <f>FZ33*VLOOKUP('Données projet'!$B$17,Paramètres!$A$1:$I$89,3,0)*VLOOKUP('Données projet'!$B$17,Paramètres!$A$1:$I$89,5,0)</f>
        <v>90.299999999999983</v>
      </c>
      <c r="GB33" s="14">
        <f t="shared" si="49"/>
        <v>24.637563750867056</v>
      </c>
      <c r="GC33" s="22">
        <f t="shared" si="25"/>
        <v>200.1829235327601</v>
      </c>
      <c r="GD33" s="62">
        <f t="shared" si="26"/>
        <v>450.67778922986327</v>
      </c>
      <c r="GE33" s="62">
        <f ca="1">AVERAGE(OFFSET($GD$3,0,0,'Données projet'!$E$17+1,1))-AVERAGE(OFFSET($H$3,0,0,'Données projet'!$E$17+1,1))</f>
        <v>316.17772895535211</v>
      </c>
      <c r="GF33" s="62">
        <f t="shared" si="50"/>
        <v>251.94445589652992</v>
      </c>
      <c r="GG33" s="16">
        <f>IF(ISNA(VLOOKUP(A33,'Données projet'!$A$243:$I$263,3,0)),0,VLOOKUP(A33,'Données projet'!$A$243:$I$263,3,0))</f>
        <v>2</v>
      </c>
      <c r="GH33" s="16">
        <f>IF(ISNA(VLOOKUP(A33,'Données projet'!$A$243:$I$263,4,0)),0,VLOOKUP(A33,'Données projet'!$A$243:$I$263,4,0))</f>
        <v>30.128205128205128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58.316781553755405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3.95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14.483333333333334</v>
      </c>
      <c r="H34" s="70">
        <f t="shared" si="1"/>
        <v>198.73333333333335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10.8</v>
      </c>
      <c r="N34" s="14">
        <f>IF('Données projet'!$A$36&gt;35,N33+M34-V33,IF(A34&lt;'Données projet'!$A$36,$K$205^A34,IF(A34='Données projet'!$A$36,'Données projet'!$B$36,N33+M34-V33)))</f>
        <v>131.80000000000004</v>
      </c>
      <c r="O34" s="14">
        <f>N34*VLOOKUP('Données projet'!$B$9,Paramètres!$A$1:$I$89,3,0)*VLOOKUP('Données projet'!$B$9,Paramètres!$A$1:$I$89,5,0)</f>
        <v>111.02832000000005</v>
      </c>
      <c r="P34" s="14">
        <f t="shared" si="33"/>
        <v>29.573133422929669</v>
      </c>
      <c r="Q34" s="22">
        <f t="shared" si="2"/>
        <v>244.88086471160261</v>
      </c>
      <c r="R34" s="62">
        <f t="shared" si="0"/>
        <v>496.11888204972843</v>
      </c>
      <c r="S34" s="62">
        <f ca="1">AVERAGE(OFFSET($R$3,0,0,'Données projet'!$E$9+1,1))-AVERAGE(OFFSET($H$3,0,0,'Données projet'!$E$9+1,1))</f>
        <v>508.93703669150443</v>
      </c>
      <c r="T34" s="62">
        <f t="shared" si="34"/>
        <v>277.04920840696707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8</v>
      </c>
      <c r="AI34" s="14">
        <f>IF('Données projet'!$A$62&gt;35,AI33+AH34-AQ33,IF(A34&lt;'Données projet'!$A$62,$AF$205^A34,IF(A34='Données projet'!$A$62,'Données projet'!$B$62,AI33+AH34-AQ33)))</f>
        <v>84</v>
      </c>
      <c r="AJ34" s="14">
        <f>AI34*VLOOKUP('Données projet'!$B$10,Paramètres!$A$1:$I$89,3,0)*VLOOKUP('Données projet'!$B$10,Paramètres!$A$1:$I$89,5,0)</f>
        <v>76.003200000000007</v>
      </c>
      <c r="AK34" s="14">
        <f t="shared" si="35"/>
        <v>21.157049992000456</v>
      </c>
      <c r="AL34" s="22">
        <f t="shared" si="4"/>
        <v>169.22076873606747</v>
      </c>
      <c r="AM34" s="62">
        <f t="shared" si="5"/>
        <v>420.45878607419331</v>
      </c>
      <c r="AN34" s="62">
        <f ca="1">AVERAGE(OFFSET($AM$3,0,0,'Données projet'!$E$10+1,1))-AVERAGE(OFFSET($H$3,0,0,'Données projet'!$E$10+1,1))</f>
        <v>461.10503306101145</v>
      </c>
      <c r="AO34" s="62">
        <f t="shared" si="36"/>
        <v>262.10652147273288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12.8</v>
      </c>
      <c r="BD34" s="13">
        <f>IF('Données projet'!$A$88&gt;35,BD33+BC34-BL33,IF(A34&lt;'Données projet'!$A$88,$BA$205^A34,IF(A34='Données projet'!$A$88,'Données projet'!$B$88,BD33+BC34-BL33)))</f>
        <v>154.79999999999995</v>
      </c>
      <c r="BE34" s="14">
        <f>BD34*VLOOKUP('Données projet'!$B$11,Paramètres!$A$1:$I$89,3,0)*VLOOKUP('Données projet'!$B$11,Paramètres!$A$1:$I$89,5,0)</f>
        <v>123.15887999999997</v>
      </c>
      <c r="BF34" s="14">
        <f t="shared" si="37"/>
        <v>32.410638331814873</v>
      </c>
      <c r="BG34" s="22">
        <f t="shared" si="7"/>
        <v>270.95024442791083</v>
      </c>
      <c r="BH34" s="62">
        <f t="shared" si="8"/>
        <v>522.1882617660367</v>
      </c>
      <c r="BI34" s="62">
        <f ca="1">AVERAGE(OFFSET($BH$3,0,0,'Données projet'!$E$11+1,1))-AVERAGE(OFFSET($H$3,0,0,'Données projet'!$E$11+1,1))</f>
        <v>389.67854939311752</v>
      </c>
      <c r="BJ34" s="62">
        <f t="shared" si="38"/>
        <v>420.05189970516096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11.13142857142857</v>
      </c>
      <c r="BY34" s="13">
        <f>IF('Données projet'!$A$114&gt;35,BY33+BX34-CG33,IF(A34&lt;'Données projet'!$A$114,$BV$205^A34,IF(A34='Données projet'!$A$114,'Données projet'!$B$114,BY33+BX34-CG33)))</f>
        <v>139.46285714285713</v>
      </c>
      <c r="BZ34" s="14">
        <f>BY34*VLOOKUP('Données projet'!$B$12,Paramètres!$A$1:$I$89,3,0)*VLOOKUP('Données projet'!$B$12,Paramètres!$A$1:$I$89,5,0)</f>
        <v>79.772754285714285</v>
      </c>
      <c r="CA34" s="14">
        <f t="shared" si="39"/>
        <v>22.081612174706297</v>
      </c>
      <c r="CB34" s="22">
        <f t="shared" si="10"/>
        <v>177.39635491856583</v>
      </c>
      <c r="CC34" s="62">
        <f t="shared" si="11"/>
        <v>428.63437225669168</v>
      </c>
      <c r="CD34" s="62">
        <f ca="1">AVERAGE(OFFSET($CC$3,0,0,'Données projet'!$E$12+1,1))-AVERAGE(OFFSET($H$3,0,0,'Données projet'!$E$12+1,1))</f>
        <v>312.16891625633968</v>
      </c>
      <c r="CE34" s="62">
        <f t="shared" si="40"/>
        <v>215.34305815516177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11.683754774858784</v>
      </c>
      <c r="CM34" s="23">
        <f>EXP(-LN(2)/2)*CM33+(1-EXP(-LN(2)/2))/(LN(2)/2)*CG34*CJ34*VLOOKUP('Données projet'!$B$12,Paramètres!$A$1:$I$89,3,0)*0.475*44/12</f>
        <v>5.7612165257152794</v>
      </c>
      <c r="CN34" s="24">
        <f t="shared" si="12"/>
        <v>17.444971300574064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8.3333333333333375</v>
      </c>
      <c r="CT34" s="13">
        <f>IF('Données projet'!$A$140&gt;35,CT33+CS34-DB33,IF(A34&lt;'Données projet'!$A$140,$CQ$205^A34,IF(A34='Données projet'!$A$140,'Données projet'!$B$140,CT33+CS34-DB33)))</f>
        <v>160.25641025641025</v>
      </c>
      <c r="CU34" s="18">
        <f>CT34*VLOOKUP('Données projet'!$B$13,Paramètres!$A$1:$I$89,3,0)*VLOOKUP('Données projet'!$B$13,Paramètres!$A$1:$I$89,5,0)</f>
        <v>107.5</v>
      </c>
      <c r="CV34" s="14">
        <f t="shared" si="41"/>
        <v>28.741179291345453</v>
      </c>
      <c r="CW34" s="22">
        <f t="shared" si="13"/>
        <v>237.28672059909331</v>
      </c>
      <c r="CX34" s="62">
        <f t="shared" si="14"/>
        <v>488.52473793721913</v>
      </c>
      <c r="CY34" s="62">
        <f ca="1">AVERAGE(OFFSET($CX$3,0,0,'Données projet'!$E$13+1,1))-AVERAGE(OFFSET($H$3,0,0,'Données projet'!$E$13+1,1))</f>
        <v>369.04754428478793</v>
      </c>
      <c r="CZ34" s="62">
        <f t="shared" si="42"/>
        <v>277.00523259351712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>
        <f>VLOOKUP(A34,'Données projet'!$A$165:$I$185,2,0)</f>
        <v>155</v>
      </c>
      <c r="DM34" s="13">
        <f>VLOOKUP(A34,'Données projet'!$A$165:$I$185,9,0)</f>
        <v>11.5</v>
      </c>
      <c r="DN34" s="13">
        <f t="array" ref="DN34">INDEX(DM:DM,MIN(IF(ISNUMBER(DM34:DM230),ROW(DM34:DM230),"")))</f>
        <v>11.5</v>
      </c>
      <c r="DO34" s="13">
        <f>IF('Données projet'!$A$166&gt;35,DO33+DN34-DW33,IF(A34&lt;'Données projet'!$A$166,$DL$205^A34,IF(A34='Données projet'!$A$166,'Données projet'!$B$166,DO33+DN34-DW33)))</f>
        <v>154.99999999999997</v>
      </c>
      <c r="DP34" s="18">
        <f>DO34*VLOOKUP('Données projet'!$B$14,Paramètres!$A$1:$I$89,3,0)*VLOOKUP('Données projet'!$B$14,Paramètres!$A$1:$I$89,5,0)</f>
        <v>120.89999999999998</v>
      </c>
      <c r="DQ34" s="14">
        <f t="shared" si="43"/>
        <v>31.884818143351602</v>
      </c>
      <c r="DR34" s="22">
        <f t="shared" si="16"/>
        <v>266.10022493300397</v>
      </c>
      <c r="DS34" s="62">
        <f t="shared" si="17"/>
        <v>517.33824227112984</v>
      </c>
      <c r="DT34" s="62">
        <f ca="1">AVERAGE(OFFSET($DS$3,0,0,'Données projet'!$E$14+1,1))-AVERAGE(OFFSET($H$3,0,0,'Données projet'!$E$14+1,1))</f>
        <v>308.39181291575227</v>
      </c>
      <c r="DU34" s="62">
        <f t="shared" si="44"/>
        <v>298.58225298824334</v>
      </c>
      <c r="DV34" s="16">
        <f>IF(ISNA(VLOOKUP(A34,'Données projet'!$A$165:$I$185,3,0)),0,VLOOKUP(A34,'Données projet'!$A$165:$I$185,3,0))</f>
        <v>2</v>
      </c>
      <c r="DW34" s="16">
        <f>IF(ISNA(VLOOKUP(A34,'Données projet'!$A$165:$I$185,4,0)),0,VLOOKUP(A34,'Données projet'!$A$165:$I$185,4,0))</f>
        <v>36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8</v>
      </c>
      <c r="EJ34" s="13">
        <f>IF('Données projet'!$A$192&gt;35,EJ33+EI34-ER33,IF(A34&lt;'Données projet'!$A$192,$EG$205^A34,IF(A34='Données projet'!$A$192,'Données projet'!$B$192,EJ33+EI34-ER33)))</f>
        <v>84</v>
      </c>
      <c r="EK34" s="18">
        <f>EJ34*VLOOKUP('Données projet'!$B$15,Paramètres!$A$1:$I$89,3,0)*VLOOKUP('Données projet'!$B$15,Paramètres!$A$1:$I$89,5,0)</f>
        <v>81.244799999999998</v>
      </c>
      <c r="EL34" s="14">
        <f t="shared" si="45"/>
        <v>22.441270156928962</v>
      </c>
      <c r="EM34" s="22">
        <f t="shared" si="19"/>
        <v>180.58657218998462</v>
      </c>
      <c r="EN34" s="62">
        <f t="shared" si="20"/>
        <v>431.82458952811044</v>
      </c>
      <c r="EO34" s="62">
        <f ca="1">AVERAGE(OFFSET($EN$3,0,0,'Données projet'!$E$15+1,1))-AVERAGE(OFFSET($H$3,0,0,'Données projet'!$E$15+1,1))</f>
        <v>487.76433095707876</v>
      </c>
      <c r="EP34" s="62">
        <f t="shared" si="46"/>
        <v>276.24209151398361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8</v>
      </c>
      <c r="FE34" s="13">
        <f>IF('Données projet'!$A$218&gt;35,FE33+FD34-FM33,IF(A34&lt;'Données projet'!$A$218,$FB$205^A34,IF(A34='Données projet'!$A$218,'Données projet'!$B$218,FE33+FD34-FM33)))</f>
        <v>84</v>
      </c>
      <c r="FF34" s="18">
        <f>FE34*VLOOKUP('Données projet'!$B$16,Paramètres!$A$1:$I$89,3,0)*VLOOKUP('Données projet'!$B$16,Paramètres!$A$1:$I$89,5,0)</f>
        <v>90.417599999999993</v>
      </c>
      <c r="FG34" s="14">
        <f t="shared" si="47"/>
        <v>24.665912907068826</v>
      </c>
      <c r="FH34" s="22">
        <f t="shared" si="22"/>
        <v>200.43711831314488</v>
      </c>
      <c r="FI34" s="62">
        <f t="shared" si="23"/>
        <v>451.67513565127069</v>
      </c>
      <c r="FJ34" s="62">
        <f ca="1">AVERAGE(OFFSET($FI$3,0,0,'Données projet'!$E$16+1,1))-AVERAGE(OFFSET($H$3,0,0,'Données projet'!$E$16+1,1))</f>
        <v>534.33392288300456</v>
      </c>
      <c r="FK34" s="62">
        <f t="shared" si="48"/>
        <v>300.93109615735477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7.1794871794871797</v>
      </c>
      <c r="FZ34" s="13">
        <f>IF('Données projet'!$A$244&gt;35,FZ33+FY34-GH33,IF(A34&lt;'Données projet'!$A$244,$FW$205^A34,IF(A34='Données projet'!$A$244,'Données projet'!$B$244,FZ33+FY34-GH33)))</f>
        <v>111.66666666666664</v>
      </c>
      <c r="GA34" s="18">
        <f>FZ34*VLOOKUP('Données projet'!$B$17,Paramètres!$A$1:$I$89,3,0)*VLOOKUP('Données projet'!$B$17,Paramètres!$A$1:$I$89,5,0)</f>
        <v>74.905999999999992</v>
      </c>
      <c r="GB34" s="14">
        <f t="shared" si="49"/>
        <v>20.886945721747871</v>
      </c>
      <c r="GC34" s="22">
        <f t="shared" si="25"/>
        <v>166.8393804653775</v>
      </c>
      <c r="GD34" s="62">
        <f t="shared" si="26"/>
        <v>418.07739780350335</v>
      </c>
      <c r="GE34" s="62">
        <f ca="1">AVERAGE(OFFSET($GD$3,0,0,'Données projet'!$E$17+1,1))-AVERAGE(OFFSET($H$3,0,0,'Données projet'!$E$17+1,1))</f>
        <v>316.17772895535211</v>
      </c>
      <c r="GF34" s="62">
        <f t="shared" si="50"/>
        <v>251.94445589652992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58.519459274034318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3.95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14.483333333333334</v>
      </c>
      <c r="H35" s="70">
        <f t="shared" si="1"/>
        <v>198.73333333333335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10.8</v>
      </c>
      <c r="N35" s="14">
        <f>IF('Données projet'!$A$36&gt;35,N34+M35-V34,IF(A35&lt;'Données projet'!$A$36,$K$205^A35,IF(A35='Données projet'!$A$36,'Données projet'!$B$36,N34+M35-V34)))</f>
        <v>142.60000000000005</v>
      </c>
      <c r="O35" s="14">
        <f>N35*VLOOKUP('Données projet'!$B$9,Paramètres!$A$1:$I$89,3,0)*VLOOKUP('Données projet'!$B$9,Paramètres!$A$1:$I$89,5,0)</f>
        <v>120.12624000000005</v>
      </c>
      <c r="P35" s="14">
        <f t="shared" si="33"/>
        <v>31.704440899018444</v>
      </c>
      <c r="Q35" s="22">
        <f t="shared" ref="Q35:Q66" si="53">(O35+P35)*0.475*44/12</f>
        <v>264.43843589912387</v>
      </c>
      <c r="R35" s="62">
        <f t="shared" si="0"/>
        <v>516.40671285873884</v>
      </c>
      <c r="S35" s="62">
        <f ca="1">AVERAGE(OFFSET($R$3,0,0,'Données projet'!$E$9+1,1))-AVERAGE(OFFSET($H$3,0,0,'Données projet'!$E$9+1,1))</f>
        <v>508.93703669150443</v>
      </c>
      <c r="T35" s="62">
        <f t="shared" si="34"/>
        <v>277.04920840696707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8</v>
      </c>
      <c r="AI35" s="14">
        <f>IF('Données projet'!$A$62&gt;35,AI34+AH35-AQ34,IF(A35&lt;'Données projet'!$A$62,$AF$205^A35,IF(A35='Données projet'!$A$62,'Données projet'!$B$62,AI34+AH35-AQ34)))</f>
        <v>92</v>
      </c>
      <c r="AJ35" s="14">
        <f>AI35*VLOOKUP('Données projet'!$B$10,Paramètres!$A$1:$I$89,3,0)*VLOOKUP('Données projet'!$B$10,Paramètres!$A$1:$I$89,5,0)</f>
        <v>83.241600000000005</v>
      </c>
      <c r="AK35" s="14">
        <f t="shared" si="35"/>
        <v>22.927930643846508</v>
      </c>
      <c r="AL35" s="22">
        <f t="shared" si="4"/>
        <v>184.91193253803269</v>
      </c>
      <c r="AM35" s="62">
        <f t="shared" si="5"/>
        <v>436.88020949764768</v>
      </c>
      <c r="AN35" s="62">
        <f ca="1">AVERAGE(OFFSET($AM$3,0,0,'Données projet'!$E$10+1,1))-AVERAGE(OFFSET($H$3,0,0,'Données projet'!$E$10+1,1))</f>
        <v>461.10503306101145</v>
      </c>
      <c r="AO35" s="62">
        <f t="shared" si="36"/>
        <v>262.10652147273288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12.8</v>
      </c>
      <c r="BD35" s="13">
        <f>IF('Données projet'!$A$88&gt;35,BD34+BC35-BL34,IF(A35&lt;'Données projet'!$A$88,$BA$205^A35,IF(A35='Données projet'!$A$88,'Données projet'!$B$88,BD34+BC35-BL34)))</f>
        <v>167.59999999999997</v>
      </c>
      <c r="BE35" s="14">
        <f>BD35*VLOOKUP('Données projet'!$B$11,Paramètres!$A$1:$I$89,3,0)*VLOOKUP('Données projet'!$B$11,Paramètres!$A$1:$I$89,5,0)</f>
        <v>133.34255999999999</v>
      </c>
      <c r="BF35" s="14">
        <f t="shared" si="37"/>
        <v>34.767581918978188</v>
      </c>
      <c r="BG35" s="22">
        <f t="shared" si="7"/>
        <v>292.79183050888702</v>
      </c>
      <c r="BH35" s="62">
        <f t="shared" si="8"/>
        <v>544.76010746850193</v>
      </c>
      <c r="BI35" s="62">
        <f ca="1">AVERAGE(OFFSET($BH$3,0,0,'Données projet'!$E$11+1,1))-AVERAGE(OFFSET($H$3,0,0,'Données projet'!$E$11+1,1))</f>
        <v>389.67854939311752</v>
      </c>
      <c r="BJ35" s="62">
        <f t="shared" si="38"/>
        <v>420.05189970516096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11.13142857142857</v>
      </c>
      <c r="BY35" s="13">
        <f>IF('Données projet'!$A$114&gt;35,BY34+BX35-CG34,IF(A35&lt;'Données projet'!$A$114,$BV$205^A35,IF(A35='Données projet'!$A$114,'Données projet'!$B$114,BY34+BX35-CG34)))</f>
        <v>150.59428571428569</v>
      </c>
      <c r="BZ35" s="14">
        <f>BY35*VLOOKUP('Données projet'!$B$12,Paramètres!$A$1:$I$89,3,0)*VLOOKUP('Données projet'!$B$12,Paramètres!$A$1:$I$89,5,0)</f>
        <v>86.139931428571415</v>
      </c>
      <c r="CA35" s="14">
        <f t="shared" si="39"/>
        <v>23.631907619423899</v>
      </c>
      <c r="CB35" s="22">
        <f t="shared" si="10"/>
        <v>191.18595300859181</v>
      </c>
      <c r="CC35" s="62">
        <f t="shared" si="11"/>
        <v>443.15422996820678</v>
      </c>
      <c r="CD35" s="62">
        <f ca="1">AVERAGE(OFFSET($CC$3,0,0,'Données projet'!$E$12+1,1))-AVERAGE(OFFSET($H$3,0,0,'Données projet'!$E$12+1,1))</f>
        <v>312.16891625633968</v>
      </c>
      <c r="CE35" s="62">
        <f t="shared" si="40"/>
        <v>215.34305815516177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11.36426188611831</v>
      </c>
      <c r="CM35" s="23">
        <f>EXP(-LN(2)/2)*CM34+(1-EXP(-LN(2)/2))/(LN(2)/2)*CG35*CJ35*VLOOKUP('Données projet'!$B$12,Paramètres!$A$1:$I$89,3,0)*0.475*44/12</f>
        <v>4.073795273217276</v>
      </c>
      <c r="CN35" s="24">
        <f t="shared" si="12"/>
        <v>15.438057159335585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8.3333333333333375</v>
      </c>
      <c r="CT35" s="13">
        <f>IF('Données projet'!$A$140&gt;35,CT34+CS35-DB34,IF(A35&lt;'Données projet'!$A$140,$CQ$205^A35,IF(A35='Données projet'!$A$140,'Données projet'!$B$140,CT34+CS35-DB34)))</f>
        <v>168.58974358974359</v>
      </c>
      <c r="CU35" s="18">
        <f>CT35*VLOOKUP('Données projet'!$B$13,Paramètres!$A$1:$I$89,3,0)*VLOOKUP('Données projet'!$B$13,Paramètres!$A$1:$I$89,5,0)</f>
        <v>113.08999999999999</v>
      </c>
      <c r="CV35" s="14">
        <f t="shared" si="41"/>
        <v>30.057834687710393</v>
      </c>
      <c r="CW35" s="22">
        <f t="shared" si="13"/>
        <v>249.31581208109557</v>
      </c>
      <c r="CX35" s="62">
        <f t="shared" si="14"/>
        <v>501.28408904071057</v>
      </c>
      <c r="CY35" s="62">
        <f ca="1">AVERAGE(OFFSET($CX$3,0,0,'Données projet'!$E$13+1,1))-AVERAGE(OFFSET($H$3,0,0,'Données projet'!$E$13+1,1))</f>
        <v>369.04754428478793</v>
      </c>
      <c r="CZ35" s="62">
        <f t="shared" si="42"/>
        <v>277.00523259351712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11.5</v>
      </c>
      <c r="DO35" s="13">
        <f>IF('Données projet'!$A$166&gt;35,DO34+DN35-DW34,IF(A35&lt;'Données projet'!$A$166,$DL$205^A35,IF(A35='Données projet'!$A$166,'Données projet'!$B$166,DO34+DN35-DW34)))</f>
        <v>130.49999999999997</v>
      </c>
      <c r="DP35" s="18">
        <f>DO35*VLOOKUP('Données projet'!$B$14,Paramètres!$A$1:$I$89,3,0)*VLOOKUP('Données projet'!$B$14,Paramètres!$A$1:$I$89,5,0)</f>
        <v>101.78999999999998</v>
      </c>
      <c r="DQ35" s="14">
        <f t="shared" si="43"/>
        <v>27.38799903683508</v>
      </c>
      <c r="DR35" s="22">
        <f t="shared" si="16"/>
        <v>224.98501498915437</v>
      </c>
      <c r="DS35" s="62">
        <f t="shared" si="17"/>
        <v>476.95329194876933</v>
      </c>
      <c r="DT35" s="62">
        <f ca="1">AVERAGE(OFFSET($DS$3,0,0,'Données projet'!$E$14+1,1))-AVERAGE(OFFSET($H$3,0,0,'Données projet'!$E$14+1,1))</f>
        <v>308.39181291575227</v>
      </c>
      <c r="DU35" s="62">
        <f t="shared" si="44"/>
        <v>298.58225298824334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8</v>
      </c>
      <c r="EJ35" s="13">
        <f>IF('Données projet'!$A$192&gt;35,EJ34+EI35-ER34,IF(A35&lt;'Données projet'!$A$192,$EG$205^A35,IF(A35='Données projet'!$A$192,'Données projet'!$B$192,EJ34+EI35-ER34)))</f>
        <v>92</v>
      </c>
      <c r="EK35" s="18">
        <f>EJ35*VLOOKUP('Données projet'!$B$15,Paramètres!$A$1:$I$89,3,0)*VLOOKUP('Données projet'!$B$15,Paramètres!$A$1:$I$89,5,0)</f>
        <v>88.982399999999998</v>
      </c>
      <c r="EL35" s="14">
        <f t="shared" si="45"/>
        <v>24.31964219550628</v>
      </c>
      <c r="EM35" s="22">
        <f t="shared" si="19"/>
        <v>197.3343901571734</v>
      </c>
      <c r="EN35" s="62">
        <f t="shared" si="20"/>
        <v>449.30266711678837</v>
      </c>
      <c r="EO35" s="62">
        <f ca="1">AVERAGE(OFFSET($EN$3,0,0,'Données projet'!$E$15+1,1))-AVERAGE(OFFSET($H$3,0,0,'Données projet'!$E$15+1,1))</f>
        <v>487.76433095707876</v>
      </c>
      <c r="EP35" s="62">
        <f t="shared" si="46"/>
        <v>276.24209151398361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8</v>
      </c>
      <c r="FE35" s="13">
        <f>IF('Données projet'!$A$218&gt;35,FE34+FD35-FM34,IF(A35&lt;'Données projet'!$A$218,$FB$205^A35,IF(A35='Données projet'!$A$218,'Données projet'!$B$218,FE34+FD35-FM34)))</f>
        <v>92</v>
      </c>
      <c r="FF35" s="18">
        <f>FE35*VLOOKUP('Données projet'!$B$16,Paramètres!$A$1:$I$89,3,0)*VLOOKUP('Données projet'!$B$16,Paramètres!$A$1:$I$89,5,0)</f>
        <v>99.028800000000004</v>
      </c>
      <c r="FG35" s="14">
        <f t="shared" si="47"/>
        <v>26.730491283721712</v>
      </c>
      <c r="FH35" s="22">
        <f t="shared" si="22"/>
        <v>219.03076565248196</v>
      </c>
      <c r="FI35" s="62">
        <f t="shared" si="23"/>
        <v>470.9990426120969</v>
      </c>
      <c r="FJ35" s="62">
        <f ca="1">AVERAGE(OFFSET($FI$3,0,0,'Données projet'!$E$16+1,1))-AVERAGE(OFFSET($H$3,0,0,'Données projet'!$E$16+1,1))</f>
        <v>534.33392288300456</v>
      </c>
      <c r="FK35" s="62">
        <f t="shared" si="48"/>
        <v>300.93109615735477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7.1794871794871797</v>
      </c>
      <c r="FZ35" s="13">
        <f>IF('Données projet'!$A$244&gt;35,FZ34+FY35-GH34,IF(A35&lt;'Données projet'!$A$244,$FW$205^A35,IF(A35='Données projet'!$A$244,'Données projet'!$B$244,FZ34+FY35-GH34)))</f>
        <v>118.84615384615383</v>
      </c>
      <c r="GA35" s="18">
        <f>FZ35*VLOOKUP('Données projet'!$B$17,Paramètres!$A$1:$I$89,3,0)*VLOOKUP('Données projet'!$B$17,Paramètres!$A$1:$I$89,5,0)</f>
        <v>79.72199999999998</v>
      </c>
      <c r="GB35" s="14">
        <f t="shared" si="49"/>
        <v>22.069197918525273</v>
      </c>
      <c r="GC35" s="22">
        <f t="shared" si="25"/>
        <v>177.2863363747648</v>
      </c>
      <c r="GD35" s="62">
        <f t="shared" si="26"/>
        <v>429.25461333437977</v>
      </c>
      <c r="GE35" s="62">
        <f ca="1">AVERAGE(OFFSET($GD$3,0,0,'Données projet'!$E$17+1,1))-AVERAGE(OFFSET($H$3,0,0,'Données projet'!$E$17+1,1))</f>
        <v>316.17772895535211</v>
      </c>
      <c r="GF35" s="62">
        <f t="shared" si="50"/>
        <v>251.94445589652992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58.718620988985904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3.95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14.483333333333334</v>
      </c>
      <c r="H36" s="70">
        <f t="shared" si="1"/>
        <v>198.73333333333335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10.8</v>
      </c>
      <c r="N36" s="14">
        <f>IF('Données projet'!$A$36&gt;35,N35+M36-V35,IF(A36&lt;'Données projet'!$A$36,$K$205^A36,IF(A36='Données projet'!$A$36,'Données projet'!$B$36,N35+M36-V35)))</f>
        <v>153.40000000000006</v>
      </c>
      <c r="O36" s="14">
        <f>N36*VLOOKUP('Données projet'!$B$9,Paramètres!$A$1:$I$89,3,0)*VLOOKUP('Données projet'!$B$9,Paramètres!$A$1:$I$89,5,0)</f>
        <v>129.22416000000007</v>
      </c>
      <c r="P36" s="14">
        <f t="shared" si="33"/>
        <v>33.81702308029579</v>
      </c>
      <c r="Q36" s="22">
        <f t="shared" si="53"/>
        <v>283.96339386484857</v>
      </c>
      <c r="R36" s="62">
        <f t="shared" si="0"/>
        <v>536.64926207413578</v>
      </c>
      <c r="S36" s="62">
        <f ca="1">AVERAGE(OFFSET($R$3,0,0,'Données projet'!$E$9+1,1))-AVERAGE(OFFSET($H$3,0,0,'Données projet'!$E$9+1,1))</f>
        <v>508.93703669150443</v>
      </c>
      <c r="T36" s="62">
        <f t="shared" si="34"/>
        <v>277.04920840696707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8</v>
      </c>
      <c r="AI36" s="14">
        <f>IF('Données projet'!$A$62&gt;35,AI35+AH36-AQ35,IF(A36&lt;'Données projet'!$A$62,$AF$205^A36,IF(A36='Données projet'!$A$62,'Données projet'!$B$62,AI35+AH36-AQ35)))</f>
        <v>100</v>
      </c>
      <c r="AJ36" s="14">
        <f>AI36*VLOOKUP('Données projet'!$B$10,Paramètres!$A$1:$I$89,3,0)*VLOOKUP('Données projet'!$B$10,Paramètres!$A$1:$I$89,5,0)</f>
        <v>90.47999999999999</v>
      </c>
      <c r="AK36" s="14">
        <f t="shared" si="35"/>
        <v>24.680953573367994</v>
      </c>
      <c r="AL36" s="22">
        <f t="shared" si="4"/>
        <v>200.57199414028256</v>
      </c>
      <c r="AM36" s="62">
        <f t="shared" si="5"/>
        <v>453.25786234956973</v>
      </c>
      <c r="AN36" s="62">
        <f ca="1">AVERAGE(OFFSET($AM$3,0,0,'Données projet'!$E$10+1,1))-AVERAGE(OFFSET($H$3,0,0,'Données projet'!$E$10+1,1))</f>
        <v>461.10503306101145</v>
      </c>
      <c r="AO36" s="62">
        <f t="shared" si="36"/>
        <v>262.10652147273288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12.8</v>
      </c>
      <c r="BD36" s="13">
        <f>IF('Données projet'!$A$88&gt;35,BD35+BC36-BL35,IF(A36&lt;'Données projet'!$A$88,$BA$205^A36,IF(A36='Données projet'!$A$88,'Données projet'!$B$88,BD35+BC36-BL35)))</f>
        <v>180.39999999999998</v>
      </c>
      <c r="BE36" s="14">
        <f>BD36*VLOOKUP('Données projet'!$B$11,Paramètres!$A$1:$I$89,3,0)*VLOOKUP('Données projet'!$B$11,Paramètres!$A$1:$I$89,5,0)</f>
        <v>143.52624</v>
      </c>
      <c r="BF36" s="14">
        <f t="shared" si="37"/>
        <v>37.103644337236275</v>
      </c>
      <c r="BG36" s="22">
        <f t="shared" si="7"/>
        <v>314.59704855401981</v>
      </c>
      <c r="BH36" s="62">
        <f t="shared" si="8"/>
        <v>567.28291676330696</v>
      </c>
      <c r="BI36" s="62">
        <f ca="1">AVERAGE(OFFSET($BH$3,0,0,'Données projet'!$E$11+1,1))-AVERAGE(OFFSET($H$3,0,0,'Données projet'!$E$11+1,1))</f>
        <v>389.67854939311752</v>
      </c>
      <c r="BJ36" s="62">
        <f t="shared" si="38"/>
        <v>420.05189970516096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11.13142857142857</v>
      </c>
      <c r="BY36" s="13">
        <f>IF('Données projet'!$A$114&gt;35,BY35+BX36-CG35,IF(A36&lt;'Données projet'!$A$114,$BV$205^A36,IF(A36='Données projet'!$A$114,'Données projet'!$B$114,BY35+BX36-CG35)))</f>
        <v>161.72571428571425</v>
      </c>
      <c r="BZ36" s="14">
        <f>BY36*VLOOKUP('Données projet'!$B$12,Paramètres!$A$1:$I$89,3,0)*VLOOKUP('Données projet'!$B$12,Paramètres!$A$1:$I$89,5,0)</f>
        <v>92.50710857142856</v>
      </c>
      <c r="CA36" s="14">
        <f t="shared" si="39"/>
        <v>25.168908921476302</v>
      </c>
      <c r="CB36" s="22">
        <f t="shared" si="10"/>
        <v>204.95239713347596</v>
      </c>
      <c r="CC36" s="62">
        <f t="shared" si="11"/>
        <v>457.63826534276313</v>
      </c>
      <c r="CD36" s="62">
        <f ca="1">AVERAGE(OFFSET($CC$3,0,0,'Données projet'!$E$12+1,1))-AVERAGE(OFFSET($H$3,0,0,'Données projet'!$E$12+1,1))</f>
        <v>312.16891625633968</v>
      </c>
      <c r="CE36" s="62">
        <f t="shared" si="40"/>
        <v>215.34305815516177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11.053505547221846</v>
      </c>
      <c r="CM36" s="23">
        <f>EXP(-LN(2)/2)*CM35+(1-EXP(-LN(2)/2))/(LN(2)/2)*CG36*CJ36*VLOOKUP('Données projet'!$B$12,Paramètres!$A$1:$I$89,3,0)*0.475*44/12</f>
        <v>2.8806082628576402</v>
      </c>
      <c r="CN36" s="24">
        <f t="shared" si="12"/>
        <v>13.934113810079486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8.3333333333333375</v>
      </c>
      <c r="CT36" s="13">
        <f>IF('Données projet'!$A$140&gt;35,CT35+CS36-DB35,IF(A36&lt;'Données projet'!$A$140,$CQ$205^A36,IF(A36='Données projet'!$A$140,'Données projet'!$B$140,CT35+CS36-DB35)))</f>
        <v>176.92307692307693</v>
      </c>
      <c r="CU36" s="18">
        <f>CT36*VLOOKUP('Données projet'!$B$13,Paramètres!$A$1:$I$89,3,0)*VLOOKUP('Données projet'!$B$13,Paramètres!$A$1:$I$89,5,0)</f>
        <v>118.68</v>
      </c>
      <c r="CV36" s="14">
        <f t="shared" si="41"/>
        <v>31.366933062144053</v>
      </c>
      <c r="CW36" s="22">
        <f t="shared" si="13"/>
        <v>261.33174174990091</v>
      </c>
      <c r="CX36" s="62">
        <f t="shared" si="14"/>
        <v>514.01760995918812</v>
      </c>
      <c r="CY36" s="62">
        <f ca="1">AVERAGE(OFFSET($CX$3,0,0,'Données projet'!$E$13+1,1))-AVERAGE(OFFSET($H$3,0,0,'Données projet'!$E$13+1,1))</f>
        <v>369.04754428478793</v>
      </c>
      <c r="CZ36" s="62">
        <f t="shared" si="42"/>
        <v>277.00523259351712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11.5</v>
      </c>
      <c r="DO36" s="13">
        <f>IF('Données projet'!$A$166&gt;35,DO35+DN36-DW35,IF(A36&lt;'Données projet'!$A$166,$DL$205^A36,IF(A36='Données projet'!$A$166,'Données projet'!$B$166,DO35+DN36-DW35)))</f>
        <v>141.99999999999997</v>
      </c>
      <c r="DP36" s="18">
        <f>DO36*VLOOKUP('Données projet'!$B$14,Paramètres!$A$1:$I$89,3,0)*VLOOKUP('Données projet'!$B$14,Paramètres!$A$1:$I$89,5,0)</f>
        <v>110.75999999999998</v>
      </c>
      <c r="DQ36" s="14">
        <f t="shared" si="43"/>
        <v>29.509974682362923</v>
      </c>
      <c r="DR36" s="22">
        <f t="shared" si="16"/>
        <v>244.30353923844871</v>
      </c>
      <c r="DS36" s="62">
        <f t="shared" si="17"/>
        <v>496.98940744773586</v>
      </c>
      <c r="DT36" s="62">
        <f ca="1">AVERAGE(OFFSET($DS$3,0,0,'Données projet'!$E$14+1,1))-AVERAGE(OFFSET($H$3,0,0,'Données projet'!$E$14+1,1))</f>
        <v>308.39181291575227</v>
      </c>
      <c r="DU36" s="62">
        <f t="shared" si="44"/>
        <v>298.58225298824334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8</v>
      </c>
      <c r="EJ36" s="13">
        <f>IF('Données projet'!$A$192&gt;35,EJ35+EI36-ER35,IF(A36&lt;'Données projet'!$A$192,$EG$205^A36,IF(A36='Données projet'!$A$192,'Données projet'!$B$192,EJ35+EI36-ER35)))</f>
        <v>100</v>
      </c>
      <c r="EK36" s="18">
        <f>EJ36*VLOOKUP('Données projet'!$B$15,Paramètres!$A$1:$I$89,3,0)*VLOOKUP('Données projet'!$B$15,Paramètres!$A$1:$I$89,5,0)</f>
        <v>96.72</v>
      </c>
      <c r="EL36" s="14">
        <f t="shared" si="45"/>
        <v>26.179072558792139</v>
      </c>
      <c r="EM36" s="22">
        <f t="shared" si="19"/>
        <v>214.04921803989632</v>
      </c>
      <c r="EN36" s="62">
        <f t="shared" si="20"/>
        <v>466.7350862491835</v>
      </c>
      <c r="EO36" s="62">
        <f ca="1">AVERAGE(OFFSET($EN$3,0,0,'Données projet'!$E$15+1,1))-AVERAGE(OFFSET($H$3,0,0,'Données projet'!$E$15+1,1))</f>
        <v>487.76433095707876</v>
      </c>
      <c r="EP36" s="62">
        <f t="shared" si="46"/>
        <v>276.24209151398361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8</v>
      </c>
      <c r="FE36" s="13">
        <f>IF('Données projet'!$A$218&gt;35,FE35+FD36-FM35,IF(A36&lt;'Données projet'!$A$218,$FB$205^A36,IF(A36='Données projet'!$A$218,'Données projet'!$B$218,FE35+FD36-FM35)))</f>
        <v>100</v>
      </c>
      <c r="FF36" s="18">
        <f>FE36*VLOOKUP('Données projet'!$B$16,Paramètres!$A$1:$I$89,3,0)*VLOOKUP('Données projet'!$B$16,Paramètres!$A$1:$I$89,5,0)</f>
        <v>107.64</v>
      </c>
      <c r="FG36" s="14">
        <f t="shared" si="47"/>
        <v>28.774250263353583</v>
      </c>
      <c r="FH36" s="22">
        <f t="shared" si="22"/>
        <v>237.58815254200749</v>
      </c>
      <c r="FI36" s="62">
        <f t="shared" si="23"/>
        <v>490.27402075129464</v>
      </c>
      <c r="FJ36" s="62">
        <f ca="1">AVERAGE(OFFSET($FI$3,0,0,'Données projet'!$E$16+1,1))-AVERAGE(OFFSET($H$3,0,0,'Données projet'!$E$16+1,1))</f>
        <v>534.33392288300456</v>
      </c>
      <c r="FK36" s="62">
        <f t="shared" si="48"/>
        <v>300.93109615735477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7.1794871794871797</v>
      </c>
      <c r="FZ36" s="13">
        <f>IF('Données projet'!$A$244&gt;35,FZ35+FY36-GH35,IF(A36&lt;'Données projet'!$A$244,$FW$205^A36,IF(A36='Données projet'!$A$244,'Données projet'!$B$244,FZ35+FY36-GH35)))</f>
        <v>126.02564102564101</v>
      </c>
      <c r="GA36" s="18">
        <f>FZ36*VLOOKUP('Données projet'!$B$17,Paramètres!$A$1:$I$89,3,0)*VLOOKUP('Données projet'!$B$17,Paramètres!$A$1:$I$89,5,0)</f>
        <v>84.537999999999982</v>
      </c>
      <c r="GB36" s="14">
        <f t="shared" si="49"/>
        <v>23.243160693144805</v>
      </c>
      <c r="GC36" s="22">
        <f t="shared" si="25"/>
        <v>187.71885487389383</v>
      </c>
      <c r="GD36" s="62">
        <f t="shared" si="26"/>
        <v>440.40472308318101</v>
      </c>
      <c r="GE36" s="62">
        <f ca="1">AVERAGE(OFFSET($GD$3,0,0,'Données projet'!$E$17+1,1))-AVERAGE(OFFSET($H$3,0,0,'Données projet'!$E$17+1,1))</f>
        <v>316.17772895535211</v>
      </c>
      <c r="GF36" s="62">
        <f t="shared" si="50"/>
        <v>251.94445589652992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58.914327693441962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3.95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14.483333333333334</v>
      </c>
      <c r="H37" s="70">
        <f t="shared" si="1"/>
        <v>198.73333333333335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10.8</v>
      </c>
      <c r="N37" s="14">
        <f>IF('Données projet'!$A$36&gt;35,N36+M37-V36,IF(A37&lt;'Données projet'!$A$36,$K$205^A37,IF(A37='Données projet'!$A$36,'Données projet'!$B$36,N36+M37-V36)))</f>
        <v>164.20000000000007</v>
      </c>
      <c r="O37" s="14">
        <f>N37*VLOOKUP('Données projet'!$B$9,Paramètres!$A$1:$I$89,3,0)*VLOOKUP('Données projet'!$B$9,Paramètres!$A$1:$I$89,5,0)</f>
        <v>138.32208000000008</v>
      </c>
      <c r="P37" s="14">
        <f t="shared" si="33"/>
        <v>35.912348257500334</v>
      </c>
      <c r="Q37" s="22">
        <f t="shared" si="53"/>
        <v>303.45829588181323</v>
      </c>
      <c r="R37" s="62">
        <f t="shared" si="0"/>
        <v>556.8493067368845</v>
      </c>
      <c r="S37" s="62">
        <f ca="1">AVERAGE(OFFSET($R$3,0,0,'Données projet'!$E$9+1,1))-AVERAGE(OFFSET($H$3,0,0,'Données projet'!$E$9+1,1))</f>
        <v>508.93703669150443</v>
      </c>
      <c r="T37" s="62">
        <f t="shared" si="34"/>
        <v>277.04920840696707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8</v>
      </c>
      <c r="AI37" s="14">
        <f>IF('Données projet'!$A$62&gt;35,AI36+AH37-AQ36,IF(A37&lt;'Données projet'!$A$62,$AF$205^A37,IF(A37='Données projet'!$A$62,'Données projet'!$B$62,AI36+AH37-AQ36)))</f>
        <v>108</v>
      </c>
      <c r="AJ37" s="14">
        <f>AI37*VLOOKUP('Données projet'!$B$10,Paramètres!$A$1:$I$89,3,0)*VLOOKUP('Données projet'!$B$10,Paramètres!$A$1:$I$89,5,0)</f>
        <v>97.718399999999988</v>
      </c>
      <c r="AK37" s="14">
        <f t="shared" si="35"/>
        <v>26.417709819192194</v>
      </c>
      <c r="AL37" s="22">
        <f t="shared" si="4"/>
        <v>216.20372460175972</v>
      </c>
      <c r="AM37" s="62">
        <f t="shared" si="5"/>
        <v>469.59473545683102</v>
      </c>
      <c r="AN37" s="62">
        <f ca="1">AVERAGE(OFFSET($AM$3,0,0,'Données projet'!$E$10+1,1))-AVERAGE(OFFSET($H$3,0,0,'Données projet'!$E$10+1,1))</f>
        <v>461.10503306101145</v>
      </c>
      <c r="AO37" s="62">
        <f t="shared" si="36"/>
        <v>262.10652147273288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12.8</v>
      </c>
      <c r="BD37" s="13">
        <f>IF('Données projet'!$A$88&gt;35,BD36+BC37-BL36,IF(A37&lt;'Données projet'!$A$88,$BA$205^A37,IF(A37='Données projet'!$A$88,'Données projet'!$B$88,BD36+BC37-BL36)))</f>
        <v>193.2</v>
      </c>
      <c r="BE37" s="14">
        <f>BD37*VLOOKUP('Données projet'!$B$11,Paramètres!$A$1:$I$89,3,0)*VLOOKUP('Données projet'!$B$11,Paramètres!$A$1:$I$89,5,0)</f>
        <v>153.70992000000001</v>
      </c>
      <c r="BF37" s="14">
        <f t="shared" si="37"/>
        <v>39.420475690379831</v>
      </c>
      <c r="BG37" s="22">
        <f t="shared" si="7"/>
        <v>336.3687724940782</v>
      </c>
      <c r="BH37" s="62">
        <f t="shared" si="8"/>
        <v>589.75978334914953</v>
      </c>
      <c r="BI37" s="62">
        <f ca="1">AVERAGE(OFFSET($BH$3,0,0,'Données projet'!$E$11+1,1))-AVERAGE(OFFSET($H$3,0,0,'Données projet'!$E$11+1,1))</f>
        <v>389.67854939311752</v>
      </c>
      <c r="BJ37" s="62">
        <f t="shared" si="38"/>
        <v>420.05189970516096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11.13142857142857</v>
      </c>
      <c r="BY37" s="13">
        <f>IF('Données projet'!$A$114&gt;35,BY36+BX37-CG36,IF(A37&lt;'Données projet'!$A$114,$BV$205^A37,IF(A37='Données projet'!$A$114,'Données projet'!$B$114,BY36+BX37-CG36)))</f>
        <v>172.8571428571428</v>
      </c>
      <c r="BZ37" s="14">
        <f>BY37*VLOOKUP('Données projet'!$B$12,Paramètres!$A$1:$I$89,3,0)*VLOOKUP('Données projet'!$B$12,Paramètres!$A$1:$I$89,5,0)</f>
        <v>98.874285714285691</v>
      </c>
      <c r="CA37" s="14">
        <f t="shared" si="39"/>
        <v>26.693635196313497</v>
      </c>
      <c r="CB37" s="22">
        <f t="shared" si="10"/>
        <v>218.69746225262691</v>
      </c>
      <c r="CC37" s="62">
        <f t="shared" si="11"/>
        <v>472.08847310769818</v>
      </c>
      <c r="CD37" s="62">
        <f ca="1">AVERAGE(OFFSET($CC$3,0,0,'Données projet'!$E$12+1,1))-AVERAGE(OFFSET($H$3,0,0,'Données projet'!$E$12+1,1))</f>
        <v>312.16891625633968</v>
      </c>
      <c r="CE37" s="62">
        <f t="shared" si="40"/>
        <v>215.34305815516177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10.75124685675447</v>
      </c>
      <c r="CM37" s="23">
        <f>EXP(-LN(2)/2)*CM36+(1-EXP(-LN(2)/2))/(LN(2)/2)*CG37*CJ37*VLOOKUP('Données projet'!$B$12,Paramètres!$A$1:$I$89,3,0)*0.475*44/12</f>
        <v>2.0368976366086384</v>
      </c>
      <c r="CN37" s="24">
        <f t="shared" si="12"/>
        <v>12.788144493363109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8.3333333333333375</v>
      </c>
      <c r="CT37" s="13">
        <f>IF('Données projet'!$A$140&gt;35,CT36+CS37-DB36,IF(A37&lt;'Données projet'!$A$140,$CQ$205^A37,IF(A37='Données projet'!$A$140,'Données projet'!$B$140,CT36+CS37-DB36)))</f>
        <v>185.25641025641028</v>
      </c>
      <c r="CU37" s="18">
        <f>CT37*VLOOKUP('Données projet'!$B$13,Paramètres!$A$1:$I$89,3,0)*VLOOKUP('Données projet'!$B$13,Paramètres!$A$1:$I$89,5,0)</f>
        <v>124.27000000000002</v>
      </c>
      <c r="CV37" s="14">
        <f t="shared" si="41"/>
        <v>32.668871006084437</v>
      </c>
      <c r="CW37" s="22">
        <f t="shared" si="13"/>
        <v>273.33520033559711</v>
      </c>
      <c r="CX37" s="62">
        <f t="shared" si="14"/>
        <v>526.72621119066844</v>
      </c>
      <c r="CY37" s="62">
        <f ca="1">AVERAGE(OFFSET($CX$3,0,0,'Données projet'!$E$13+1,1))-AVERAGE(OFFSET($H$3,0,0,'Données projet'!$E$13+1,1))</f>
        <v>369.04754428478793</v>
      </c>
      <c r="CZ37" s="62">
        <f t="shared" si="42"/>
        <v>277.00523259351712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11.5</v>
      </c>
      <c r="DO37" s="13">
        <f>IF('Données projet'!$A$166&gt;35,DO36+DN37-DW36,IF(A37&lt;'Données projet'!$A$166,$DL$205^A37,IF(A37='Données projet'!$A$166,'Données projet'!$B$166,DO36+DN37-DW36)))</f>
        <v>153.49999999999997</v>
      </c>
      <c r="DP37" s="18">
        <f>DO37*VLOOKUP('Données projet'!$B$14,Paramètres!$A$1:$I$89,3,0)*VLOOKUP('Données projet'!$B$14,Paramètres!$A$1:$I$89,5,0)</f>
        <v>119.72999999999998</v>
      </c>
      <c r="DQ37" s="14">
        <f t="shared" si="43"/>
        <v>31.612017974790529</v>
      </c>
      <c r="DR37" s="22">
        <f t="shared" si="16"/>
        <v>263.58734797276014</v>
      </c>
      <c r="DS37" s="62">
        <f t="shared" si="17"/>
        <v>516.97835882783147</v>
      </c>
      <c r="DT37" s="62">
        <f ca="1">AVERAGE(OFFSET($DS$3,0,0,'Données projet'!$E$14+1,1))-AVERAGE(OFFSET($H$3,0,0,'Données projet'!$E$14+1,1))</f>
        <v>308.39181291575227</v>
      </c>
      <c r="DU37" s="62">
        <f t="shared" si="44"/>
        <v>298.58225298824334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8</v>
      </c>
      <c r="EJ37" s="13">
        <f>IF('Données projet'!$A$192&gt;35,EJ36+EI37-ER36,IF(A37&lt;'Données projet'!$A$192,$EG$205^A37,IF(A37='Données projet'!$A$192,'Données projet'!$B$192,EJ36+EI37-ER36)))</f>
        <v>108</v>
      </c>
      <c r="EK37" s="18">
        <f>EJ37*VLOOKUP('Données projet'!$B$15,Paramètres!$A$1:$I$89,3,0)*VLOOKUP('Données projet'!$B$15,Paramètres!$A$1:$I$89,5,0)</f>
        <v>104.4576</v>
      </c>
      <c r="EL37" s="14">
        <f t="shared" si="45"/>
        <v>28.021248860498272</v>
      </c>
      <c r="EM37" s="22">
        <f t="shared" si="19"/>
        <v>230.73399509870114</v>
      </c>
      <c r="EN37" s="62">
        <f t="shared" si="20"/>
        <v>484.12500595377242</v>
      </c>
      <c r="EO37" s="62">
        <f ca="1">AVERAGE(OFFSET($EN$3,0,0,'Données projet'!$E$15+1,1))-AVERAGE(OFFSET($H$3,0,0,'Données projet'!$E$15+1,1))</f>
        <v>487.76433095707876</v>
      </c>
      <c r="EP37" s="62">
        <f t="shared" si="46"/>
        <v>276.24209151398361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8</v>
      </c>
      <c r="FE37" s="13">
        <f>IF('Données projet'!$A$218&gt;35,FE36+FD37-FM36,IF(A37&lt;'Données projet'!$A$218,$FB$205^A37,IF(A37='Données projet'!$A$218,'Données projet'!$B$218,FE36+FD37-FM36)))</f>
        <v>108</v>
      </c>
      <c r="FF37" s="18">
        <f>FE37*VLOOKUP('Données projet'!$B$16,Paramètres!$A$1:$I$89,3,0)*VLOOKUP('Données projet'!$B$16,Paramètres!$A$1:$I$89,5,0)</f>
        <v>116.2512</v>
      </c>
      <c r="FG37" s="14">
        <f t="shared" si="47"/>
        <v>30.799044755804328</v>
      </c>
      <c r="FH37" s="22">
        <f t="shared" si="22"/>
        <v>256.1125096163592</v>
      </c>
      <c r="FI37" s="62">
        <f t="shared" si="23"/>
        <v>509.50352047143053</v>
      </c>
      <c r="FJ37" s="62">
        <f ca="1">AVERAGE(OFFSET($FI$3,0,0,'Données projet'!$E$16+1,1))-AVERAGE(OFFSET($H$3,0,0,'Données projet'!$E$16+1,1))</f>
        <v>534.33392288300456</v>
      </c>
      <c r="FK37" s="62">
        <f t="shared" si="48"/>
        <v>300.93109615735477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7.1794871794871797</v>
      </c>
      <c r="FZ37" s="13">
        <f>IF('Données projet'!$A$244&gt;35,FZ36+FY37-GH36,IF(A37&lt;'Données projet'!$A$244,$FW$205^A37,IF(A37='Données projet'!$A$244,'Données projet'!$B$244,FZ36+FY37-GH36)))</f>
        <v>133.20512820512818</v>
      </c>
      <c r="GA37" s="18">
        <f>FZ37*VLOOKUP('Données projet'!$B$17,Paramètres!$A$1:$I$89,3,0)*VLOOKUP('Données projet'!$B$17,Paramètres!$A$1:$I$89,5,0)</f>
        <v>89.353999999999985</v>
      </c>
      <c r="GB37" s="14">
        <f t="shared" si="49"/>
        <v>24.40936009026365</v>
      </c>
      <c r="GC37" s="22">
        <f t="shared" si="25"/>
        <v>198.13785215720915</v>
      </c>
      <c r="GD37" s="62">
        <f t="shared" si="26"/>
        <v>451.52886301228045</v>
      </c>
      <c r="GE37" s="62">
        <f ca="1">AVERAGE(OFFSET($GD$3,0,0,'Données projet'!$E$17+1,1))-AVERAGE(OFFSET($H$3,0,0,'Données projet'!$E$17+1,1))</f>
        <v>316.17772895535211</v>
      </c>
      <c r="GF37" s="62">
        <f t="shared" si="50"/>
        <v>251.94445589652992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59.106639324110361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3.95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14.483333333333334</v>
      </c>
      <c r="H38" s="70">
        <f t="shared" si="1"/>
        <v>198.73333333333335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175</v>
      </c>
      <c r="L38" s="13">
        <f>VLOOKUP(A38,'Données projet'!$A$35:$I$55,9,0)</f>
        <v>10.8</v>
      </c>
      <c r="M38" s="13">
        <f t="array" ref="M38">INDEX(L:L,MIN(IF(ISNUMBER(L38:L234),ROW(L38:L234),"")))</f>
        <v>10.8</v>
      </c>
      <c r="N38" s="14">
        <f>IF('Données projet'!$A$36&gt;35,N37+M38-V37,IF(A38&lt;'Données projet'!$A$36,$K$205^A38,IF(A38='Données projet'!$A$36,'Données projet'!$B$36,N37+M38-V37)))</f>
        <v>175.00000000000009</v>
      </c>
      <c r="O38" s="14">
        <f>N38*VLOOKUP('Données projet'!$B$9,Paramètres!$A$1:$I$89,3,0)*VLOOKUP('Données projet'!$B$9,Paramètres!$A$1:$I$89,5,0)</f>
        <v>147.4200000000001</v>
      </c>
      <c r="P38" s="14">
        <f t="shared" si="33"/>
        <v>37.991680647570327</v>
      </c>
      <c r="Q38" s="22">
        <f t="shared" si="53"/>
        <v>322.92534379451848</v>
      </c>
      <c r="R38" s="62">
        <f t="shared" si="0"/>
        <v>577.00926464693237</v>
      </c>
      <c r="S38" s="62">
        <f ca="1">AVERAGE(OFFSET($R$3,0,0,'Données projet'!$E$9+1,1))-AVERAGE(OFFSET($H$3,0,0,'Données projet'!$E$9+1,1))</f>
        <v>508.93703669150443</v>
      </c>
      <c r="T38" s="62">
        <f t="shared" si="34"/>
        <v>277.04920840696707</v>
      </c>
      <c r="U38" s="16">
        <f>IF(ISNA(VLOOKUP(A38,'Données projet'!$A$35:$I$55,3,0)),0,VLOOKUP(A38,'Données projet'!$A$35:$I$55,3,0))</f>
        <v>2</v>
      </c>
      <c r="V38" s="16">
        <f>IF(ISNA(VLOOKUP(A38,'Données projet'!$A$35:$I$55,4,0)),0,VLOOKUP(A38,'Données projet'!$A$35:$I$55,4,0))</f>
        <v>56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116</v>
      </c>
      <c r="AG38" s="13">
        <f>VLOOKUP(A38,'Données projet'!$A$61:$I$81,9,0)</f>
        <v>8</v>
      </c>
      <c r="AH38" s="13">
        <f t="array" ref="AH38">INDEX(AG:AG,MIN(IF(ISNUMBER(AG38:AG234),ROW(AG38:AG234),"")))</f>
        <v>8</v>
      </c>
      <c r="AI38" s="14">
        <f>IF('Données projet'!$A$62&gt;35,AI37+AH38-AQ37,IF(A38&lt;'Données projet'!$A$62,$AF$205^A38,IF(A38='Données projet'!$A$62,'Données projet'!$B$62,AI37+AH38-AQ37)))</f>
        <v>116</v>
      </c>
      <c r="AJ38" s="14">
        <f>AI38*VLOOKUP('Données projet'!$B$10,Paramètres!$A$1:$I$89,3,0)*VLOOKUP('Données projet'!$B$10,Paramètres!$A$1:$I$89,5,0)</f>
        <v>104.9568</v>
      </c>
      <c r="AK38" s="14">
        <f t="shared" si="35"/>
        <v>28.139541339232373</v>
      </c>
      <c r="AL38" s="22">
        <f t="shared" si="4"/>
        <v>231.8094611658297</v>
      </c>
      <c r="AM38" s="62">
        <f t="shared" si="5"/>
        <v>485.89338201824353</v>
      </c>
      <c r="AN38" s="62">
        <f ca="1">AVERAGE(OFFSET($AM$3,0,0,'Données projet'!$E$10+1,1))-AVERAGE(OFFSET($H$3,0,0,'Données projet'!$E$10+1,1))</f>
        <v>461.10503306101145</v>
      </c>
      <c r="AO38" s="62">
        <f t="shared" si="36"/>
        <v>262.10652147273288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206</v>
      </c>
      <c r="BB38" s="13">
        <f>VLOOKUP(A38,'Données projet'!$A$87:$I$107,9,0)</f>
        <v>12.8</v>
      </c>
      <c r="BC38" s="13">
        <f t="array" ref="BC38">INDEX(BB:BB,MIN(IF(ISNUMBER(BB38:BB234),ROW(BB38:BB234),"")))</f>
        <v>12.8</v>
      </c>
      <c r="BD38" s="13">
        <f>IF('Données projet'!$A$88&gt;35,BD37+BC38-BL37,IF(A38&lt;'Données projet'!$A$88,$BA$205^A38,IF(A38='Données projet'!$A$88,'Données projet'!$B$88,BD37+BC38-BL37)))</f>
        <v>206</v>
      </c>
      <c r="BE38" s="14">
        <f>BD38*VLOOKUP('Données projet'!$B$11,Paramètres!$A$1:$I$89,3,0)*VLOOKUP('Données projet'!$B$11,Paramètres!$A$1:$I$89,5,0)</f>
        <v>163.89360000000002</v>
      </c>
      <c r="BF38" s="14">
        <f t="shared" si="37"/>
        <v>41.71949506642347</v>
      </c>
      <c r="BG38" s="22">
        <f t="shared" si="7"/>
        <v>358.10947390735419</v>
      </c>
      <c r="BH38" s="62">
        <f t="shared" si="8"/>
        <v>612.19339475976801</v>
      </c>
      <c r="BI38" s="62">
        <f ca="1">AVERAGE(OFFSET($BH$3,0,0,'Données projet'!$E$11+1,1))-AVERAGE(OFFSET($H$3,0,0,'Données projet'!$E$11+1,1))</f>
        <v>389.67854939311752</v>
      </c>
      <c r="BJ38" s="62">
        <f t="shared" si="38"/>
        <v>420.05189970516096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11.13142857142857</v>
      </c>
      <c r="BY38" s="13">
        <f>IF('Données projet'!$A$114&gt;35,BY37+BX38-CG37,IF(A38&lt;'Données projet'!$A$114,$BV$205^A38,IF(A38='Données projet'!$A$114,'Données projet'!$B$114,BY37+BX38-CG37)))</f>
        <v>183.98857142857136</v>
      </c>
      <c r="BZ38" s="14">
        <f>BY38*VLOOKUP('Données projet'!$B$12,Paramètres!$A$1:$I$89,3,0)*VLOOKUP('Données projet'!$B$12,Paramètres!$A$1:$I$89,5,0)</f>
        <v>105.24146285714282</v>
      </c>
      <c r="CA38" s="14">
        <f t="shared" si="39"/>
        <v>28.206966882592692</v>
      </c>
      <c r="CB38" s="22">
        <f t="shared" si="10"/>
        <v>232.422681796706</v>
      </c>
      <c r="CC38" s="62">
        <f t="shared" si="11"/>
        <v>486.50660264911983</v>
      </c>
      <c r="CD38" s="62">
        <f ca="1">AVERAGE(OFFSET($CC$3,0,0,'Données projet'!$E$12+1,1))-AVERAGE(OFFSET($H$3,0,0,'Données projet'!$E$12+1,1))</f>
        <v>312.16891625633968</v>
      </c>
      <c r="CE38" s="62">
        <f t="shared" si="40"/>
        <v>215.34305815516177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10.45725344607302</v>
      </c>
      <c r="CM38" s="23">
        <f>EXP(-LN(2)/2)*CM37+(1-EXP(-LN(2)/2))/(LN(2)/2)*CG38*CJ38*VLOOKUP('Données projet'!$B$12,Paramètres!$A$1:$I$89,3,0)*0.475*44/12</f>
        <v>1.4403041314288203</v>
      </c>
      <c r="CN38" s="24">
        <f t="shared" si="12"/>
        <v>11.897557577501841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193.58974358974359</v>
      </c>
      <c r="CR38" s="13">
        <f>VLOOKUP(A38,'Données projet'!$A$139:$I$159,9,0)</f>
        <v>8.3333333333333375</v>
      </c>
      <c r="CS38" s="13">
        <f t="array" ref="CS38">INDEX(CR:CR,MIN(IF(ISNUMBER(CR38:CR234),ROW(CR38:CR234),"")))</f>
        <v>8.3333333333333375</v>
      </c>
      <c r="CT38" s="13">
        <f>IF('Données projet'!$A$140&gt;35,CT37+CS38-DB37,IF(A38&lt;'Données projet'!$A$140,$CQ$205^A38,IF(A38='Données projet'!$A$140,'Données projet'!$B$140,CT37+CS38-DB37)))</f>
        <v>193.58974358974362</v>
      </c>
      <c r="CU38" s="18">
        <f>CT38*VLOOKUP('Données projet'!$B$13,Paramètres!$A$1:$I$89,3,0)*VLOOKUP('Données projet'!$B$13,Paramètres!$A$1:$I$89,5,0)</f>
        <v>129.86000000000001</v>
      </c>
      <c r="CV38" s="14">
        <f t="shared" si="41"/>
        <v>33.964007414446357</v>
      </c>
      <c r="CW38" s="22">
        <f t="shared" si="13"/>
        <v>285.32681291349411</v>
      </c>
      <c r="CX38" s="62">
        <f t="shared" si="14"/>
        <v>539.41073376590793</v>
      </c>
      <c r="CY38" s="62">
        <f ca="1">AVERAGE(OFFSET($CX$3,0,0,'Données projet'!$E$13+1,1))-AVERAGE(OFFSET($H$3,0,0,'Données projet'!$E$13+1,1))</f>
        <v>369.04754428478793</v>
      </c>
      <c r="CZ38" s="62">
        <f t="shared" si="42"/>
        <v>277.00523259351712</v>
      </c>
      <c r="DA38" s="16">
        <f>IF(ISNA(VLOOKUP(A38,'Données projet'!$A$139:$I$159,3,0)),0,VLOOKUP(A38,'Données projet'!$A$139:$I$159,3,0))</f>
        <v>3</v>
      </c>
      <c r="DB38" s="16">
        <f>IF(ISNA(VLOOKUP(A38,'Données projet'!$A$139:$I$159,4,0)),0,VLOOKUP(A38,'Données projet'!$A$139:$I$159,4,0))</f>
        <v>37.179487179487175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11.5</v>
      </c>
      <c r="DO38" s="13">
        <f>IF('Données projet'!$A$166&gt;35,DO37+DN38-DW37,IF(A38&lt;'Données projet'!$A$166,$DL$205^A38,IF(A38='Données projet'!$A$166,'Données projet'!$B$166,DO37+DN38-DW37)))</f>
        <v>164.99999999999997</v>
      </c>
      <c r="DP38" s="18">
        <f>DO38*VLOOKUP('Données projet'!$B$14,Paramètres!$A$1:$I$89,3,0)*VLOOKUP('Données projet'!$B$14,Paramètres!$A$1:$I$89,5,0)</f>
        <v>128.69999999999999</v>
      </c>
      <c r="DQ38" s="14">
        <f t="shared" si="43"/>
        <v>33.695792019186115</v>
      </c>
      <c r="DR38" s="22">
        <f t="shared" si="16"/>
        <v>282.83933776674911</v>
      </c>
      <c r="DS38" s="62">
        <f t="shared" si="17"/>
        <v>536.92325861916299</v>
      </c>
      <c r="DT38" s="62">
        <f ca="1">AVERAGE(OFFSET($DS$3,0,0,'Données projet'!$E$14+1,1))-AVERAGE(OFFSET($H$3,0,0,'Données projet'!$E$14+1,1))</f>
        <v>308.39181291575227</v>
      </c>
      <c r="DU38" s="62">
        <f t="shared" si="44"/>
        <v>298.58225298824334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116</v>
      </c>
      <c r="EH38" s="13">
        <f>VLOOKUP(A38,'Données projet'!$A$191:$I$211,9,0)</f>
        <v>8</v>
      </c>
      <c r="EI38" s="13">
        <f t="array" ref="EI38">INDEX(EH:EH,MIN(IF(ISNUMBER(EH38:EH234),ROW(EH38:EH234),"")))</f>
        <v>8</v>
      </c>
      <c r="EJ38" s="13">
        <f>IF('Données projet'!$A$192&gt;35,EJ37+EI38-ER37,IF(A38&lt;'Données projet'!$A$192,$EG$205^A38,IF(A38='Données projet'!$A$192,'Données projet'!$B$192,EJ37+EI38-ER37)))</f>
        <v>116</v>
      </c>
      <c r="EK38" s="18">
        <f>EJ38*VLOOKUP('Données projet'!$B$15,Paramètres!$A$1:$I$89,3,0)*VLOOKUP('Données projet'!$B$15,Paramètres!$A$1:$I$89,5,0)</f>
        <v>112.1952</v>
      </c>
      <c r="EL38" s="14">
        <f t="shared" si="45"/>
        <v>29.847594514573263</v>
      </c>
      <c r="EM38" s="22">
        <f t="shared" si="19"/>
        <v>247.39120044621509</v>
      </c>
      <c r="EN38" s="62">
        <f t="shared" si="20"/>
        <v>501.47512129862895</v>
      </c>
      <c r="EO38" s="62">
        <f ca="1">AVERAGE(OFFSET($EN$3,0,0,'Données projet'!$E$15+1,1))-AVERAGE(OFFSET($H$3,0,0,'Données projet'!$E$15+1,1))</f>
        <v>487.76433095707876</v>
      </c>
      <c r="EP38" s="62">
        <f t="shared" si="46"/>
        <v>276.24209151398361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116</v>
      </c>
      <c r="FC38" s="13">
        <f>VLOOKUP(A38,'Données projet'!$A$217:$I$237,9,0)</f>
        <v>8</v>
      </c>
      <c r="FD38" s="13">
        <f t="array" ref="FD38">INDEX(FC:FC,MIN(IF(ISNUMBER(FC38:FC234),ROW(FC38:FC234),"")))</f>
        <v>8</v>
      </c>
      <c r="FE38" s="13">
        <f>IF('Données projet'!$A$218&gt;35,FE37+FD38-FM37,IF(A38&lt;'Données projet'!$A$218,$FB$205^A38,IF(A38='Données projet'!$A$218,'Données projet'!$B$218,FE37+FD38-FM37)))</f>
        <v>116</v>
      </c>
      <c r="FF38" s="18">
        <f>FE38*VLOOKUP('Données projet'!$B$16,Paramètres!$A$1:$I$89,3,0)*VLOOKUP('Données projet'!$B$16,Paramètres!$A$1:$I$89,5,0)</f>
        <v>124.86239999999999</v>
      </c>
      <c r="FG38" s="14">
        <f t="shared" si="47"/>
        <v>32.806439280561598</v>
      </c>
      <c r="FH38" s="22">
        <f t="shared" si="22"/>
        <v>274.60656174697812</v>
      </c>
      <c r="FI38" s="62">
        <f t="shared" si="23"/>
        <v>528.690482599392</v>
      </c>
      <c r="FJ38" s="62">
        <f ca="1">AVERAGE(OFFSET($FI$3,0,0,'Données projet'!$E$16+1,1))-AVERAGE(OFFSET($H$3,0,0,'Données projet'!$E$16+1,1))</f>
        <v>534.33392288300456</v>
      </c>
      <c r="FK38" s="62">
        <f t="shared" si="48"/>
        <v>300.93109615735477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140.38461538461539</v>
      </c>
      <c r="FX38" s="13">
        <f>VLOOKUP(A38,'Données projet'!$A$243:$I$263,9,0)</f>
        <v>7.1794871794871797</v>
      </c>
      <c r="FY38" s="13">
        <f t="array" ref="FY38">INDEX(FX:FX,MIN(IF(ISNUMBER(FX38:FX234),ROW(FX38:FX234),"")))</f>
        <v>7.1794871794871797</v>
      </c>
      <c r="FZ38" s="13">
        <f>IF('Données projet'!$A$244&gt;35,FZ37+FY38-GH37,IF(A38&lt;'Données projet'!$A$244,$FW$205^A38,IF(A38='Données projet'!$A$244,'Données projet'!$B$244,FZ37+FY38-GH37)))</f>
        <v>140.38461538461536</v>
      </c>
      <c r="GA38" s="18">
        <f>FZ38*VLOOKUP('Données projet'!$B$17,Paramètres!$A$1:$I$89,3,0)*VLOOKUP('Données projet'!$B$17,Paramètres!$A$1:$I$89,5,0)</f>
        <v>94.169999999999987</v>
      </c>
      <c r="GB38" s="14">
        <f t="shared" si="49"/>
        <v>25.568262246433882</v>
      </c>
      <c r="GC38" s="22">
        <f t="shared" si="25"/>
        <v>208.54414007920562</v>
      </c>
      <c r="GD38" s="62">
        <f t="shared" si="26"/>
        <v>462.62806093161947</v>
      </c>
      <c r="GE38" s="62">
        <f ca="1">AVERAGE(OFFSET($GD$3,0,0,'Données projet'!$E$17+1,1))-AVERAGE(OFFSET($H$3,0,0,'Données projet'!$E$17+1,1))</f>
        <v>316.17772895535211</v>
      </c>
      <c r="GF38" s="62">
        <f t="shared" si="50"/>
        <v>251.94445589652992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59.29561477793105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3.95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14.483333333333334</v>
      </c>
      <c r="H39" s="70">
        <f t="shared" si="1"/>
        <v>198.73333333333335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11.2</v>
      </c>
      <c r="N39" s="14">
        <f>IF('Données projet'!$A$36&gt;35,N38+M39-V38,IF(A39&lt;'Données projet'!$A$36,$K$205^A39,IF(A39='Données projet'!$A$36,'Données projet'!$B$36,N38+M39-V38)))</f>
        <v>130.20000000000007</v>
      </c>
      <c r="O39" s="14">
        <f>N39*VLOOKUP('Données projet'!$B$9,Paramètres!$A$1:$I$89,3,0)*VLOOKUP('Données projet'!$B$9,Paramètres!$A$1:$I$89,5,0)</f>
        <v>109.68048000000009</v>
      </c>
      <c r="P39" s="14">
        <f t="shared" si="33"/>
        <v>29.255690427909659</v>
      </c>
      <c r="Q39" s="22">
        <f t="shared" si="53"/>
        <v>241.98049682860949</v>
      </c>
      <c r="R39" s="62">
        <f t="shared" si="0"/>
        <v>496.74530723902672</v>
      </c>
      <c r="S39" s="62">
        <f ca="1">AVERAGE(OFFSET($R$3,0,0,'Données projet'!$E$9+1,1))-AVERAGE(OFFSET($H$3,0,0,'Données projet'!$E$9+1,1))</f>
        <v>508.93703669150443</v>
      </c>
      <c r="T39" s="62">
        <f t="shared" si="34"/>
        <v>277.04920840696707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8.4</v>
      </c>
      <c r="AI39" s="14">
        <f>IF('Données projet'!$A$62&gt;35,AI38+AH39-AQ38,IF(A39&lt;'Données projet'!$A$62,$AF$205^A39,IF(A39='Données projet'!$A$62,'Données projet'!$B$62,AI38+AH39-AQ38)))</f>
        <v>124.4</v>
      </c>
      <c r="AJ39" s="14">
        <f>AI39*VLOOKUP('Données projet'!$B$10,Paramètres!$A$1:$I$89,3,0)*VLOOKUP('Données projet'!$B$10,Paramètres!$A$1:$I$89,5,0)</f>
        <v>112.55712000000001</v>
      </c>
      <c r="AK39" s="14">
        <f t="shared" si="35"/>
        <v>29.932653834140599</v>
      </c>
      <c r="AL39" s="22">
        <f t="shared" si="4"/>
        <v>248.16968942779488</v>
      </c>
      <c r="AM39" s="62">
        <f t="shared" si="5"/>
        <v>502.9344998382121</v>
      </c>
      <c r="AN39" s="62">
        <f ca="1">AVERAGE(OFFSET($AM$3,0,0,'Données projet'!$E$10+1,1))-AVERAGE(OFFSET($H$3,0,0,'Données projet'!$E$10+1,1))</f>
        <v>461.10503306101145</v>
      </c>
      <c r="AO39" s="62">
        <f t="shared" si="36"/>
        <v>262.10652147273288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11.4</v>
      </c>
      <c r="BD39" s="13">
        <f>IF('Données projet'!$A$88&gt;35,BD38+BC39-BL38,IF(A39&lt;'Données projet'!$A$88,$BA$205^A39,IF(A39='Données projet'!$A$88,'Données projet'!$B$88,BD38+BC39-BL38)))</f>
        <v>217.4</v>
      </c>
      <c r="BE39" s="14">
        <f>BD39*VLOOKUP('Données projet'!$B$11,Paramètres!$A$1:$I$89,3,0)*VLOOKUP('Données projet'!$B$11,Paramètres!$A$1:$I$89,5,0)</f>
        <v>172.96344000000002</v>
      </c>
      <c r="BF39" s="14">
        <f t="shared" si="37"/>
        <v>43.753066528893434</v>
      </c>
      <c r="BG39" s="22">
        <f t="shared" si="7"/>
        <v>377.44791553782278</v>
      </c>
      <c r="BH39" s="62">
        <f t="shared" si="8"/>
        <v>632.21272594823995</v>
      </c>
      <c r="BI39" s="62">
        <f ca="1">AVERAGE(OFFSET($BH$3,0,0,'Données projet'!$E$11+1,1))-AVERAGE(OFFSET($H$3,0,0,'Données projet'!$E$11+1,1))</f>
        <v>389.67854939311752</v>
      </c>
      <c r="BJ39" s="62">
        <f t="shared" si="38"/>
        <v>420.05189970516096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>
        <f>VLOOKUP(A39,'Données projet'!$A$113:$I$133,2,0)</f>
        <v>195.12</v>
      </c>
      <c r="BW39" s="13">
        <f>VLOOKUP(A39,'Données projet'!$A$113:$I$133,9,0)</f>
        <v>11.13142857142857</v>
      </c>
      <c r="BX39" s="13">
        <f t="array" ref="BX39">INDEX(BW:BW,MIN(IF(ISNUMBER(BW39:BW235),ROW(BW39:BW235),"")))</f>
        <v>11.13142857142857</v>
      </c>
      <c r="BY39" s="13">
        <f>IF('Données projet'!$A$114&gt;35,BY38+BX39-CG38,IF(A39&lt;'Données projet'!$A$114,$BV$205^A39,IF(A39='Données projet'!$A$114,'Données projet'!$B$114,BY38+BX39-CG38)))</f>
        <v>195.11999999999992</v>
      </c>
      <c r="BZ39" s="14">
        <f>BY39*VLOOKUP('Données projet'!$B$12,Paramètres!$A$1:$I$89,3,0)*VLOOKUP('Données projet'!$B$12,Paramètres!$A$1:$I$89,5,0)</f>
        <v>111.60863999999995</v>
      </c>
      <c r="CA39" s="14">
        <f t="shared" si="39"/>
        <v>29.709671865345815</v>
      </c>
      <c r="CB39" s="22">
        <f t="shared" si="10"/>
        <v>246.12939316547718</v>
      </c>
      <c r="CC39" s="62">
        <f t="shared" si="11"/>
        <v>500.89420357589438</v>
      </c>
      <c r="CD39" s="62">
        <f ca="1">AVERAGE(OFFSET($CC$3,0,0,'Données projet'!$E$12+1,1))-AVERAGE(OFFSET($H$3,0,0,'Données projet'!$E$12+1,1))</f>
        <v>312.16891625633968</v>
      </c>
      <c r="CE39" s="62">
        <f t="shared" si="40"/>
        <v>215.34305815516177</v>
      </c>
      <c r="CF39" s="16">
        <f>IF(ISNA(VLOOKUP(A39,'Données projet'!$A$113:$I$133,3,0)),0,VLOOKUP(A39,'Données projet'!$A$113:$I$133,3,0))</f>
        <v>3</v>
      </c>
      <c r="CG39" s="16">
        <f>IF(ISNA(VLOOKUP(A39,'Données projet'!$A$113:$I$133,4,0)),0,VLOOKUP(A39,'Données projet'!$A$113:$I$133,4,0))</f>
        <v>41.46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10.171299300667094</v>
      </c>
      <c r="CM39" s="23">
        <f>EXP(-LN(2)/2)*CM38+(1-EXP(-LN(2)/2))/(LN(2)/2)*CG39*CJ39*VLOOKUP('Données projet'!$B$12,Paramètres!$A$1:$I$89,3,0)*0.475*44/12</f>
        <v>1.0184488183043192</v>
      </c>
      <c r="CN39" s="24">
        <f t="shared" si="12"/>
        <v>11.189748118971414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7.5641025641025639</v>
      </c>
      <c r="CT39" s="13">
        <f>IF('Données projet'!$A$140&gt;35,CT38+CS39-DB38,IF(A39&lt;'Données projet'!$A$140,$CQ$205^A39,IF(A39='Données projet'!$A$140,'Données projet'!$B$140,CT38+CS39-DB38)))</f>
        <v>163.97435897435901</v>
      </c>
      <c r="CU39" s="18">
        <f>CT39*VLOOKUP('Données projet'!$B$13,Paramètres!$A$1:$I$89,3,0)*VLOOKUP('Données projet'!$B$13,Paramètres!$A$1:$I$89,5,0)</f>
        <v>109.99400000000003</v>
      </c>
      <c r="CV39" s="14">
        <f t="shared" si="41"/>
        <v>29.329570921273</v>
      </c>
      <c r="CW39" s="22">
        <f t="shared" si="13"/>
        <v>242.6552193545505</v>
      </c>
      <c r="CX39" s="62">
        <f t="shared" si="14"/>
        <v>497.42002976496769</v>
      </c>
      <c r="CY39" s="62">
        <f ca="1">AVERAGE(OFFSET($CX$3,0,0,'Données projet'!$E$13+1,1))-AVERAGE(OFFSET($H$3,0,0,'Données projet'!$E$13+1,1))</f>
        <v>369.04754428478793</v>
      </c>
      <c r="CZ39" s="62">
        <f t="shared" si="42"/>
        <v>277.00523259351712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11.5</v>
      </c>
      <c r="DO39" s="13">
        <f>IF('Données projet'!$A$166&gt;35,DO38+DN39-DW38,IF(A39&lt;'Données projet'!$A$166,$DL$205^A39,IF(A39='Données projet'!$A$166,'Données projet'!$B$166,DO38+DN39-DW38)))</f>
        <v>176.49999999999997</v>
      </c>
      <c r="DP39" s="18">
        <f>DO39*VLOOKUP('Données projet'!$B$14,Paramètres!$A$1:$I$89,3,0)*VLOOKUP('Données projet'!$B$14,Paramètres!$A$1:$I$89,5,0)</f>
        <v>137.66999999999999</v>
      </c>
      <c r="DQ39" s="14">
        <f t="shared" si="43"/>
        <v>35.762714965854656</v>
      </c>
      <c r="DR39" s="22">
        <f t="shared" si="16"/>
        <v>302.06197856553018</v>
      </c>
      <c r="DS39" s="62">
        <f t="shared" si="17"/>
        <v>556.82678897594735</v>
      </c>
      <c r="DT39" s="62">
        <f ca="1">AVERAGE(OFFSET($DS$3,0,0,'Données projet'!$E$14+1,1))-AVERAGE(OFFSET($H$3,0,0,'Données projet'!$E$14+1,1))</f>
        <v>308.39181291575227</v>
      </c>
      <c r="DU39" s="62">
        <f t="shared" si="44"/>
        <v>298.58225298824334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8.4</v>
      </c>
      <c r="EJ39" s="13">
        <f>IF('Données projet'!$A$192&gt;35,EJ38+EI39-ER38,IF(A39&lt;'Données projet'!$A$192,$EG$205^A39,IF(A39='Données projet'!$A$192,'Données projet'!$B$192,EJ38+EI39-ER38)))</f>
        <v>124.4</v>
      </c>
      <c r="EK39" s="18">
        <f>EJ39*VLOOKUP('Données projet'!$B$15,Paramètres!$A$1:$I$89,3,0)*VLOOKUP('Données projet'!$B$15,Paramètres!$A$1:$I$89,5,0)</f>
        <v>120.31968000000001</v>
      </c>
      <c r="EL39" s="14">
        <f t="shared" si="45"/>
        <v>31.74954785566829</v>
      </c>
      <c r="EM39" s="22">
        <f t="shared" si="19"/>
        <v>264.85390518195555</v>
      </c>
      <c r="EN39" s="62">
        <f t="shared" si="20"/>
        <v>519.61871559237272</v>
      </c>
      <c r="EO39" s="62">
        <f ca="1">AVERAGE(OFFSET($EN$3,0,0,'Données projet'!$E$15+1,1))-AVERAGE(OFFSET($H$3,0,0,'Données projet'!$E$15+1,1))</f>
        <v>487.76433095707876</v>
      </c>
      <c r="EP39" s="62">
        <f t="shared" si="46"/>
        <v>276.24209151398361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8.4</v>
      </c>
      <c r="FE39" s="13">
        <f>IF('Données projet'!$A$218&gt;35,FE38+FD39-FM38,IF(A39&lt;'Données projet'!$A$218,$FB$205^A39,IF(A39='Données projet'!$A$218,'Données projet'!$B$218,FE38+FD39-FM38)))</f>
        <v>124.4</v>
      </c>
      <c r="FF39" s="18">
        <f>FE39*VLOOKUP('Données projet'!$B$16,Paramètres!$A$1:$I$89,3,0)*VLOOKUP('Données projet'!$B$16,Paramètres!$A$1:$I$89,5,0)</f>
        <v>133.90415999999999</v>
      </c>
      <c r="FG39" s="14">
        <f t="shared" si="47"/>
        <v>34.896936615903982</v>
      </c>
      <c r="FH39" s="22">
        <f t="shared" si="22"/>
        <v>293.99524327269938</v>
      </c>
      <c r="FI39" s="62">
        <f t="shared" si="23"/>
        <v>548.76005368311655</v>
      </c>
      <c r="FJ39" s="62">
        <f ca="1">AVERAGE(OFFSET($FI$3,0,0,'Données projet'!$E$16+1,1))-AVERAGE(OFFSET($H$3,0,0,'Données projet'!$E$16+1,1))</f>
        <v>534.33392288300456</v>
      </c>
      <c r="FK39" s="62">
        <f t="shared" si="48"/>
        <v>300.93109615735477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6.9230769230769225</v>
      </c>
      <c r="FZ39" s="13">
        <f>IF('Données projet'!$A$244&gt;35,FZ38+FY39-GH38,IF(A39&lt;'Données projet'!$A$244,$FW$205^A39,IF(A39='Données projet'!$A$244,'Données projet'!$B$244,FZ38+FY39-GH38)))</f>
        <v>147.30769230769229</v>
      </c>
      <c r="GA39" s="18">
        <f>FZ39*VLOOKUP('Données projet'!$B$17,Paramètres!$A$1:$I$89,3,0)*VLOOKUP('Données projet'!$B$17,Paramètres!$A$1:$I$89,5,0)</f>
        <v>98.813999999999993</v>
      </c>
      <c r="GB39" s="14">
        <f t="shared" si="49"/>
        <v>26.679253507264274</v>
      </c>
      <c r="GC39" s="22">
        <f t="shared" si="25"/>
        <v>218.56741652515191</v>
      </c>
      <c r="GD39" s="62">
        <f t="shared" si="26"/>
        <v>473.33222693556911</v>
      </c>
      <c r="GE39" s="62">
        <f ca="1">AVERAGE(OFFSET($GD$3,0,0,'Données projet'!$E$17+1,1))-AVERAGE(OFFSET($H$3,0,0,'Données projet'!$E$17+1,1))</f>
        <v>316.17772895535211</v>
      </c>
      <c r="GF39" s="62">
        <f t="shared" si="50"/>
        <v>251.94445589652992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59.481311930113776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3.95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14.483333333333334</v>
      </c>
      <c r="H40" s="70">
        <f t="shared" si="1"/>
        <v>198.73333333333335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11.2</v>
      </c>
      <c r="N40" s="14">
        <f>IF('Données projet'!$A$36&gt;35,N39+M40-V39,IF(A40&lt;'Données projet'!$A$36,$K$205^A40,IF(A40='Données projet'!$A$36,'Données projet'!$B$36,N39+M40-V39)))</f>
        <v>141.40000000000006</v>
      </c>
      <c r="O40" s="14">
        <f>N40*VLOOKUP('Données projet'!$B$9,Paramètres!$A$1:$I$89,3,0)*VLOOKUP('Données projet'!$B$9,Paramètres!$A$1:$I$89,5,0)</f>
        <v>119.11536000000007</v>
      </c>
      <c r="P40" s="14">
        <f t="shared" si="33"/>
        <v>31.468582772748093</v>
      </c>
      <c r="Q40" s="22">
        <f t="shared" si="53"/>
        <v>262.26703366253639</v>
      </c>
      <c r="R40" s="62">
        <f t="shared" si="0"/>
        <v>517.70092171936653</v>
      </c>
      <c r="S40" s="62">
        <f ca="1">AVERAGE(OFFSET($R$3,0,0,'Données projet'!$E$9+1,1))-AVERAGE(OFFSET($H$3,0,0,'Données projet'!$E$9+1,1))</f>
        <v>508.93703669150443</v>
      </c>
      <c r="T40" s="62">
        <f t="shared" si="34"/>
        <v>277.04920840696707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8.4</v>
      </c>
      <c r="AI40" s="14">
        <f>IF('Données projet'!$A$62&gt;35,AI39+AH40-AQ39,IF(A40&lt;'Données projet'!$A$62,$AF$205^A40,IF(A40='Données projet'!$A$62,'Données projet'!$B$62,AI39+AH40-AQ39)))</f>
        <v>132.80000000000001</v>
      </c>
      <c r="AJ40" s="14">
        <f>AI40*VLOOKUP('Données projet'!$B$10,Paramètres!$A$1:$I$89,3,0)*VLOOKUP('Données projet'!$B$10,Paramètres!$A$1:$I$89,5,0)</f>
        <v>120.15744000000001</v>
      </c>
      <c r="AK40" s="14">
        <f t="shared" si="35"/>
        <v>31.711716786129845</v>
      </c>
      <c r="AL40" s="22">
        <f t="shared" si="4"/>
        <v>264.50544806917611</v>
      </c>
      <c r="AM40" s="62">
        <f t="shared" si="5"/>
        <v>519.93933612600631</v>
      </c>
      <c r="AN40" s="62">
        <f ca="1">AVERAGE(OFFSET($AM$3,0,0,'Données projet'!$E$10+1,1))-AVERAGE(OFFSET($H$3,0,0,'Données projet'!$E$10+1,1))</f>
        <v>461.10503306101145</v>
      </c>
      <c r="AO40" s="62">
        <f t="shared" si="36"/>
        <v>262.10652147273288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11.4</v>
      </c>
      <c r="BD40" s="13">
        <f>IF('Données projet'!$A$88&gt;35,BD39+BC40-BL39,IF(A40&lt;'Données projet'!$A$88,$BA$205^A40,IF(A40='Données projet'!$A$88,'Données projet'!$B$88,BD39+BC40-BL39)))</f>
        <v>228.8</v>
      </c>
      <c r="BE40" s="14">
        <f>BD40*VLOOKUP('Données projet'!$B$11,Paramètres!$A$1:$I$89,3,0)*VLOOKUP('Données projet'!$B$11,Paramètres!$A$1:$I$89,5,0)</f>
        <v>182.03328000000002</v>
      </c>
      <c r="BF40" s="14">
        <f t="shared" si="37"/>
        <v>45.774257349740282</v>
      </c>
      <c r="BG40" s="22">
        <f t="shared" si="7"/>
        <v>396.76479421746438</v>
      </c>
      <c r="BH40" s="62">
        <f t="shared" si="8"/>
        <v>652.19868227429458</v>
      </c>
      <c r="BI40" s="62">
        <f ca="1">AVERAGE(OFFSET($BH$3,0,0,'Données projet'!$E$11+1,1))-AVERAGE(OFFSET($H$3,0,0,'Données projet'!$E$11+1,1))</f>
        <v>389.67854939311752</v>
      </c>
      <c r="BJ40" s="62">
        <f t="shared" si="38"/>
        <v>420.05189970516096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10.666250000000002</v>
      </c>
      <c r="BY40" s="13">
        <f>IF('Données projet'!$A$114&gt;35,BY39+BX40-CG39,IF(A40&lt;'Données projet'!$A$114,$BV$205^A40,IF(A40='Données projet'!$A$114,'Données projet'!$B$114,BY39+BX40-CG39)))</f>
        <v>164.3262499999999</v>
      </c>
      <c r="BZ40" s="14">
        <f>BY40*VLOOKUP('Données projet'!$B$12,Paramètres!$A$1:$I$89,3,0)*VLOOKUP('Données projet'!$B$12,Paramètres!$A$1:$I$89,5,0)</f>
        <v>93.994614999999953</v>
      </c>
      <c r="CA40" s="14">
        <f t="shared" si="39"/>
        <v>25.526181454853027</v>
      </c>
      <c r="CB40" s="22">
        <f t="shared" si="10"/>
        <v>208.16538715886895</v>
      </c>
      <c r="CC40" s="62">
        <f t="shared" si="11"/>
        <v>463.59927521569909</v>
      </c>
      <c r="CD40" s="62">
        <f ca="1">AVERAGE(OFFSET($CC$3,0,0,'Données projet'!$E$12+1,1))-AVERAGE(OFFSET($H$3,0,0,'Données projet'!$E$12+1,1))</f>
        <v>312.16891625633968</v>
      </c>
      <c r="CE40" s="62">
        <f t="shared" si="40"/>
        <v>215.34305815516177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9.8931645864049695</v>
      </c>
      <c r="CM40" s="23">
        <f>EXP(-LN(2)/2)*CM39+(1-EXP(-LN(2)/2))/(LN(2)/2)*CG40*CJ40*VLOOKUP('Données projet'!$B$12,Paramètres!$A$1:$I$89,3,0)*0.475*44/12</f>
        <v>0.72015206571441015</v>
      </c>
      <c r="CN40" s="24">
        <f t="shared" si="12"/>
        <v>10.61331665211938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7.5641025641025639</v>
      </c>
      <c r="CT40" s="13">
        <f>IF('Données projet'!$A$140&gt;35,CT39+CS40-DB39,IF(A40&lt;'Données projet'!$A$140,$CQ$205^A40,IF(A40='Données projet'!$A$140,'Données projet'!$B$140,CT39+CS40-DB39)))</f>
        <v>171.53846153846158</v>
      </c>
      <c r="CU40" s="18">
        <f>CT40*VLOOKUP('Données projet'!$B$13,Paramètres!$A$1:$I$89,3,0)*VLOOKUP('Données projet'!$B$13,Paramètres!$A$1:$I$89,5,0)</f>
        <v>115.06800000000003</v>
      </c>
      <c r="CV40" s="14">
        <f t="shared" si="41"/>
        <v>30.521896703482735</v>
      </c>
      <c r="CW40" s="22">
        <f t="shared" si="13"/>
        <v>253.56907009189914</v>
      </c>
      <c r="CX40" s="62">
        <f t="shared" si="14"/>
        <v>509.00295814872931</v>
      </c>
      <c r="CY40" s="62">
        <f ca="1">AVERAGE(OFFSET($CX$3,0,0,'Données projet'!$E$13+1,1))-AVERAGE(OFFSET($H$3,0,0,'Données projet'!$E$13+1,1))</f>
        <v>369.04754428478793</v>
      </c>
      <c r="CZ40" s="62">
        <f t="shared" si="42"/>
        <v>277.00523259351712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>
        <f>VLOOKUP(A40,'Données projet'!$A$165:$I$185,2,0)</f>
        <v>188</v>
      </c>
      <c r="DM40" s="13">
        <f>VLOOKUP(A40,'Données projet'!$A$165:$I$185,9,0)</f>
        <v>11.5</v>
      </c>
      <c r="DN40" s="13">
        <f t="array" ref="DN40">INDEX(DM:DM,MIN(IF(ISNUMBER(DM40:DM236),ROW(DM40:DM236),"")))</f>
        <v>11.5</v>
      </c>
      <c r="DO40" s="13">
        <f>IF('Données projet'!$A$166&gt;35,DO39+DN40-DW39,IF(A40&lt;'Données projet'!$A$166,$DL$205^A40,IF(A40='Données projet'!$A$166,'Données projet'!$B$166,DO39+DN40-DW39)))</f>
        <v>187.99999999999997</v>
      </c>
      <c r="DP40" s="18">
        <f>DO40*VLOOKUP('Données projet'!$B$14,Paramètres!$A$1:$I$89,3,0)*VLOOKUP('Données projet'!$B$14,Paramètres!$A$1:$I$89,5,0)</f>
        <v>146.63999999999999</v>
      </c>
      <c r="DQ40" s="14">
        <f t="shared" si="43"/>
        <v>37.814009712703026</v>
      </c>
      <c r="DR40" s="22">
        <f t="shared" si="16"/>
        <v>321.25740024962437</v>
      </c>
      <c r="DS40" s="62">
        <f t="shared" si="17"/>
        <v>576.69128830645457</v>
      </c>
      <c r="DT40" s="62">
        <f ca="1">AVERAGE(OFFSET($DS$3,0,0,'Données projet'!$E$14+1,1))-AVERAGE(OFFSET($H$3,0,0,'Données projet'!$E$14+1,1))</f>
        <v>308.39181291575227</v>
      </c>
      <c r="DU40" s="62">
        <f t="shared" si="44"/>
        <v>298.58225298824334</v>
      </c>
      <c r="DV40" s="16">
        <f>IF(ISNA(VLOOKUP(A40,'Données projet'!$A$165:$I$185,3,0)),0,VLOOKUP(A40,'Données projet'!$A$165:$I$185,3,0))</f>
        <v>3</v>
      </c>
      <c r="DW40" s="16">
        <f>IF(ISNA(VLOOKUP(A40,'Données projet'!$A$165:$I$185,4,0)),0,VLOOKUP(A40,'Données projet'!$A$165:$I$185,4,0))</f>
        <v>36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8.4</v>
      </c>
      <c r="EJ40" s="13">
        <f>IF('Données projet'!$A$192&gt;35,EJ39+EI40-ER39,IF(A40&lt;'Données projet'!$A$192,$EG$205^A40,IF(A40='Données projet'!$A$192,'Données projet'!$B$192,EJ39+EI40-ER39)))</f>
        <v>132.80000000000001</v>
      </c>
      <c r="EK40" s="18">
        <f>EJ40*VLOOKUP('Données projet'!$B$15,Paramètres!$A$1:$I$89,3,0)*VLOOKUP('Données projet'!$B$15,Paramètres!$A$1:$I$89,5,0)</f>
        <v>128.44416000000001</v>
      </c>
      <c r="EL40" s="14">
        <f t="shared" si="45"/>
        <v>33.636598855068925</v>
      </c>
      <c r="EM40" s="22">
        <f t="shared" si="19"/>
        <v>282.29065500591173</v>
      </c>
      <c r="EN40" s="62">
        <f t="shared" si="20"/>
        <v>537.72454306274187</v>
      </c>
      <c r="EO40" s="62">
        <f ca="1">AVERAGE(OFFSET($EN$3,0,0,'Données projet'!$E$15+1,1))-AVERAGE(OFFSET($H$3,0,0,'Données projet'!$E$15+1,1))</f>
        <v>487.76433095707876</v>
      </c>
      <c r="EP40" s="62">
        <f t="shared" si="46"/>
        <v>276.24209151398361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8.4</v>
      </c>
      <c r="FE40" s="13">
        <f>IF('Données projet'!$A$218&gt;35,FE39+FD40-FM39,IF(A40&lt;'Données projet'!$A$218,$FB$205^A40,IF(A40='Données projet'!$A$218,'Données projet'!$B$218,FE39+FD40-FM39)))</f>
        <v>132.80000000000001</v>
      </c>
      <c r="FF40" s="18">
        <f>FE40*VLOOKUP('Données projet'!$B$16,Paramètres!$A$1:$I$89,3,0)*VLOOKUP('Données projet'!$B$16,Paramètres!$A$1:$I$89,5,0)</f>
        <v>142.94592</v>
      </c>
      <c r="FG40" s="14">
        <f t="shared" si="47"/>
        <v>36.971054314096854</v>
      </c>
      <c r="FH40" s="22">
        <f t="shared" si="22"/>
        <v>313.35539693038533</v>
      </c>
      <c r="FI40" s="62">
        <f t="shared" si="23"/>
        <v>568.78928498721552</v>
      </c>
      <c r="FJ40" s="62">
        <f ca="1">AVERAGE(OFFSET($FI$3,0,0,'Données projet'!$E$16+1,1))-AVERAGE(OFFSET($H$3,0,0,'Données projet'!$E$16+1,1))</f>
        <v>534.33392288300456</v>
      </c>
      <c r="FK40" s="62">
        <f t="shared" si="48"/>
        <v>300.93109615735477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6.9230769230769225</v>
      </c>
      <c r="FZ40" s="13">
        <f>IF('Données projet'!$A$244&gt;35,FZ39+FY40-GH39,IF(A40&lt;'Données projet'!$A$244,$FW$205^A40,IF(A40='Données projet'!$A$244,'Données projet'!$B$244,FZ39+FY40-GH39)))</f>
        <v>154.23076923076923</v>
      </c>
      <c r="GA40" s="18">
        <f>FZ40*VLOOKUP('Données projet'!$B$17,Paramètres!$A$1:$I$89,3,0)*VLOOKUP('Données projet'!$B$17,Paramètres!$A$1:$I$89,5,0)</f>
        <v>103.45800000000001</v>
      </c>
      <c r="GB40" s="14">
        <f t="shared" si="49"/>
        <v>27.7841813316018</v>
      </c>
      <c r="GC40" s="22">
        <f t="shared" si="25"/>
        <v>228.58013248587315</v>
      </c>
      <c r="GD40" s="62">
        <f t="shared" si="26"/>
        <v>484.01402054270329</v>
      </c>
      <c r="GE40" s="62">
        <f ca="1">AVERAGE(OFFSET($GD$3,0,0,'Données projet'!$E$17+1,1))-AVERAGE(OFFSET($H$3,0,0,'Données projet'!$E$17+1,1))</f>
        <v>316.17772895535211</v>
      </c>
      <c r="GF40" s="62">
        <f t="shared" si="50"/>
        <v>251.94445589652992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59.663787651862776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3.95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14.483333333333334</v>
      </c>
      <c r="H41" s="70">
        <f t="shared" si="1"/>
        <v>198.73333333333335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11.2</v>
      </c>
      <c r="N41" s="14">
        <f>IF('Données projet'!$A$36&gt;35,N40+M41-V40,IF(A41&lt;'Données projet'!$A$36,$K$205^A41,IF(A41='Données projet'!$A$36,'Données projet'!$B$36,N40+M41-V40)))</f>
        <v>152.60000000000005</v>
      </c>
      <c r="O41" s="14">
        <f>N41*VLOOKUP('Données projet'!$B$9,Paramètres!$A$1:$I$89,3,0)*VLOOKUP('Données projet'!$B$9,Paramètres!$A$1:$I$89,5,0)</f>
        <v>128.55024000000006</v>
      </c>
      <c r="P41" s="14">
        <f t="shared" si="33"/>
        <v>33.661144026076698</v>
      </c>
      <c r="Q41" s="22">
        <f t="shared" si="53"/>
        <v>282.51816051208368</v>
      </c>
      <c r="R41" s="62">
        <f t="shared" si="0"/>
        <v>538.6095192139951</v>
      </c>
      <c r="S41" s="62">
        <f ca="1">AVERAGE(OFFSET($R$3,0,0,'Données projet'!$E$9+1,1))-AVERAGE(OFFSET($H$3,0,0,'Données projet'!$E$9+1,1))</f>
        <v>508.93703669150443</v>
      </c>
      <c r="T41" s="62">
        <f t="shared" si="34"/>
        <v>277.04920840696707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8.4</v>
      </c>
      <c r="AI41" s="14">
        <f>IF('Données projet'!$A$62&gt;35,AI40+AH41-AQ40,IF(A41&lt;'Données projet'!$A$62,$AF$205^A41,IF(A41='Données projet'!$A$62,'Données projet'!$B$62,AI40+AH41-AQ40)))</f>
        <v>141.20000000000002</v>
      </c>
      <c r="AJ41" s="14">
        <f>AI41*VLOOKUP('Données projet'!$B$10,Paramètres!$A$1:$I$89,3,0)*VLOOKUP('Données projet'!$B$10,Paramètres!$A$1:$I$89,5,0)</f>
        <v>127.75776</v>
      </c>
      <c r="AK41" s="14">
        <f t="shared" si="35"/>
        <v>33.477720030956604</v>
      </c>
      <c r="AL41" s="22">
        <f t="shared" si="4"/>
        <v>280.81846105391611</v>
      </c>
      <c r="AM41" s="62">
        <f t="shared" si="5"/>
        <v>536.90981975582758</v>
      </c>
      <c r="AN41" s="62">
        <f ca="1">AVERAGE(OFFSET($AM$3,0,0,'Données projet'!$E$10+1,1))-AVERAGE(OFFSET($H$3,0,0,'Données projet'!$E$10+1,1))</f>
        <v>461.10503306101145</v>
      </c>
      <c r="AO41" s="62">
        <f t="shared" si="36"/>
        <v>262.10652147273288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11.4</v>
      </c>
      <c r="BD41" s="13">
        <f>IF('Données projet'!$A$88&gt;35,BD40+BC41-BL40,IF(A41&lt;'Données projet'!$A$88,$BA$205^A41,IF(A41='Données projet'!$A$88,'Données projet'!$B$88,BD40+BC41-BL40)))</f>
        <v>240.20000000000002</v>
      </c>
      <c r="BE41" s="14">
        <f>BD41*VLOOKUP('Données projet'!$B$11,Paramètres!$A$1:$I$89,3,0)*VLOOKUP('Données projet'!$B$11,Paramètres!$A$1:$I$89,5,0)</f>
        <v>191.10312000000002</v>
      </c>
      <c r="BF41" s="14">
        <f t="shared" si="37"/>
        <v>47.783754789189338</v>
      </c>
      <c r="BG41" s="22">
        <f t="shared" si="7"/>
        <v>416.06130692450483</v>
      </c>
      <c r="BH41" s="62">
        <f t="shared" si="8"/>
        <v>672.15266562641625</v>
      </c>
      <c r="BI41" s="62">
        <f ca="1">AVERAGE(OFFSET($BH$3,0,0,'Données projet'!$E$11+1,1))-AVERAGE(OFFSET($H$3,0,0,'Données projet'!$E$11+1,1))</f>
        <v>389.67854939311752</v>
      </c>
      <c r="BJ41" s="62">
        <f t="shared" si="38"/>
        <v>420.05189970516096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10.666250000000002</v>
      </c>
      <c r="BY41" s="13">
        <f>IF('Données projet'!$A$114&gt;35,BY40+BX41-CG40,IF(A41&lt;'Données projet'!$A$114,$BV$205^A41,IF(A41='Données projet'!$A$114,'Données projet'!$B$114,BY40+BX41-CG40)))</f>
        <v>174.99249999999989</v>
      </c>
      <c r="BZ41" s="14">
        <f>BY41*VLOOKUP('Données projet'!$B$12,Paramètres!$A$1:$I$89,3,0)*VLOOKUP('Données projet'!$B$12,Paramètres!$A$1:$I$89,5,0)</f>
        <v>100.09570999999994</v>
      </c>
      <c r="CA41" s="14">
        <f t="shared" si="39"/>
        <v>26.984797866372649</v>
      </c>
      <c r="CB41" s="22">
        <f t="shared" si="10"/>
        <v>221.33188453393223</v>
      </c>
      <c r="CC41" s="62">
        <f t="shared" si="11"/>
        <v>477.42324323584364</v>
      </c>
      <c r="CD41" s="62">
        <f ca="1">AVERAGE(OFFSET($CC$3,0,0,'Données projet'!$E$12+1,1))-AVERAGE(OFFSET($H$3,0,0,'Données projet'!$E$12+1,1))</f>
        <v>312.16891625633968</v>
      </c>
      <c r="CE41" s="62">
        <f t="shared" si="40"/>
        <v>215.34305815516177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9.6226354805308105</v>
      </c>
      <c r="CM41" s="23">
        <f>EXP(-LN(2)/2)*CM40+(1-EXP(-LN(2)/2))/(LN(2)/2)*CG41*CJ41*VLOOKUP('Données projet'!$B$12,Paramètres!$A$1:$I$89,3,0)*0.475*44/12</f>
        <v>0.50922440915215961</v>
      </c>
      <c r="CN41" s="24">
        <f t="shared" si="12"/>
        <v>10.131859889682969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7.5641025641025639</v>
      </c>
      <c r="CT41" s="13">
        <f>IF('Données projet'!$A$140&gt;35,CT40+CS41-DB40,IF(A41&lt;'Données projet'!$A$140,$CQ$205^A41,IF(A41='Données projet'!$A$140,'Données projet'!$B$140,CT40+CS41-DB40)))</f>
        <v>179.10256410256414</v>
      </c>
      <c r="CU41" s="18">
        <f>CT41*VLOOKUP('Données projet'!$B$13,Paramètres!$A$1:$I$89,3,0)*VLOOKUP('Données projet'!$B$13,Paramètres!$A$1:$I$89,5,0)</f>
        <v>120.14200000000004</v>
      </c>
      <c r="CV41" s="14">
        <f t="shared" si="41"/>
        <v>31.708116182305016</v>
      </c>
      <c r="CW41" s="22">
        <f t="shared" si="13"/>
        <v>264.47228568418126</v>
      </c>
      <c r="CX41" s="62">
        <f t="shared" si="14"/>
        <v>520.56364438609262</v>
      </c>
      <c r="CY41" s="62">
        <f ca="1">AVERAGE(OFFSET($CX$3,0,0,'Données projet'!$E$13+1,1))-AVERAGE(OFFSET($H$3,0,0,'Données projet'!$E$13+1,1))</f>
        <v>369.04754428478793</v>
      </c>
      <c r="CZ41" s="62">
        <f t="shared" si="42"/>
        <v>277.00523259351712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11.142857142857142</v>
      </c>
      <c r="DO41" s="13">
        <f>IF('Données projet'!$A$166&gt;35,DO40+DN41-DW40,IF(A41&lt;'Données projet'!$A$166,$DL$205^A41,IF(A41='Données projet'!$A$166,'Données projet'!$B$166,DO40+DN41-DW40)))</f>
        <v>163.14285714285711</v>
      </c>
      <c r="DP41" s="18">
        <f>DO41*VLOOKUP('Données projet'!$B$14,Paramètres!$A$1:$I$89,3,0)*VLOOKUP('Données projet'!$B$14,Paramètres!$A$1:$I$89,5,0)</f>
        <v>127.25142857142855</v>
      </c>
      <c r="DQ41" s="14">
        <f t="shared" si="43"/>
        <v>33.360457439554281</v>
      </c>
      <c r="DR41" s="22">
        <f t="shared" si="16"/>
        <v>279.73236813579507</v>
      </c>
      <c r="DS41" s="62">
        <f t="shared" si="17"/>
        <v>535.82372683770654</v>
      </c>
      <c r="DT41" s="62">
        <f ca="1">AVERAGE(OFFSET($DS$3,0,0,'Données projet'!$E$14+1,1))-AVERAGE(OFFSET($H$3,0,0,'Données projet'!$E$14+1,1))</f>
        <v>308.39181291575227</v>
      </c>
      <c r="DU41" s="62">
        <f t="shared" si="44"/>
        <v>298.58225298824334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8.4</v>
      </c>
      <c r="EJ41" s="13">
        <f>IF('Données projet'!$A$192&gt;35,EJ40+EI41-ER40,IF(A41&lt;'Données projet'!$A$192,$EG$205^A41,IF(A41='Données projet'!$A$192,'Données projet'!$B$192,EJ40+EI41-ER40)))</f>
        <v>141.20000000000002</v>
      </c>
      <c r="EK41" s="18">
        <f>EJ41*VLOOKUP('Données projet'!$B$15,Paramètres!$A$1:$I$89,3,0)*VLOOKUP('Données projet'!$B$15,Paramètres!$A$1:$I$89,5,0)</f>
        <v>136.56864000000002</v>
      </c>
      <c r="EL41" s="14">
        <f t="shared" si="45"/>
        <v>35.509797430964703</v>
      </c>
      <c r="EM41" s="22">
        <f t="shared" si="19"/>
        <v>299.70327852559689</v>
      </c>
      <c r="EN41" s="62">
        <f t="shared" si="20"/>
        <v>555.79463722750825</v>
      </c>
      <c r="EO41" s="62">
        <f ca="1">AVERAGE(OFFSET($EN$3,0,0,'Données projet'!$E$15+1,1))-AVERAGE(OFFSET($H$3,0,0,'Données projet'!$E$15+1,1))</f>
        <v>487.76433095707876</v>
      </c>
      <c r="EP41" s="62">
        <f t="shared" si="46"/>
        <v>276.24209151398361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8.4</v>
      </c>
      <c r="FE41" s="13">
        <f>IF('Données projet'!$A$218&gt;35,FE40+FD41-FM40,IF(A41&lt;'Données projet'!$A$218,$FB$205^A41,IF(A41='Données projet'!$A$218,'Données projet'!$B$218,FE40+FD41-FM40)))</f>
        <v>141.20000000000002</v>
      </c>
      <c r="FF41" s="18">
        <f>FE41*VLOOKUP('Données projet'!$B$16,Paramètres!$A$1:$I$89,3,0)*VLOOKUP('Données projet'!$B$16,Paramètres!$A$1:$I$89,5,0)</f>
        <v>151.98768000000001</v>
      </c>
      <c r="FG41" s="14">
        <f t="shared" si="47"/>
        <v>39.029946373574369</v>
      </c>
      <c r="FH41" s="22">
        <f t="shared" si="22"/>
        <v>332.68903260064207</v>
      </c>
      <c r="FI41" s="62">
        <f t="shared" si="23"/>
        <v>588.78039130255343</v>
      </c>
      <c r="FJ41" s="62">
        <f ca="1">AVERAGE(OFFSET($FI$3,0,0,'Données projet'!$E$16+1,1))-AVERAGE(OFFSET($H$3,0,0,'Données projet'!$E$16+1,1))</f>
        <v>534.33392288300456</v>
      </c>
      <c r="FK41" s="62">
        <f t="shared" si="48"/>
        <v>300.93109615735477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6.9230769230769225</v>
      </c>
      <c r="FZ41" s="13">
        <f>IF('Données projet'!$A$244&gt;35,FZ40+FY41-GH40,IF(A41&lt;'Données projet'!$A$244,$FW$205^A41,IF(A41='Données projet'!$A$244,'Données projet'!$B$244,FZ40+FY41-GH40)))</f>
        <v>161.15384615384616</v>
      </c>
      <c r="GA41" s="18">
        <f>FZ41*VLOOKUP('Données projet'!$B$17,Paramètres!$A$1:$I$89,3,0)*VLOOKUP('Données projet'!$B$17,Paramètres!$A$1:$I$89,5,0)</f>
        <v>108.102</v>
      </c>
      <c r="GB41" s="14">
        <f t="shared" si="49"/>
        <v>28.883348990351944</v>
      </c>
      <c r="GC41" s="22">
        <f t="shared" si="25"/>
        <v>238.58281615819627</v>
      </c>
      <c r="GD41" s="62">
        <f t="shared" si="26"/>
        <v>494.67417486010766</v>
      </c>
      <c r="GE41" s="62">
        <f ca="1">AVERAGE(OFFSET($GD$3,0,0,'Données projet'!$E$17+1,1))-AVERAGE(OFFSET($H$3,0,0,'Données projet'!$E$17+1,1))</f>
        <v>316.17772895535211</v>
      </c>
      <c r="GF41" s="62">
        <f t="shared" si="50"/>
        <v>251.94445589652992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59.843097827794026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3.95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14.483333333333334</v>
      </c>
      <c r="H42" s="70">
        <f t="shared" si="1"/>
        <v>198.73333333333335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11.2</v>
      </c>
      <c r="N42" s="14">
        <f>IF('Données projet'!$A$36&gt;35,N41+M42-V41,IF(A42&lt;'Données projet'!$A$36,$K$205^A42,IF(A42='Données projet'!$A$36,'Données projet'!$B$36,N41+M42-V41)))</f>
        <v>163.80000000000004</v>
      </c>
      <c r="O42" s="14">
        <f>N42*VLOOKUP('Données projet'!$B$9,Paramètres!$A$1:$I$89,3,0)*VLOOKUP('Données projet'!$B$9,Paramètres!$A$1:$I$89,5,0)</f>
        <v>137.98512000000005</v>
      </c>
      <c r="P42" s="14">
        <f t="shared" si="33"/>
        <v>35.835036067646342</v>
      </c>
      <c r="Q42" s="22">
        <f t="shared" si="53"/>
        <v>302.73677181781744</v>
      </c>
      <c r="R42" s="62">
        <f t="shared" si="0"/>
        <v>559.47419551900214</v>
      </c>
      <c r="S42" s="62">
        <f ca="1">AVERAGE(OFFSET($R$3,0,0,'Données projet'!$E$9+1,1))-AVERAGE(OFFSET($H$3,0,0,'Données projet'!$E$9+1,1))</f>
        <v>508.93703669150443</v>
      </c>
      <c r="T42" s="62">
        <f t="shared" si="34"/>
        <v>277.04920840696707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8.4</v>
      </c>
      <c r="AI42" s="14">
        <f>IF('Données projet'!$A$62&gt;35,AI41+AH42-AQ41,IF(A42&lt;'Données projet'!$A$62,$AF$205^A42,IF(A42='Données projet'!$A$62,'Données projet'!$B$62,AI41+AH42-AQ41)))</f>
        <v>149.60000000000002</v>
      </c>
      <c r="AJ42" s="14">
        <f>AI42*VLOOKUP('Données projet'!$B$10,Paramètres!$A$1:$I$89,3,0)*VLOOKUP('Données projet'!$B$10,Paramètres!$A$1:$I$89,5,0)</f>
        <v>135.35808</v>
      </c>
      <c r="AK42" s="14">
        <f t="shared" si="35"/>
        <v>35.231528980112834</v>
      </c>
      <c r="AL42" s="22">
        <f t="shared" si="4"/>
        <v>297.11023564036316</v>
      </c>
      <c r="AM42" s="62">
        <f t="shared" si="5"/>
        <v>553.8476593415478</v>
      </c>
      <c r="AN42" s="62">
        <f ca="1">AVERAGE(OFFSET($AM$3,0,0,'Données projet'!$E$10+1,1))-AVERAGE(OFFSET($H$3,0,0,'Données projet'!$E$10+1,1))</f>
        <v>461.10503306101145</v>
      </c>
      <c r="AO42" s="62">
        <f t="shared" si="36"/>
        <v>262.10652147273288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11.4</v>
      </c>
      <c r="BD42" s="13">
        <f>IF('Données projet'!$A$88&gt;35,BD41+BC42-BL41,IF(A42&lt;'Données projet'!$A$88,$BA$205^A42,IF(A42='Données projet'!$A$88,'Données projet'!$B$88,BD41+BC42-BL41)))</f>
        <v>251.60000000000002</v>
      </c>
      <c r="BE42" s="14">
        <f>BD42*VLOOKUP('Données projet'!$B$11,Paramètres!$A$1:$I$89,3,0)*VLOOKUP('Données projet'!$B$11,Paramètres!$A$1:$I$89,5,0)</f>
        <v>200.17296000000002</v>
      </c>
      <c r="BF42" s="14">
        <f t="shared" si="37"/>
        <v>49.782177185856028</v>
      </c>
      <c r="BG42" s="22">
        <f t="shared" si="7"/>
        <v>435.33853059869926</v>
      </c>
      <c r="BH42" s="62">
        <f t="shared" si="8"/>
        <v>692.07595429988396</v>
      </c>
      <c r="BI42" s="62">
        <f ca="1">AVERAGE(OFFSET($BH$3,0,0,'Données projet'!$E$11+1,1))-AVERAGE(OFFSET($H$3,0,0,'Données projet'!$E$11+1,1))</f>
        <v>389.67854939311752</v>
      </c>
      <c r="BJ42" s="62">
        <f t="shared" si="38"/>
        <v>420.05189970516096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10.666250000000002</v>
      </c>
      <c r="BY42" s="13">
        <f>IF('Données projet'!$A$114&gt;35,BY41+BX42-CG41,IF(A42&lt;'Données projet'!$A$114,$BV$205^A42,IF(A42='Données projet'!$A$114,'Données projet'!$B$114,BY41+BX42-CG41)))</f>
        <v>185.65874999999988</v>
      </c>
      <c r="BZ42" s="14">
        <f>BY42*VLOOKUP('Données projet'!$B$12,Paramètres!$A$1:$I$89,3,0)*VLOOKUP('Données projet'!$B$12,Paramètres!$A$1:$I$89,5,0)</f>
        <v>106.19680499999994</v>
      </c>
      <c r="CA42" s="14">
        <f t="shared" si="39"/>
        <v>28.43309544490738</v>
      </c>
      <c r="CB42" s="22">
        <f t="shared" si="10"/>
        <v>234.4804099415469</v>
      </c>
      <c r="CC42" s="62">
        <f t="shared" si="11"/>
        <v>491.21783364273159</v>
      </c>
      <c r="CD42" s="62">
        <f ca="1">AVERAGE(OFFSET($CC$3,0,0,'Données projet'!$E$12+1,1))-AVERAGE(OFFSET($H$3,0,0,'Données projet'!$E$12+1,1))</f>
        <v>312.16891625633968</v>
      </c>
      <c r="CE42" s="62">
        <f t="shared" si="40"/>
        <v>215.34305815516177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9.359504007283288</v>
      </c>
      <c r="CM42" s="23">
        <f>EXP(-LN(2)/2)*CM41+(1-EXP(-LN(2)/2))/(LN(2)/2)*CG42*CJ42*VLOOKUP('Données projet'!$B$12,Paramètres!$A$1:$I$89,3,0)*0.475*44/12</f>
        <v>0.36007603285720508</v>
      </c>
      <c r="CN42" s="24">
        <f t="shared" si="12"/>
        <v>9.7195800401404924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7.5641025641025639</v>
      </c>
      <c r="CT42" s="13">
        <f>IF('Données projet'!$A$140&gt;35,CT41+CS42-DB41,IF(A42&lt;'Données projet'!$A$140,$CQ$205^A42,IF(A42='Données projet'!$A$140,'Données projet'!$B$140,CT41+CS42-DB41)))</f>
        <v>186.66666666666671</v>
      </c>
      <c r="CU42" s="18">
        <f>CT42*VLOOKUP('Données projet'!$B$13,Paramètres!$A$1:$I$89,3,0)*VLOOKUP('Données projet'!$B$13,Paramètres!$A$1:$I$89,5,0)</f>
        <v>125.21600000000002</v>
      </c>
      <c r="CV42" s="14">
        <f t="shared" si="41"/>
        <v>32.888516733565645</v>
      </c>
      <c r="CW42" s="22">
        <f t="shared" si="13"/>
        <v>275.36536664429354</v>
      </c>
      <c r="CX42" s="62">
        <f t="shared" si="14"/>
        <v>532.1027903454783</v>
      </c>
      <c r="CY42" s="62">
        <f ca="1">AVERAGE(OFFSET($CX$3,0,0,'Données projet'!$E$13+1,1))-AVERAGE(OFFSET($H$3,0,0,'Données projet'!$E$13+1,1))</f>
        <v>369.04754428478793</v>
      </c>
      <c r="CZ42" s="62">
        <f t="shared" si="42"/>
        <v>277.00523259351712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11.142857142857142</v>
      </c>
      <c r="DO42" s="13">
        <f>IF('Données projet'!$A$166&gt;35,DO41+DN42-DW41,IF(A42&lt;'Données projet'!$A$166,$DL$205^A42,IF(A42='Données projet'!$A$166,'Données projet'!$B$166,DO41+DN42-DW41)))</f>
        <v>174.28571428571425</v>
      </c>
      <c r="DP42" s="18">
        <f>DO42*VLOOKUP('Données projet'!$B$14,Paramètres!$A$1:$I$89,3,0)*VLOOKUP('Données projet'!$B$14,Paramètres!$A$1:$I$89,5,0)</f>
        <v>135.94285714285712</v>
      </c>
      <c r="DQ42" s="14">
        <f t="shared" si="43"/>
        <v>35.365986273808367</v>
      </c>
      <c r="DR42" s="22">
        <f t="shared" si="16"/>
        <v>298.36290228402572</v>
      </c>
      <c r="DS42" s="62">
        <f t="shared" si="17"/>
        <v>555.10032598521047</v>
      </c>
      <c r="DT42" s="62">
        <f ca="1">AVERAGE(OFFSET($DS$3,0,0,'Données projet'!$E$14+1,1))-AVERAGE(OFFSET($H$3,0,0,'Données projet'!$E$14+1,1))</f>
        <v>308.39181291575227</v>
      </c>
      <c r="DU42" s="62">
        <f t="shared" si="44"/>
        <v>298.58225298824334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8.4</v>
      </c>
      <c r="EJ42" s="13">
        <f>IF('Données projet'!$A$192&gt;35,EJ41+EI42-ER41,IF(A42&lt;'Données projet'!$A$192,$EG$205^A42,IF(A42='Données projet'!$A$192,'Données projet'!$B$192,EJ41+EI42-ER41)))</f>
        <v>149.60000000000002</v>
      </c>
      <c r="EK42" s="18">
        <f>EJ42*VLOOKUP('Données projet'!$B$15,Paramètres!$A$1:$I$89,3,0)*VLOOKUP('Données projet'!$B$15,Paramètres!$A$1:$I$89,5,0)</f>
        <v>144.69312000000002</v>
      </c>
      <c r="EL42" s="14">
        <f t="shared" si="45"/>
        <v>37.370061524802772</v>
      </c>
      <c r="EM42" s="22">
        <f t="shared" si="19"/>
        <v>317.09337448903148</v>
      </c>
      <c r="EN42" s="62">
        <f t="shared" si="20"/>
        <v>573.83079819021623</v>
      </c>
      <c r="EO42" s="62">
        <f ca="1">AVERAGE(OFFSET($EN$3,0,0,'Données projet'!$E$15+1,1))-AVERAGE(OFFSET($H$3,0,0,'Données projet'!$E$15+1,1))</f>
        <v>487.76433095707876</v>
      </c>
      <c r="EP42" s="62">
        <f t="shared" si="46"/>
        <v>276.24209151398361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8.4</v>
      </c>
      <c r="FE42" s="13">
        <f>IF('Données projet'!$A$218&gt;35,FE41+FD42-FM41,IF(A42&lt;'Données projet'!$A$218,$FB$205^A42,IF(A42='Données projet'!$A$218,'Données projet'!$B$218,FE41+FD42-FM41)))</f>
        <v>149.60000000000002</v>
      </c>
      <c r="FF42" s="18">
        <f>FE42*VLOOKUP('Données projet'!$B$16,Paramètres!$A$1:$I$89,3,0)*VLOOKUP('Données projet'!$B$16,Paramètres!$A$1:$I$89,5,0)</f>
        <v>161.02944000000002</v>
      </c>
      <c r="FG42" s="14">
        <f t="shared" si="47"/>
        <v>41.074621732940685</v>
      </c>
      <c r="FH42" s="22">
        <f t="shared" si="22"/>
        <v>351.99790751820501</v>
      </c>
      <c r="FI42" s="62">
        <f t="shared" si="23"/>
        <v>608.73533121938976</v>
      </c>
      <c r="FJ42" s="62">
        <f ca="1">AVERAGE(OFFSET($FI$3,0,0,'Données projet'!$E$16+1,1))-AVERAGE(OFFSET($H$3,0,0,'Données projet'!$E$16+1,1))</f>
        <v>534.33392288300456</v>
      </c>
      <c r="FK42" s="62">
        <f t="shared" si="48"/>
        <v>300.93109615735477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6.9230769230769225</v>
      </c>
      <c r="FZ42" s="13">
        <f>IF('Données projet'!$A$244&gt;35,FZ41+FY42-GH41,IF(A42&lt;'Données projet'!$A$244,$FW$205^A42,IF(A42='Données projet'!$A$244,'Données projet'!$B$244,FZ41+FY42-GH41)))</f>
        <v>168.07692307692309</v>
      </c>
      <c r="GA42" s="18">
        <f>FZ42*VLOOKUP('Données projet'!$B$17,Paramètres!$A$1:$I$89,3,0)*VLOOKUP('Données projet'!$B$17,Paramètres!$A$1:$I$89,5,0)</f>
        <v>112.74600000000001</v>
      </c>
      <c r="GB42" s="14">
        <f t="shared" si="49"/>
        <v>29.977032224041835</v>
      </c>
      <c r="GC42" s="22">
        <f t="shared" si="25"/>
        <v>248.57594779020619</v>
      </c>
      <c r="GD42" s="62">
        <f t="shared" si="26"/>
        <v>505.31337149139085</v>
      </c>
      <c r="GE42" s="62">
        <f ca="1">AVERAGE(OFFSET($GD$3,0,0,'Données projet'!$E$17+1,1))-AVERAGE(OFFSET($H$3,0,0,'Données projet'!$E$17+1,1))</f>
        <v>316.17772895535211</v>
      </c>
      <c r="GF42" s="62">
        <f t="shared" si="50"/>
        <v>251.94445589652992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60.019297373050364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3.95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14.483333333333334</v>
      </c>
      <c r="H43" s="70">
        <f t="shared" si="1"/>
        <v>198.73333333333335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175</v>
      </c>
      <c r="L43" s="13">
        <f>VLOOKUP(A43,'Données projet'!$A$35:$I$55,9,0)</f>
        <v>11.2</v>
      </c>
      <c r="M43" s="13">
        <f t="array" ref="M43">INDEX(L:L,MIN(IF(ISNUMBER(L43:L239),ROW(L43:L239),"")))</f>
        <v>11.2</v>
      </c>
      <c r="N43" s="14">
        <f>IF('Données projet'!$A$36&gt;35,N42+M43-V42,IF(A43&lt;'Données projet'!$A$36,$K$205^A43,IF(A43='Données projet'!$A$36,'Données projet'!$B$36,N42+M43-V42)))</f>
        <v>175.00000000000003</v>
      </c>
      <c r="O43" s="14">
        <f>N43*VLOOKUP('Données projet'!$B$9,Paramètres!$A$1:$I$89,3,0)*VLOOKUP('Données projet'!$B$9,Paramètres!$A$1:$I$89,5,0)</f>
        <v>147.42000000000004</v>
      </c>
      <c r="P43" s="14">
        <f t="shared" si="33"/>
        <v>37.991680647570327</v>
      </c>
      <c r="Q43" s="22">
        <f t="shared" si="53"/>
        <v>322.92534379451837</v>
      </c>
      <c r="R43" s="62">
        <f t="shared" si="0"/>
        <v>580.29762471162383</v>
      </c>
      <c r="S43" s="62">
        <f ca="1">AVERAGE(OFFSET($R$3,0,0,'Données projet'!$E$9+1,1))-AVERAGE(OFFSET($H$3,0,0,'Données projet'!$E$9+1,1))</f>
        <v>508.93703669150443</v>
      </c>
      <c r="T43" s="62">
        <f t="shared" si="34"/>
        <v>277.04920840696707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158</v>
      </c>
      <c r="AG43" s="13">
        <f>VLOOKUP(A43,'Données projet'!$A$61:$I$81,9,0)</f>
        <v>8.4</v>
      </c>
      <c r="AH43" s="13">
        <f t="array" ref="AH43">INDEX(AG:AG,MIN(IF(ISNUMBER(AG43:AG239),ROW(AG43:AG239),"")))</f>
        <v>8.4</v>
      </c>
      <c r="AI43" s="14">
        <f>IF('Données projet'!$A$62&gt;35,AI42+AH43-AQ42,IF(A43&lt;'Données projet'!$A$62,$AF$205^A43,IF(A43='Données projet'!$A$62,'Données projet'!$B$62,AI42+AH43-AQ42)))</f>
        <v>158.00000000000003</v>
      </c>
      <c r="AJ43" s="14">
        <f>AI43*VLOOKUP('Données projet'!$B$10,Paramètres!$A$1:$I$89,3,0)*VLOOKUP('Données projet'!$B$10,Paramètres!$A$1:$I$89,5,0)</f>
        <v>142.95840000000004</v>
      </c>
      <c r="AK43" s="14">
        <f t="shared" si="35"/>
        <v>36.973906370811264</v>
      </c>
      <c r="AL43" s="22">
        <f t="shared" si="4"/>
        <v>313.38210026249641</v>
      </c>
      <c r="AM43" s="62">
        <f t="shared" si="5"/>
        <v>570.75438117960186</v>
      </c>
      <c r="AN43" s="62">
        <f ca="1">AVERAGE(OFFSET($AM$3,0,0,'Données projet'!$E$10+1,1))-AVERAGE(OFFSET($H$3,0,0,'Données projet'!$E$10+1,1))</f>
        <v>461.10503306101145</v>
      </c>
      <c r="AO43" s="62">
        <f t="shared" si="36"/>
        <v>262.10652147273288</v>
      </c>
      <c r="AP43" s="16">
        <f>IF(ISNA(VLOOKUP(A43,'Données projet'!$A$61:$I$81,3,0)),0,VLOOKUP(A43,'Données projet'!$A$61:$I$81,3,0))</f>
        <v>2</v>
      </c>
      <c r="AQ43" s="16">
        <f>IF(ISNA(VLOOKUP(A43,'Données projet'!$A$61:$I$81,4,0)),0,VLOOKUP(A43,'Données projet'!$A$61:$I$81,4,0))</f>
        <v>42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263</v>
      </c>
      <c r="BB43" s="13">
        <f>VLOOKUP(A43,'Données projet'!$A$87:$I$107,9,0)</f>
        <v>11.4</v>
      </c>
      <c r="BC43" s="13">
        <f t="array" ref="BC43">INDEX(BB:BB,MIN(IF(ISNUMBER(BB43:BB239),ROW(BB43:BB239),"")))</f>
        <v>11.4</v>
      </c>
      <c r="BD43" s="13">
        <f>IF('Données projet'!$A$88&gt;35,BD42+BC43-BL42,IF(A43&lt;'Données projet'!$A$88,$BA$205^A43,IF(A43='Données projet'!$A$88,'Données projet'!$B$88,BD42+BC43-BL42)))</f>
        <v>263</v>
      </c>
      <c r="BE43" s="14">
        <f>BD43*VLOOKUP('Données projet'!$B$11,Paramètres!$A$1:$I$89,3,0)*VLOOKUP('Données projet'!$B$11,Paramètres!$A$1:$I$89,5,0)</f>
        <v>209.24279999999999</v>
      </c>
      <c r="BF43" s="14">
        <f t="shared" si="37"/>
        <v>51.770083677016814</v>
      </c>
      <c r="BG43" s="22">
        <f t="shared" si="7"/>
        <v>454.59743907080428</v>
      </c>
      <c r="BH43" s="62">
        <f t="shared" si="8"/>
        <v>711.96971998790968</v>
      </c>
      <c r="BI43" s="62">
        <f ca="1">AVERAGE(OFFSET($BH$3,0,0,'Données projet'!$E$11+1,1))-AVERAGE(OFFSET($H$3,0,0,'Données projet'!$E$11+1,1))</f>
        <v>389.67854939311752</v>
      </c>
      <c r="BJ43" s="62">
        <f t="shared" si="38"/>
        <v>420.05189970516096</v>
      </c>
      <c r="BK43" s="16">
        <f>IF(ISNA(VLOOKUP(A43,'Données projet'!$A$87:$I$107,3,0)),0,VLOOKUP(A43,'Données projet'!$A$87:$I$107,3,0))</f>
        <v>3</v>
      </c>
      <c r="BL43" s="16">
        <f>IF(ISNA(VLOOKUP(A43,'Données projet'!$A$87:$I$107,4,0)),0,VLOOKUP(A43,'Données projet'!$A$87:$I$107,4,0))</f>
        <v>70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10.666250000000002</v>
      </c>
      <c r="BY43" s="13">
        <f>IF('Données projet'!$A$114&gt;35,BY42+BX43-CG42,IF(A43&lt;'Données projet'!$A$114,$BV$205^A43,IF(A43='Données projet'!$A$114,'Données projet'!$B$114,BY42+BX43-CG42)))</f>
        <v>196.32499999999987</v>
      </c>
      <c r="BZ43" s="14">
        <f>BY43*VLOOKUP('Données projet'!$B$12,Paramètres!$A$1:$I$89,3,0)*VLOOKUP('Données projet'!$B$12,Paramètres!$A$1:$I$89,5,0)</f>
        <v>112.29789999999993</v>
      </c>
      <c r="CA43" s="14">
        <f t="shared" si="39"/>
        <v>29.871734559847088</v>
      </c>
      <c r="CB43" s="22">
        <f t="shared" si="10"/>
        <v>247.61211352506689</v>
      </c>
      <c r="CC43" s="62">
        <f t="shared" si="11"/>
        <v>504.98439444217234</v>
      </c>
      <c r="CD43" s="62">
        <f ca="1">AVERAGE(OFFSET($CC$3,0,0,'Données projet'!$E$12+1,1))-AVERAGE(OFFSET($H$3,0,0,'Données projet'!$E$12+1,1))</f>
        <v>312.16891625633968</v>
      </c>
      <c r="CE43" s="62">
        <f t="shared" si="40"/>
        <v>215.34305815516177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9.1035678780092031</v>
      </c>
      <c r="CM43" s="23">
        <f>EXP(-LN(2)/2)*CM42+(1-EXP(-LN(2)/2))/(LN(2)/2)*CG43*CJ43*VLOOKUP('Données projet'!$B$12,Paramètres!$A$1:$I$89,3,0)*0.475*44/12</f>
        <v>0.2546122045760798</v>
      </c>
      <c r="CN43" s="24">
        <f t="shared" si="12"/>
        <v>9.3581800825852834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194.23076923076923</v>
      </c>
      <c r="CR43" s="13">
        <f>VLOOKUP(A43,'Données projet'!$A$139:$I$159,9,0)</f>
        <v>7.5641025641025639</v>
      </c>
      <c r="CS43" s="13">
        <f t="array" ref="CS43">INDEX(CR:CR,MIN(IF(ISNUMBER(CR43:CR239),ROW(CR43:CR239),"")))</f>
        <v>7.5641025641025639</v>
      </c>
      <c r="CT43" s="13">
        <f>IF('Données projet'!$A$140&gt;35,CT42+CS43-DB42,IF(A43&lt;'Données projet'!$A$140,$CQ$205^A43,IF(A43='Données projet'!$A$140,'Données projet'!$B$140,CT42+CS43-DB42)))</f>
        <v>194.23076923076928</v>
      </c>
      <c r="CU43" s="18">
        <f>CT43*VLOOKUP('Données projet'!$B$13,Paramètres!$A$1:$I$89,3,0)*VLOOKUP('Données projet'!$B$13,Paramètres!$A$1:$I$89,5,0)</f>
        <v>130.29000000000002</v>
      </c>
      <c r="CV43" s="14">
        <f t="shared" si="41"/>
        <v>34.063361124931106</v>
      </c>
      <c r="CW43" s="22">
        <f t="shared" si="13"/>
        <v>286.24877062592168</v>
      </c>
      <c r="CX43" s="62">
        <f t="shared" si="14"/>
        <v>543.62105154302708</v>
      </c>
      <c r="CY43" s="62">
        <f ca="1">AVERAGE(OFFSET($CX$3,0,0,'Données projet'!$E$13+1,1))-AVERAGE(OFFSET($H$3,0,0,'Données projet'!$E$13+1,1))</f>
        <v>369.04754428478793</v>
      </c>
      <c r="CZ43" s="62">
        <f t="shared" si="42"/>
        <v>277.00523259351712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11.142857142857142</v>
      </c>
      <c r="DO43" s="13">
        <f>IF('Données projet'!$A$166&gt;35,DO42+DN43-DW42,IF(A43&lt;'Données projet'!$A$166,$DL$205^A43,IF(A43='Données projet'!$A$166,'Données projet'!$B$166,DO42+DN43-DW42)))</f>
        <v>185.42857142857139</v>
      </c>
      <c r="DP43" s="18">
        <f>DO43*VLOOKUP('Données projet'!$B$14,Paramètres!$A$1:$I$89,3,0)*VLOOKUP('Données projet'!$B$14,Paramètres!$A$1:$I$89,5,0)</f>
        <v>144.63428571428568</v>
      </c>
      <c r="DQ43" s="14">
        <f t="shared" si="43"/>
        <v>37.356634728420524</v>
      </c>
      <c r="DR43" s="22">
        <f t="shared" si="16"/>
        <v>316.96751977104663</v>
      </c>
      <c r="DS43" s="62">
        <f t="shared" si="17"/>
        <v>574.33980068815208</v>
      </c>
      <c r="DT43" s="62">
        <f ca="1">AVERAGE(OFFSET($DS$3,0,0,'Données projet'!$E$14+1,1))-AVERAGE(OFFSET($H$3,0,0,'Données projet'!$E$14+1,1))</f>
        <v>308.39181291575227</v>
      </c>
      <c r="DU43" s="62">
        <f t="shared" si="44"/>
        <v>298.58225298824334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158</v>
      </c>
      <c r="EH43" s="13">
        <f>VLOOKUP(A43,'Données projet'!$A$191:$I$211,9,0)</f>
        <v>8.4</v>
      </c>
      <c r="EI43" s="13">
        <f t="array" ref="EI43">INDEX(EH:EH,MIN(IF(ISNUMBER(EH43:EH239),ROW(EH43:EH239),"")))</f>
        <v>8.4</v>
      </c>
      <c r="EJ43" s="13">
        <f>IF('Données projet'!$A$192&gt;35,EJ42+EI43-ER42,IF(A43&lt;'Données projet'!$A$192,$EG$205^A43,IF(A43='Données projet'!$A$192,'Données projet'!$B$192,EJ42+EI43-ER42)))</f>
        <v>158.00000000000003</v>
      </c>
      <c r="EK43" s="18">
        <f>EJ43*VLOOKUP('Données projet'!$B$15,Paramètres!$A$1:$I$89,3,0)*VLOOKUP('Données projet'!$B$15,Paramètres!$A$1:$I$89,5,0)</f>
        <v>152.81760000000003</v>
      </c>
      <c r="EL43" s="14">
        <f t="shared" si="45"/>
        <v>39.218200171484227</v>
      </c>
      <c r="EM43" s="22">
        <f t="shared" si="19"/>
        <v>334.46235196533502</v>
      </c>
      <c r="EN43" s="62">
        <f t="shared" si="20"/>
        <v>591.83463288244047</v>
      </c>
      <c r="EO43" s="62">
        <f ca="1">AVERAGE(OFFSET($EN$3,0,0,'Données projet'!$E$15+1,1))-AVERAGE(OFFSET($H$3,0,0,'Données projet'!$E$15+1,1))</f>
        <v>487.76433095707876</v>
      </c>
      <c r="EP43" s="62">
        <f t="shared" si="46"/>
        <v>276.24209151398361</v>
      </c>
      <c r="EQ43" s="16">
        <f>IF(ISNA(VLOOKUP(A43,'Données projet'!$A$191:$I$211,3,0)),0,VLOOKUP(A43,'Données projet'!$A$191:$I$211,3,0))</f>
        <v>2</v>
      </c>
      <c r="ER43" s="16">
        <f>IF(ISNA(VLOOKUP(A43,'Données projet'!$A$191:$I$211,4,0)),0,VLOOKUP(A43,'Données projet'!$A$191:$I$211,4,0))</f>
        <v>42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158</v>
      </c>
      <c r="FC43" s="13">
        <f>VLOOKUP(A43,'Données projet'!$A$217:$I$237,9,0)</f>
        <v>8.4</v>
      </c>
      <c r="FD43" s="13">
        <f t="array" ref="FD43">INDEX(FC:FC,MIN(IF(ISNUMBER(FC43:FC239),ROW(FC43:FC239),"")))</f>
        <v>8.4</v>
      </c>
      <c r="FE43" s="13">
        <f>IF('Données projet'!$A$218&gt;35,FE42+FD43-FM42,IF(A43&lt;'Données projet'!$A$218,$FB$205^A43,IF(A43='Données projet'!$A$218,'Données projet'!$B$218,FE42+FD43-FM42)))</f>
        <v>158.00000000000003</v>
      </c>
      <c r="FF43" s="18">
        <f>FE43*VLOOKUP('Données projet'!$B$16,Paramètres!$A$1:$I$89,3,0)*VLOOKUP('Données projet'!$B$16,Paramètres!$A$1:$I$89,5,0)</f>
        <v>170.07120000000003</v>
      </c>
      <c r="FG43" s="14">
        <f t="shared" si="47"/>
        <v>43.10596962815594</v>
      </c>
      <c r="FH43" s="22">
        <f t="shared" si="22"/>
        <v>371.28357043570503</v>
      </c>
      <c r="FI43" s="62">
        <f t="shared" si="23"/>
        <v>628.65585135281049</v>
      </c>
      <c r="FJ43" s="62">
        <f ca="1">AVERAGE(OFFSET($FI$3,0,0,'Données projet'!$E$16+1,1))-AVERAGE(OFFSET($H$3,0,0,'Données projet'!$E$16+1,1))</f>
        <v>534.33392288300456</v>
      </c>
      <c r="FK43" s="62">
        <f t="shared" si="48"/>
        <v>300.93109615735477</v>
      </c>
      <c r="FL43" s="16">
        <f>IF(ISNA(VLOOKUP(A43,'Données projet'!$A$217:$I$237,3,0)),0,VLOOKUP(A43,'Données projet'!$A$217:$I$237,3,0))</f>
        <v>2</v>
      </c>
      <c r="FM43" s="16">
        <f>IF(ISNA(VLOOKUP(A43,'Données projet'!$A$217:$I$237,4,0)),0,VLOOKUP(A43,'Données projet'!$A$217:$I$237,4,0))</f>
        <v>42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175</v>
      </c>
      <c r="FX43" s="13">
        <f>VLOOKUP(A43,'Données projet'!$A$243:$I$263,9,0)</f>
        <v>6.9230769230769225</v>
      </c>
      <c r="FY43" s="13">
        <f t="array" ref="FY43">INDEX(FX:FX,MIN(IF(ISNUMBER(FX43:FX239),ROW(FX43:FX239),"")))</f>
        <v>6.9230769230769225</v>
      </c>
      <c r="FZ43" s="13">
        <f>IF('Données projet'!$A$244&gt;35,FZ42+FY43-GH42,IF(A43&lt;'Données projet'!$A$244,$FW$205^A43,IF(A43='Données projet'!$A$244,'Données projet'!$B$244,FZ42+FY43-GH42)))</f>
        <v>175.00000000000003</v>
      </c>
      <c r="GA43" s="18">
        <f>FZ43*VLOOKUP('Données projet'!$B$17,Paramètres!$A$1:$I$89,3,0)*VLOOKUP('Données projet'!$B$17,Paramètres!$A$1:$I$89,5,0)</f>
        <v>117.39000000000003</v>
      </c>
      <c r="GB43" s="14">
        <f t="shared" si="49"/>
        <v>31.065482772413461</v>
      </c>
      <c r="GC43" s="22">
        <f t="shared" si="25"/>
        <v>258.55996582862014</v>
      </c>
      <c r="GD43" s="62">
        <f t="shared" si="26"/>
        <v>515.93224674572559</v>
      </c>
      <c r="GE43" s="62">
        <f ca="1">AVERAGE(OFFSET($GD$3,0,0,'Données projet'!$E$17+1,1))-AVERAGE(OFFSET($H$3,0,0,'Données projet'!$E$17+1,1))</f>
        <v>316.17772895535211</v>
      </c>
      <c r="GF43" s="62">
        <f t="shared" si="50"/>
        <v>251.94445589652992</v>
      </c>
      <c r="GG43" s="16">
        <f>IF(ISNA(VLOOKUP(A43,'Données projet'!$A$243:$I$263,3,0)),0,VLOOKUP(A43,'Données projet'!$A$243:$I$263,3,0))</f>
        <v>3</v>
      </c>
      <c r="GH43" s="16">
        <f>IF(ISNA(VLOOKUP(A43,'Données projet'!$A$243:$I$263,4,0)),0,VLOOKUP(A43,'Données projet'!$A$243:$I$263,4,0))</f>
        <v>32.051282051282051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60.192440250119674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3.95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14.483333333333334</v>
      </c>
      <c r="H44" s="70">
        <f t="shared" si="1"/>
        <v>198.73333333333335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11.4</v>
      </c>
      <c r="N44" s="14">
        <f>IF('Données projet'!$A$36&gt;35,N43+M44-V43,IF(A44&lt;'Données projet'!$A$36,$K$205^A44,IF(A44='Données projet'!$A$36,'Données projet'!$B$36,N43+M44-V43)))</f>
        <v>186.40000000000003</v>
      </c>
      <c r="O44" s="14">
        <f>N44*VLOOKUP('Données projet'!$B$9,Paramètres!$A$1:$I$89,3,0)*VLOOKUP('Données projet'!$B$9,Paramètres!$A$1:$I$89,5,0)</f>
        <v>157.02336000000003</v>
      </c>
      <c r="P44" s="14">
        <f t="shared" si="33"/>
        <v>40.170393914171662</v>
      </c>
      <c r="Q44" s="22">
        <f t="shared" si="53"/>
        <v>343.44578806718232</v>
      </c>
      <c r="R44" s="62">
        <f t="shared" si="0"/>
        <v>601.44191284684052</v>
      </c>
      <c r="S44" s="62">
        <f ca="1">AVERAGE(OFFSET($R$3,0,0,'Données projet'!$E$9+1,1))-AVERAGE(OFFSET($H$3,0,0,'Données projet'!$E$9+1,1))</f>
        <v>508.93703669150443</v>
      </c>
      <c r="T44" s="62">
        <f t="shared" si="34"/>
        <v>277.04920840696707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8.4</v>
      </c>
      <c r="AI44" s="14">
        <f>IF('Données projet'!$A$62&gt;35,AI43+AH44-AQ43,IF(A44&lt;'Données projet'!$A$62,$AF$205^A44,IF(A44='Données projet'!$A$62,'Données projet'!$B$62,AI43+AH44-AQ43)))</f>
        <v>124.40000000000003</v>
      </c>
      <c r="AJ44" s="14">
        <f>AI44*VLOOKUP('Données projet'!$B$10,Paramètres!$A$1:$I$89,3,0)*VLOOKUP('Données projet'!$B$10,Paramètres!$A$1:$I$89,5,0)</f>
        <v>112.55712000000003</v>
      </c>
      <c r="AK44" s="14">
        <f t="shared" si="35"/>
        <v>29.932653834140599</v>
      </c>
      <c r="AL44" s="22">
        <f t="shared" si="4"/>
        <v>248.16968942779496</v>
      </c>
      <c r="AM44" s="62">
        <f t="shared" si="5"/>
        <v>506.16581420745308</v>
      </c>
      <c r="AN44" s="62">
        <f ca="1">AVERAGE(OFFSET($AM$3,0,0,'Données projet'!$E$10+1,1))-AVERAGE(OFFSET($H$3,0,0,'Données projet'!$E$10+1,1))</f>
        <v>461.10503306101145</v>
      </c>
      <c r="AO44" s="62">
        <f t="shared" si="36"/>
        <v>262.10652147273288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9.8000000000000007</v>
      </c>
      <c r="BD44" s="13">
        <f>IF('Données projet'!$A$88&gt;35,BD43+BC44-BL43,IF(A44&lt;'Données projet'!$A$88,$BA$205^A44,IF(A44='Données projet'!$A$88,'Données projet'!$B$88,BD43+BC44-BL43)))</f>
        <v>202.8</v>
      </c>
      <c r="BE44" s="14">
        <f>BD44*VLOOKUP('Données projet'!$B$11,Paramètres!$A$1:$I$89,3,0)*VLOOKUP('Données projet'!$B$11,Paramètres!$A$1:$I$89,5,0)</f>
        <v>161.34768000000003</v>
      </c>
      <c r="BF44" s="14">
        <f t="shared" si="37"/>
        <v>41.146339844316657</v>
      </c>
      <c r="BG44" s="22">
        <f t="shared" si="7"/>
        <v>352.6770845621848</v>
      </c>
      <c r="BH44" s="62">
        <f t="shared" si="8"/>
        <v>610.67320934184295</v>
      </c>
      <c r="BI44" s="62">
        <f ca="1">AVERAGE(OFFSET($BH$3,0,0,'Données projet'!$E$11+1,1))-AVERAGE(OFFSET($H$3,0,0,'Données projet'!$E$11+1,1))</f>
        <v>389.67854939311752</v>
      </c>
      <c r="BJ44" s="62">
        <f t="shared" si="38"/>
        <v>420.05189970516096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10.666250000000002</v>
      </c>
      <c r="BY44" s="13">
        <f>IF('Données projet'!$A$114&gt;35,BY43+BX44-CG43,IF(A44&lt;'Données projet'!$A$114,$BV$205^A44,IF(A44='Données projet'!$A$114,'Données projet'!$B$114,BY43+BX44-CG43)))</f>
        <v>206.99124999999987</v>
      </c>
      <c r="BZ44" s="14">
        <f>BY44*VLOOKUP('Données projet'!$B$12,Paramètres!$A$1:$I$89,3,0)*VLOOKUP('Données projet'!$B$12,Paramètres!$A$1:$I$89,5,0)</f>
        <v>118.39899499999993</v>
      </c>
      <c r="CA44" s="14">
        <f t="shared" si="39"/>
        <v>31.301299772844512</v>
      </c>
      <c r="CB44" s="22">
        <f t="shared" si="10"/>
        <v>260.7280133960374</v>
      </c>
      <c r="CC44" s="62">
        <f t="shared" si="11"/>
        <v>518.72413817569554</v>
      </c>
      <c r="CD44" s="62">
        <f ca="1">AVERAGE(OFFSET($CC$3,0,0,'Données projet'!$E$12+1,1))-AVERAGE(OFFSET($H$3,0,0,'Données projet'!$E$12+1,1))</f>
        <v>312.16891625633968</v>
      </c>
      <c r="CE44" s="62">
        <f t="shared" si="40"/>
        <v>215.34305815516177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8.8546303356492135</v>
      </c>
      <c r="CM44" s="23">
        <f>EXP(-LN(2)/2)*CM43+(1-EXP(-LN(2)/2))/(LN(2)/2)*CG44*CJ44*VLOOKUP('Données projet'!$B$12,Paramètres!$A$1:$I$89,3,0)*0.475*44/12</f>
        <v>0.18003801642860254</v>
      </c>
      <c r="CN44" s="24">
        <f t="shared" si="12"/>
        <v>9.0346683520778157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7.1794871794871771</v>
      </c>
      <c r="CT44" s="13">
        <f>IF('Données projet'!$A$140&gt;35,CT43+CS44-DB43,IF(A44&lt;'Données projet'!$A$140,$CQ$205^A44,IF(A44='Données projet'!$A$140,'Données projet'!$B$140,CT43+CS44-DB43)))</f>
        <v>201.41025641025647</v>
      </c>
      <c r="CU44" s="18">
        <f>CT44*VLOOKUP('Données projet'!$B$13,Paramètres!$A$1:$I$89,3,0)*VLOOKUP('Données projet'!$B$13,Paramètres!$A$1:$I$89,5,0)</f>
        <v>135.10600000000005</v>
      </c>
      <c r="CV44" s="14">
        <f t="shared" si="41"/>
        <v>35.173547605806888</v>
      </c>
      <c r="CW44" s="22">
        <f t="shared" si="13"/>
        <v>296.57021208011378</v>
      </c>
      <c r="CX44" s="62">
        <f t="shared" si="14"/>
        <v>554.56633685977192</v>
      </c>
      <c r="CY44" s="62">
        <f ca="1">AVERAGE(OFFSET($CX$3,0,0,'Données projet'!$E$13+1,1))-AVERAGE(OFFSET($H$3,0,0,'Données projet'!$E$13+1,1))</f>
        <v>369.04754428478793</v>
      </c>
      <c r="CZ44" s="62">
        <f t="shared" si="42"/>
        <v>277.00523259351712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11.142857142857142</v>
      </c>
      <c r="DO44" s="13">
        <f>IF('Données projet'!$A$166&gt;35,DO43+DN44-DW43,IF(A44&lt;'Données projet'!$A$166,$DL$205^A44,IF(A44='Données projet'!$A$166,'Données projet'!$B$166,DO43+DN44-DW43)))</f>
        <v>196.57142857142853</v>
      </c>
      <c r="DP44" s="18">
        <f>DO44*VLOOKUP('Données projet'!$B$14,Paramètres!$A$1:$I$89,3,0)*VLOOKUP('Données projet'!$B$14,Paramètres!$A$1:$I$89,5,0)</f>
        <v>153.32571428571427</v>
      </c>
      <c r="DQ44" s="14">
        <f t="shared" si="43"/>
        <v>39.33339883761419</v>
      </c>
      <c r="DR44" s="22">
        <f t="shared" si="16"/>
        <v>335.54795535646372</v>
      </c>
      <c r="DS44" s="62">
        <f t="shared" si="17"/>
        <v>593.54408013612192</v>
      </c>
      <c r="DT44" s="62">
        <f ca="1">AVERAGE(OFFSET($DS$3,0,0,'Données projet'!$E$14+1,1))-AVERAGE(OFFSET($H$3,0,0,'Données projet'!$E$14+1,1))</f>
        <v>308.39181291575227</v>
      </c>
      <c r="DU44" s="62">
        <f t="shared" si="44"/>
        <v>298.58225298824334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8.4</v>
      </c>
      <c r="EJ44" s="13">
        <f>IF('Données projet'!$A$192&gt;35,EJ43+EI44-ER43,IF(A44&lt;'Données projet'!$A$192,$EG$205^A44,IF(A44='Données projet'!$A$192,'Données projet'!$B$192,EJ43+EI44-ER43)))</f>
        <v>124.40000000000003</v>
      </c>
      <c r="EK44" s="18">
        <f>EJ44*VLOOKUP('Données projet'!$B$15,Paramètres!$A$1:$I$89,3,0)*VLOOKUP('Données projet'!$B$15,Paramètres!$A$1:$I$89,5,0)</f>
        <v>120.31968000000002</v>
      </c>
      <c r="EL44" s="14">
        <f t="shared" si="45"/>
        <v>31.74954785566829</v>
      </c>
      <c r="EM44" s="22">
        <f t="shared" si="19"/>
        <v>264.85390518195561</v>
      </c>
      <c r="EN44" s="62">
        <f t="shared" si="20"/>
        <v>522.8500299616137</v>
      </c>
      <c r="EO44" s="62">
        <f ca="1">AVERAGE(OFFSET($EN$3,0,0,'Données projet'!$E$15+1,1))-AVERAGE(OFFSET($H$3,0,0,'Données projet'!$E$15+1,1))</f>
        <v>487.76433095707876</v>
      </c>
      <c r="EP44" s="62">
        <f t="shared" si="46"/>
        <v>276.24209151398361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8.4</v>
      </c>
      <c r="FE44" s="13">
        <f>IF('Données projet'!$A$218&gt;35,FE43+FD44-FM43,IF(A44&lt;'Données projet'!$A$218,$FB$205^A44,IF(A44='Données projet'!$A$218,'Données projet'!$B$218,FE43+FD44-FM43)))</f>
        <v>124.40000000000003</v>
      </c>
      <c r="FF44" s="18">
        <f>FE44*VLOOKUP('Données projet'!$B$16,Paramètres!$A$1:$I$89,3,0)*VLOOKUP('Données projet'!$B$16,Paramètres!$A$1:$I$89,5,0)</f>
        <v>133.90416000000002</v>
      </c>
      <c r="FG44" s="14">
        <f t="shared" si="47"/>
        <v>34.896936615903982</v>
      </c>
      <c r="FH44" s="22">
        <f t="shared" si="22"/>
        <v>293.99524327269938</v>
      </c>
      <c r="FI44" s="62">
        <f t="shared" si="23"/>
        <v>551.99136805235753</v>
      </c>
      <c r="FJ44" s="62">
        <f ca="1">AVERAGE(OFFSET($FI$3,0,0,'Données projet'!$E$16+1,1))-AVERAGE(OFFSET($H$3,0,0,'Données projet'!$E$16+1,1))</f>
        <v>534.33392288300456</v>
      </c>
      <c r="FK44" s="62">
        <f t="shared" si="48"/>
        <v>300.93109615735477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6.2820512820512819</v>
      </c>
      <c r="FZ44" s="13">
        <f>IF('Données projet'!$A$244&gt;35,FZ43+FY44-GH43,IF(A44&lt;'Données projet'!$A$244,$FW$205^A44,IF(A44='Données projet'!$A$244,'Données projet'!$B$244,FZ43+FY44-GH43)))</f>
        <v>149.23076923076925</v>
      </c>
      <c r="GA44" s="18">
        <f>FZ44*VLOOKUP('Données projet'!$B$17,Paramètres!$A$1:$I$89,3,0)*VLOOKUP('Données projet'!$B$17,Paramètres!$A$1:$I$89,5,0)</f>
        <v>100.10400000000001</v>
      </c>
      <c r="GB44" s="14">
        <f t="shared" si="49"/>
        <v>26.986772615130164</v>
      </c>
      <c r="GC44" s="22">
        <f t="shared" si="25"/>
        <v>221.34976230468507</v>
      </c>
      <c r="GD44" s="62">
        <f t="shared" si="26"/>
        <v>479.34588708434319</v>
      </c>
      <c r="GE44" s="62">
        <f ca="1">AVERAGE(OFFSET($GD$3,0,0,'Données projet'!$E$17+1,1))-AVERAGE(OFFSET($H$3,0,0,'Données projet'!$E$17+1,1))</f>
        <v>316.17772895535211</v>
      </c>
      <c r="GF44" s="62">
        <f t="shared" si="50"/>
        <v>251.94445589652992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60.362579485361309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3.95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14.483333333333334</v>
      </c>
      <c r="H45" s="70">
        <f t="shared" si="1"/>
        <v>198.73333333333335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11.4</v>
      </c>
      <c r="N45" s="14">
        <f>IF('Données projet'!$A$36&gt;35,N44+M45-V44,IF(A45&lt;'Données projet'!$A$36,$K$205^A45,IF(A45='Données projet'!$A$36,'Données projet'!$B$36,N44+M45-V44)))</f>
        <v>197.80000000000004</v>
      </c>
      <c r="O45" s="14">
        <f>N45*VLOOKUP('Données projet'!$B$9,Paramètres!$A$1:$I$89,3,0)*VLOOKUP('Données projet'!$B$9,Paramètres!$A$1:$I$89,5,0)</f>
        <v>166.62672000000003</v>
      </c>
      <c r="P45" s="14">
        <f t="shared" si="33"/>
        <v>42.333642074689422</v>
      </c>
      <c r="Q45" s="22">
        <f t="shared" si="53"/>
        <v>363.93929728008408</v>
      </c>
      <c r="R45" s="62">
        <f t="shared" si="0"/>
        <v>622.54844362598556</v>
      </c>
      <c r="S45" s="62">
        <f ca="1">AVERAGE(OFFSET($R$3,0,0,'Données projet'!$E$9+1,1))-AVERAGE(OFFSET($H$3,0,0,'Données projet'!$E$9+1,1))</f>
        <v>508.93703669150443</v>
      </c>
      <c r="T45" s="62">
        <f t="shared" si="34"/>
        <v>277.04920840696707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8.4</v>
      </c>
      <c r="AI45" s="14">
        <f>IF('Données projet'!$A$62&gt;35,AI44+AH45-AQ44,IF(A45&lt;'Données projet'!$A$62,$AF$205^A45,IF(A45='Données projet'!$A$62,'Données projet'!$B$62,AI44+AH45-AQ44)))</f>
        <v>132.80000000000004</v>
      </c>
      <c r="AJ45" s="14">
        <f>AI45*VLOOKUP('Données projet'!$B$10,Paramètres!$A$1:$I$89,3,0)*VLOOKUP('Données projet'!$B$10,Paramètres!$A$1:$I$89,5,0)</f>
        <v>120.15744000000002</v>
      </c>
      <c r="AK45" s="14">
        <f t="shared" si="35"/>
        <v>31.711716786129845</v>
      </c>
      <c r="AL45" s="22">
        <f t="shared" si="4"/>
        <v>264.50544806917623</v>
      </c>
      <c r="AM45" s="62">
        <f t="shared" si="5"/>
        <v>523.11459441507759</v>
      </c>
      <c r="AN45" s="62">
        <f ca="1">AVERAGE(OFFSET($AM$3,0,0,'Données projet'!$E$10+1,1))-AVERAGE(OFFSET($H$3,0,0,'Données projet'!$E$10+1,1))</f>
        <v>461.10503306101145</v>
      </c>
      <c r="AO45" s="62">
        <f t="shared" si="36"/>
        <v>262.10652147273288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9.8000000000000007</v>
      </c>
      <c r="BD45" s="13">
        <f>IF('Données projet'!$A$88&gt;35,BD44+BC45-BL44,IF(A45&lt;'Données projet'!$A$88,$BA$205^A45,IF(A45='Données projet'!$A$88,'Données projet'!$B$88,BD44+BC45-BL44)))</f>
        <v>212.60000000000002</v>
      </c>
      <c r="BE45" s="14">
        <f>BD45*VLOOKUP('Données projet'!$B$11,Paramètres!$A$1:$I$89,3,0)*VLOOKUP('Données projet'!$B$11,Paramètres!$A$1:$I$89,5,0)</f>
        <v>169.14456000000004</v>
      </c>
      <c r="BF45" s="14">
        <f t="shared" si="37"/>
        <v>42.898377267189964</v>
      </c>
      <c r="BG45" s="22">
        <f t="shared" si="7"/>
        <v>369.30811574035596</v>
      </c>
      <c r="BH45" s="62">
        <f t="shared" si="8"/>
        <v>627.91726208625732</v>
      </c>
      <c r="BI45" s="62">
        <f ca="1">AVERAGE(OFFSET($BH$3,0,0,'Données projet'!$E$11+1,1))-AVERAGE(OFFSET($H$3,0,0,'Données projet'!$E$11+1,1))</f>
        <v>389.67854939311752</v>
      </c>
      <c r="BJ45" s="62">
        <f t="shared" si="38"/>
        <v>420.05189970516096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10.666250000000002</v>
      </c>
      <c r="BY45" s="13">
        <f>IF('Données projet'!$A$114&gt;35,BY44+BX45-CG44,IF(A45&lt;'Données projet'!$A$114,$BV$205^A45,IF(A45='Données projet'!$A$114,'Données projet'!$B$114,BY44+BX45-CG44)))</f>
        <v>217.65749999999986</v>
      </c>
      <c r="BZ45" s="14">
        <f>BY45*VLOOKUP('Données projet'!$B$12,Paramètres!$A$1:$I$89,3,0)*VLOOKUP('Données projet'!$B$12,Paramètres!$A$1:$I$89,5,0)</f>
        <v>124.50008999999993</v>
      </c>
      <c r="CA45" s="14">
        <f t="shared" si="39"/>
        <v>32.722311997881867</v>
      </c>
      <c r="CB45" s="22">
        <f t="shared" si="10"/>
        <v>273.8290168129775</v>
      </c>
      <c r="CC45" s="62">
        <f t="shared" si="11"/>
        <v>532.43816315887898</v>
      </c>
      <c r="CD45" s="62">
        <f ca="1">AVERAGE(OFFSET($CC$3,0,0,'Données projet'!$E$12+1,1))-AVERAGE(OFFSET($H$3,0,0,'Données projet'!$E$12+1,1))</f>
        <v>312.16891625633968</v>
      </c>
      <c r="CE45" s="62">
        <f t="shared" si="40"/>
        <v>215.34305815516177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8.6125000034761143</v>
      </c>
      <c r="CM45" s="23">
        <f>EXP(-LN(2)/2)*CM44+(1-EXP(-LN(2)/2))/(LN(2)/2)*CG45*CJ45*VLOOKUP('Données projet'!$B$12,Paramètres!$A$1:$I$89,3,0)*0.475*44/12</f>
        <v>0.1273061022880399</v>
      </c>
      <c r="CN45" s="24">
        <f t="shared" si="12"/>
        <v>8.7398061057641545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7.1794871794871771</v>
      </c>
      <c r="CT45" s="13">
        <f>IF('Données projet'!$A$140&gt;35,CT44+CS45-DB44,IF(A45&lt;'Données projet'!$A$140,$CQ$205^A45,IF(A45='Données projet'!$A$140,'Données projet'!$B$140,CT44+CS45-DB44)))</f>
        <v>208.58974358974365</v>
      </c>
      <c r="CU45" s="18">
        <f>CT45*VLOOKUP('Données projet'!$B$13,Paramètres!$A$1:$I$89,3,0)*VLOOKUP('Données projet'!$B$13,Paramètres!$A$1:$I$89,5,0)</f>
        <v>139.92200000000005</v>
      </c>
      <c r="CV45" s="14">
        <f t="shared" si="41"/>
        <v>36.279136210794348</v>
      </c>
      <c r="CW45" s="22">
        <f t="shared" si="13"/>
        <v>306.88364556713356</v>
      </c>
      <c r="CX45" s="62">
        <f t="shared" si="14"/>
        <v>565.49279191303503</v>
      </c>
      <c r="CY45" s="62">
        <f ca="1">AVERAGE(OFFSET($CX$3,0,0,'Données projet'!$E$13+1,1))-AVERAGE(OFFSET($H$3,0,0,'Données projet'!$E$13+1,1))</f>
        <v>369.04754428478793</v>
      </c>
      <c r="CZ45" s="62">
        <f t="shared" si="42"/>
        <v>277.00523259351712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11.142857142857142</v>
      </c>
      <c r="DO45" s="13">
        <f>IF('Données projet'!$A$166&gt;35,DO44+DN45-DW44,IF(A45&lt;'Données projet'!$A$166,$DL$205^A45,IF(A45='Données projet'!$A$166,'Données projet'!$B$166,DO44+DN45-DW44)))</f>
        <v>207.71428571428567</v>
      </c>
      <c r="DP45" s="18">
        <f>DO45*VLOOKUP('Données projet'!$B$14,Paramètres!$A$1:$I$89,3,0)*VLOOKUP('Données projet'!$B$14,Paramètres!$A$1:$I$89,5,0)</f>
        <v>162.01714285714283</v>
      </c>
      <c r="DQ45" s="14">
        <f t="shared" si="43"/>
        <v>41.297155335096676</v>
      </c>
      <c r="DR45" s="22">
        <f t="shared" si="16"/>
        <v>354.10573601815048</v>
      </c>
      <c r="DS45" s="62">
        <f t="shared" si="17"/>
        <v>612.71488236405185</v>
      </c>
      <c r="DT45" s="62">
        <f ca="1">AVERAGE(OFFSET($DS$3,0,0,'Données projet'!$E$14+1,1))-AVERAGE(OFFSET($H$3,0,0,'Données projet'!$E$14+1,1))</f>
        <v>308.39181291575227</v>
      </c>
      <c r="DU45" s="62">
        <f t="shared" si="44"/>
        <v>298.58225298824334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8.4</v>
      </c>
      <c r="EJ45" s="13">
        <f>IF('Données projet'!$A$192&gt;35,EJ44+EI45-ER44,IF(A45&lt;'Données projet'!$A$192,$EG$205^A45,IF(A45='Données projet'!$A$192,'Données projet'!$B$192,EJ44+EI45-ER44)))</f>
        <v>132.80000000000004</v>
      </c>
      <c r="EK45" s="18">
        <f>EJ45*VLOOKUP('Données projet'!$B$15,Paramètres!$A$1:$I$89,3,0)*VLOOKUP('Données projet'!$B$15,Paramètres!$A$1:$I$89,5,0)</f>
        <v>128.44416000000004</v>
      </c>
      <c r="EL45" s="14">
        <f t="shared" si="45"/>
        <v>33.636598855068954</v>
      </c>
      <c r="EM45" s="22">
        <f t="shared" si="19"/>
        <v>282.29065500591184</v>
      </c>
      <c r="EN45" s="62">
        <f t="shared" si="20"/>
        <v>540.89980135181327</v>
      </c>
      <c r="EO45" s="62">
        <f ca="1">AVERAGE(OFFSET($EN$3,0,0,'Données projet'!$E$15+1,1))-AVERAGE(OFFSET($H$3,0,0,'Données projet'!$E$15+1,1))</f>
        <v>487.76433095707876</v>
      </c>
      <c r="EP45" s="62">
        <f t="shared" si="46"/>
        <v>276.24209151398361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8.4</v>
      </c>
      <c r="FE45" s="13">
        <f>IF('Données projet'!$A$218&gt;35,FE44+FD45-FM44,IF(A45&lt;'Données projet'!$A$218,$FB$205^A45,IF(A45='Données projet'!$A$218,'Données projet'!$B$218,FE44+FD45-FM44)))</f>
        <v>132.80000000000004</v>
      </c>
      <c r="FF45" s="18">
        <f>FE45*VLOOKUP('Données projet'!$B$16,Paramètres!$A$1:$I$89,3,0)*VLOOKUP('Données projet'!$B$16,Paramètres!$A$1:$I$89,5,0)</f>
        <v>142.94592000000003</v>
      </c>
      <c r="FG45" s="14">
        <f t="shared" si="47"/>
        <v>36.971054314096854</v>
      </c>
      <c r="FH45" s="22">
        <f t="shared" si="22"/>
        <v>313.35539693038538</v>
      </c>
      <c r="FI45" s="62">
        <f t="shared" si="23"/>
        <v>571.9645432762868</v>
      </c>
      <c r="FJ45" s="62">
        <f ca="1">AVERAGE(OFFSET($FI$3,0,0,'Données projet'!$E$16+1,1))-AVERAGE(OFFSET($H$3,0,0,'Données projet'!$E$16+1,1))</f>
        <v>534.33392288300456</v>
      </c>
      <c r="FK45" s="62">
        <f t="shared" si="48"/>
        <v>300.93109615735477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6.2820512820512819</v>
      </c>
      <c r="FZ45" s="13">
        <f>IF('Données projet'!$A$244&gt;35,FZ44+FY45-GH44,IF(A45&lt;'Données projet'!$A$244,$FW$205^A45,IF(A45='Données projet'!$A$244,'Données projet'!$B$244,FZ44+FY45-GH44)))</f>
        <v>155.51282051282053</v>
      </c>
      <c r="GA45" s="18">
        <f>FZ45*VLOOKUP('Données projet'!$B$17,Paramètres!$A$1:$I$89,3,0)*VLOOKUP('Données projet'!$B$17,Paramètres!$A$1:$I$89,5,0)</f>
        <v>104.31800000000001</v>
      </c>
      <c r="GB45" s="14">
        <f t="shared" si="49"/>
        <v>27.988156910132275</v>
      </c>
      <c r="GC45" s="22">
        <f t="shared" si="25"/>
        <v>230.43322328514708</v>
      </c>
      <c r="GD45" s="62">
        <f t="shared" si="26"/>
        <v>489.04236963104847</v>
      </c>
      <c r="GE45" s="62">
        <f ca="1">AVERAGE(OFFSET($GD$3,0,0,'Données projet'!$E$17+1,1))-AVERAGE(OFFSET($H$3,0,0,'Données projet'!$E$17+1,1))</f>
        <v>316.17772895535211</v>
      </c>
      <c r="GF45" s="62">
        <f t="shared" si="50"/>
        <v>251.94445589652992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60.529767185245845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3.95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14.483333333333334</v>
      </c>
      <c r="H46" s="70">
        <f t="shared" si="1"/>
        <v>198.73333333333335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11.4</v>
      </c>
      <c r="N46" s="14">
        <f>IF('Données projet'!$A$36&gt;35,N45+M46-V45,IF(A46&lt;'Données projet'!$A$36,$K$205^A46,IF(A46='Données projet'!$A$36,'Données projet'!$B$36,N45+M46-V45)))</f>
        <v>209.20000000000005</v>
      </c>
      <c r="O46" s="14">
        <f>N46*VLOOKUP('Données projet'!$B$9,Paramètres!$A$1:$I$89,3,0)*VLOOKUP('Données projet'!$B$9,Paramètres!$A$1:$I$89,5,0)</f>
        <v>176.23008000000004</v>
      </c>
      <c r="P46" s="14">
        <f t="shared" si="33"/>
        <v>44.482417993768294</v>
      </c>
      <c r="Q46" s="22">
        <f t="shared" si="53"/>
        <v>384.40760067247987</v>
      </c>
      <c r="R46" s="62">
        <f t="shared" si="0"/>
        <v>643.61913403096128</v>
      </c>
      <c r="S46" s="62">
        <f ca="1">AVERAGE(OFFSET($R$3,0,0,'Données projet'!$E$9+1,1))-AVERAGE(OFFSET($H$3,0,0,'Données projet'!$E$9+1,1))</f>
        <v>508.93703669150443</v>
      </c>
      <c r="T46" s="62">
        <f t="shared" si="34"/>
        <v>277.04920840696707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8.4</v>
      </c>
      <c r="AI46" s="14">
        <f>IF('Données projet'!$A$62&gt;35,AI45+AH46-AQ45,IF(A46&lt;'Données projet'!$A$62,$AF$205^A46,IF(A46='Données projet'!$A$62,'Données projet'!$B$62,AI45+AH46-AQ45)))</f>
        <v>141.20000000000005</v>
      </c>
      <c r="AJ46" s="14">
        <f>AI46*VLOOKUP('Données projet'!$B$10,Paramètres!$A$1:$I$89,3,0)*VLOOKUP('Données projet'!$B$10,Paramètres!$A$1:$I$89,5,0)</f>
        <v>127.75776000000003</v>
      </c>
      <c r="AK46" s="14">
        <f t="shared" si="35"/>
        <v>33.477720030956604</v>
      </c>
      <c r="AL46" s="22">
        <f t="shared" si="4"/>
        <v>280.81846105391611</v>
      </c>
      <c r="AM46" s="62">
        <f t="shared" si="5"/>
        <v>540.0299944123974</v>
      </c>
      <c r="AN46" s="62">
        <f ca="1">AVERAGE(OFFSET($AM$3,0,0,'Données projet'!$E$10+1,1))-AVERAGE(OFFSET($H$3,0,0,'Données projet'!$E$10+1,1))</f>
        <v>461.10503306101145</v>
      </c>
      <c r="AO46" s="62">
        <f t="shared" si="36"/>
        <v>262.10652147273288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9.8000000000000007</v>
      </c>
      <c r="BD46" s="13">
        <f>IF('Données projet'!$A$88&gt;35,BD45+BC46-BL45,IF(A46&lt;'Données projet'!$A$88,$BA$205^A46,IF(A46='Données projet'!$A$88,'Données projet'!$B$88,BD45+BC46-BL45)))</f>
        <v>222.40000000000003</v>
      </c>
      <c r="BE46" s="14">
        <f>BD46*VLOOKUP('Données projet'!$B$11,Paramètres!$A$1:$I$89,3,0)*VLOOKUP('Données projet'!$B$11,Paramètres!$A$1:$I$89,5,0)</f>
        <v>176.94144000000003</v>
      </c>
      <c r="BF46" s="14">
        <f t="shared" si="37"/>
        <v>44.641035679901449</v>
      </c>
      <c r="BG46" s="22">
        <f t="shared" si="7"/>
        <v>385.92281180916171</v>
      </c>
      <c r="BH46" s="62">
        <f t="shared" si="8"/>
        <v>645.134345167643</v>
      </c>
      <c r="BI46" s="62">
        <f ca="1">AVERAGE(OFFSET($BH$3,0,0,'Données projet'!$E$11+1,1))-AVERAGE(OFFSET($H$3,0,0,'Données projet'!$E$11+1,1))</f>
        <v>389.67854939311752</v>
      </c>
      <c r="BJ46" s="62">
        <f t="shared" si="38"/>
        <v>420.05189970516096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10.666250000000002</v>
      </c>
      <c r="BY46" s="13">
        <f>IF('Données projet'!$A$114&gt;35,BY45+BX46-CG45,IF(A46&lt;'Données projet'!$A$114,$BV$205^A46,IF(A46='Données projet'!$A$114,'Données projet'!$B$114,BY45+BX46-CG45)))</f>
        <v>228.32374999999985</v>
      </c>
      <c r="BZ46" s="14">
        <f>BY46*VLOOKUP('Données projet'!$B$12,Paramètres!$A$1:$I$89,3,0)*VLOOKUP('Données projet'!$B$12,Paramètres!$A$1:$I$89,5,0)</f>
        <v>130.60118499999993</v>
      </c>
      <c r="CA46" s="14">
        <f t="shared" si="39"/>
        <v>34.135238210083891</v>
      </c>
      <c r="CB46" s="22">
        <f t="shared" si="10"/>
        <v>286.91593709089597</v>
      </c>
      <c r="CC46" s="62">
        <f t="shared" si="11"/>
        <v>546.12747044937737</v>
      </c>
      <c r="CD46" s="62">
        <f ca="1">AVERAGE(OFFSET($CC$3,0,0,'Données projet'!$E$12+1,1))-AVERAGE(OFFSET($H$3,0,0,'Données projet'!$E$12+1,1))</f>
        <v>312.16891625633968</v>
      </c>
      <c r="CE46" s="62">
        <f t="shared" si="40"/>
        <v>215.34305815516177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8.3769907379693684</v>
      </c>
      <c r="CM46" s="23">
        <f>EXP(-LN(2)/2)*CM45+(1-EXP(-LN(2)/2))/(LN(2)/2)*CG46*CJ46*VLOOKUP('Données projet'!$B$12,Paramètres!$A$1:$I$89,3,0)*0.475*44/12</f>
        <v>9.0019008214301269E-2</v>
      </c>
      <c r="CN46" s="24">
        <f t="shared" si="12"/>
        <v>8.4670097461836704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7.1794871794871771</v>
      </c>
      <c r="CT46" s="13">
        <f>IF('Données projet'!$A$140&gt;35,CT45+CS46-DB45,IF(A46&lt;'Données projet'!$A$140,$CQ$205^A46,IF(A46='Données projet'!$A$140,'Données projet'!$B$140,CT45+CS46-DB45)))</f>
        <v>215.76923076923083</v>
      </c>
      <c r="CU46" s="18">
        <f>CT46*VLOOKUP('Données projet'!$B$13,Paramètres!$A$1:$I$89,3,0)*VLOOKUP('Données projet'!$B$13,Paramètres!$A$1:$I$89,5,0)</f>
        <v>144.73800000000003</v>
      </c>
      <c r="CV46" s="14">
        <f t="shared" si="41"/>
        <v>37.38030333322336</v>
      </c>
      <c r="CW46" s="22">
        <f t="shared" si="13"/>
        <v>317.18937830536407</v>
      </c>
      <c r="CX46" s="62">
        <f t="shared" si="14"/>
        <v>576.40091166384536</v>
      </c>
      <c r="CY46" s="62">
        <f ca="1">AVERAGE(OFFSET($CX$3,0,0,'Données projet'!$E$13+1,1))-AVERAGE(OFFSET($H$3,0,0,'Données projet'!$E$13+1,1))</f>
        <v>369.04754428478793</v>
      </c>
      <c r="CZ46" s="62">
        <f t="shared" si="42"/>
        <v>277.00523259351712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11.142857142857142</v>
      </c>
      <c r="DO46" s="13">
        <f>IF('Données projet'!$A$166&gt;35,DO45+DN46-DW45,IF(A46&lt;'Données projet'!$A$166,$DL$205^A46,IF(A46='Données projet'!$A$166,'Données projet'!$B$166,DO45+DN46-DW45)))</f>
        <v>218.8571428571428</v>
      </c>
      <c r="DP46" s="18">
        <f>DO46*VLOOKUP('Données projet'!$B$14,Paramètres!$A$1:$I$89,3,0)*VLOOKUP('Données projet'!$B$14,Paramètres!$A$1:$I$89,5,0)</f>
        <v>170.70857142857139</v>
      </c>
      <c r="DQ46" s="14">
        <f t="shared" si="43"/>
        <v>43.248681576985412</v>
      </c>
      <c r="DR46" s="22">
        <f t="shared" si="16"/>
        <v>372.64221565134471</v>
      </c>
      <c r="DS46" s="62">
        <f t="shared" si="17"/>
        <v>631.85374900982606</v>
      </c>
      <c r="DT46" s="62">
        <f ca="1">AVERAGE(OFFSET($DS$3,0,0,'Données projet'!$E$14+1,1))-AVERAGE(OFFSET($H$3,0,0,'Données projet'!$E$14+1,1))</f>
        <v>308.39181291575227</v>
      </c>
      <c r="DU46" s="62">
        <f t="shared" si="44"/>
        <v>298.58225298824334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8.4</v>
      </c>
      <c r="EJ46" s="13">
        <f>IF('Données projet'!$A$192&gt;35,EJ45+EI46-ER45,IF(A46&lt;'Données projet'!$A$192,$EG$205^A46,IF(A46='Données projet'!$A$192,'Données projet'!$B$192,EJ45+EI46-ER45)))</f>
        <v>141.20000000000005</v>
      </c>
      <c r="EK46" s="18">
        <f>EJ46*VLOOKUP('Données projet'!$B$15,Paramètres!$A$1:$I$89,3,0)*VLOOKUP('Données projet'!$B$15,Paramètres!$A$1:$I$89,5,0)</f>
        <v>136.56864000000004</v>
      </c>
      <c r="EL46" s="14">
        <f t="shared" si="45"/>
        <v>35.509797430964703</v>
      </c>
      <c r="EM46" s="22">
        <f t="shared" si="19"/>
        <v>299.70327852559694</v>
      </c>
      <c r="EN46" s="62">
        <f t="shared" si="20"/>
        <v>558.91481188407829</v>
      </c>
      <c r="EO46" s="62">
        <f ca="1">AVERAGE(OFFSET($EN$3,0,0,'Données projet'!$E$15+1,1))-AVERAGE(OFFSET($H$3,0,0,'Données projet'!$E$15+1,1))</f>
        <v>487.76433095707876</v>
      </c>
      <c r="EP46" s="62">
        <f t="shared" si="46"/>
        <v>276.24209151398361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8.4</v>
      </c>
      <c r="FE46" s="13">
        <f>IF('Données projet'!$A$218&gt;35,FE45+FD46-FM45,IF(A46&lt;'Données projet'!$A$218,$FB$205^A46,IF(A46='Données projet'!$A$218,'Données projet'!$B$218,FE45+FD46-FM45)))</f>
        <v>141.20000000000005</v>
      </c>
      <c r="FF46" s="18">
        <f>FE46*VLOOKUP('Données projet'!$B$16,Paramètres!$A$1:$I$89,3,0)*VLOOKUP('Données projet'!$B$16,Paramètres!$A$1:$I$89,5,0)</f>
        <v>151.98768000000004</v>
      </c>
      <c r="FG46" s="14">
        <f t="shared" si="47"/>
        <v>39.029946373574369</v>
      </c>
      <c r="FH46" s="22">
        <f t="shared" si="22"/>
        <v>332.68903260064207</v>
      </c>
      <c r="FI46" s="62">
        <f t="shared" si="23"/>
        <v>591.90056595912347</v>
      </c>
      <c r="FJ46" s="62">
        <f ca="1">AVERAGE(OFFSET($FI$3,0,0,'Données projet'!$E$16+1,1))-AVERAGE(OFFSET($H$3,0,0,'Données projet'!$E$16+1,1))</f>
        <v>534.33392288300456</v>
      </c>
      <c r="FK46" s="62">
        <f t="shared" si="48"/>
        <v>300.93109615735477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6.2820512820512819</v>
      </c>
      <c r="FZ46" s="13">
        <f>IF('Données projet'!$A$244&gt;35,FZ45+FY46-GH45,IF(A46&lt;'Données projet'!$A$244,$FW$205^A46,IF(A46='Données projet'!$A$244,'Données projet'!$B$244,FZ45+FY46-GH45)))</f>
        <v>161.7948717948718</v>
      </c>
      <c r="GA46" s="18">
        <f>FZ46*VLOOKUP('Données projet'!$B$17,Paramètres!$A$1:$I$89,3,0)*VLOOKUP('Données projet'!$B$17,Paramètres!$A$1:$I$89,5,0)</f>
        <v>108.532</v>
      </c>
      <c r="GB46" s="14">
        <f t="shared" si="49"/>
        <v>28.984842338071154</v>
      </c>
      <c r="GC46" s="22">
        <f t="shared" si="25"/>
        <v>239.50850040547391</v>
      </c>
      <c r="GD46" s="62">
        <f t="shared" si="26"/>
        <v>498.72003376395526</v>
      </c>
      <c r="GE46" s="62">
        <f ca="1">AVERAGE(OFFSET($GD$3,0,0,'Données projet'!$E$17+1,1))-AVERAGE(OFFSET($H$3,0,0,'Données projet'!$E$17+1,1))</f>
        <v>316.17772895535211</v>
      </c>
      <c r="GF46" s="62">
        <f t="shared" si="50"/>
        <v>251.94445589652992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60.694054552313091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3.95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14.483333333333334</v>
      </c>
      <c r="H47" s="70">
        <f t="shared" si="1"/>
        <v>198.73333333333335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11.4</v>
      </c>
      <c r="N47" s="14">
        <f>IF('Données projet'!$A$36&gt;35,N46+M47-V46,IF(A47&lt;'Données projet'!$A$36,$K$205^A47,IF(A47='Données projet'!$A$36,'Données projet'!$B$36,N46+M47-V46)))</f>
        <v>220.60000000000005</v>
      </c>
      <c r="O47" s="14">
        <f>N47*VLOOKUP('Données projet'!$B$9,Paramètres!$A$1:$I$89,3,0)*VLOOKUP('Données projet'!$B$9,Paramètres!$A$1:$I$89,5,0)</f>
        <v>185.83344000000005</v>
      </c>
      <c r="P47" s="14">
        <f t="shared" si="33"/>
        <v>46.617600215670045</v>
      </c>
      <c r="Q47" s="22">
        <f t="shared" si="53"/>
        <v>404.85222837562537</v>
      </c>
      <c r="R47" s="62">
        <f t="shared" si="0"/>
        <v>664.65569867875388</v>
      </c>
      <c r="S47" s="62">
        <f ca="1">AVERAGE(OFFSET($R$3,0,0,'Données projet'!$E$9+1,1))-AVERAGE(OFFSET($H$3,0,0,'Données projet'!$E$9+1,1))</f>
        <v>508.93703669150443</v>
      </c>
      <c r="T47" s="62">
        <f t="shared" si="34"/>
        <v>277.04920840696707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8.4</v>
      </c>
      <c r="AI47" s="14">
        <f>IF('Données projet'!$A$62&gt;35,AI46+AH47-AQ46,IF(A47&lt;'Données projet'!$A$62,$AF$205^A47,IF(A47='Données projet'!$A$62,'Données projet'!$B$62,AI46+AH47-AQ46)))</f>
        <v>149.60000000000005</v>
      </c>
      <c r="AJ47" s="14">
        <f>AI47*VLOOKUP('Données projet'!$B$10,Paramètres!$A$1:$I$89,3,0)*VLOOKUP('Données projet'!$B$10,Paramètres!$A$1:$I$89,5,0)</f>
        <v>135.35808000000006</v>
      </c>
      <c r="AK47" s="14">
        <f t="shared" si="35"/>
        <v>35.231528980112834</v>
      </c>
      <c r="AL47" s="22">
        <f t="shared" si="4"/>
        <v>297.11023564036327</v>
      </c>
      <c r="AM47" s="62">
        <f t="shared" si="5"/>
        <v>556.91370594349178</v>
      </c>
      <c r="AN47" s="62">
        <f ca="1">AVERAGE(OFFSET($AM$3,0,0,'Données projet'!$E$10+1,1))-AVERAGE(OFFSET($H$3,0,0,'Données projet'!$E$10+1,1))</f>
        <v>461.10503306101145</v>
      </c>
      <c r="AO47" s="62">
        <f t="shared" si="36"/>
        <v>262.10652147273288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9.8000000000000007</v>
      </c>
      <c r="BD47" s="13">
        <f>IF('Données projet'!$A$88&gt;35,BD46+BC47-BL46,IF(A47&lt;'Données projet'!$A$88,$BA$205^A47,IF(A47='Données projet'!$A$88,'Données projet'!$B$88,BD46+BC47-BL46)))</f>
        <v>232.20000000000005</v>
      </c>
      <c r="BE47" s="14">
        <f>BD47*VLOOKUP('Données projet'!$B$11,Paramètres!$A$1:$I$89,3,0)*VLOOKUP('Données projet'!$B$11,Paramètres!$A$1:$I$89,5,0)</f>
        <v>184.73832000000004</v>
      </c>
      <c r="BF47" s="14">
        <f t="shared" si="37"/>
        <v>46.374775595471988</v>
      </c>
      <c r="BG47" s="22">
        <f t="shared" si="7"/>
        <v>402.52197482878046</v>
      </c>
      <c r="BH47" s="62">
        <f t="shared" si="8"/>
        <v>662.32544513190896</v>
      </c>
      <c r="BI47" s="62">
        <f ca="1">AVERAGE(OFFSET($BH$3,0,0,'Données projet'!$E$11+1,1))-AVERAGE(OFFSET($H$3,0,0,'Données projet'!$E$11+1,1))</f>
        <v>389.67854939311752</v>
      </c>
      <c r="BJ47" s="62">
        <f t="shared" si="38"/>
        <v>420.05189970516096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>
        <f>VLOOKUP(A47,'Données projet'!$A$113:$I$133,2,0)</f>
        <v>238.99</v>
      </c>
      <c r="BW47" s="13">
        <f>VLOOKUP(A47,'Données projet'!$A$113:$I$133,9,0)</f>
        <v>10.666250000000002</v>
      </c>
      <c r="BX47" s="13">
        <f t="array" ref="BX47">INDEX(BW:BW,MIN(IF(ISNUMBER(BW47:BW243),ROW(BW47:BW243),"")))</f>
        <v>10.666250000000002</v>
      </c>
      <c r="BY47" s="13">
        <f>IF('Données projet'!$A$114&gt;35,BY46+BX47-CG46,IF(A47&lt;'Données projet'!$A$114,$BV$205^A47,IF(A47='Données projet'!$A$114,'Données projet'!$B$114,BY46+BX47-CG46)))</f>
        <v>238.98999999999984</v>
      </c>
      <c r="BZ47" s="14">
        <f>BY47*VLOOKUP('Données projet'!$B$12,Paramètres!$A$1:$I$89,3,0)*VLOOKUP('Données projet'!$B$12,Paramètres!$A$1:$I$89,5,0)</f>
        <v>136.70227999999992</v>
      </c>
      <c r="CA47" s="14">
        <f t="shared" si="39"/>
        <v>35.540499288973628</v>
      </c>
      <c r="CB47" s="22">
        <f t="shared" si="10"/>
        <v>299.98950726162889</v>
      </c>
      <c r="CC47" s="62">
        <f t="shared" si="11"/>
        <v>559.79297756475739</v>
      </c>
      <c r="CD47" s="62">
        <f ca="1">AVERAGE(OFFSET($CC$3,0,0,'Données projet'!$E$12+1,1))-AVERAGE(OFFSET($H$3,0,0,'Données projet'!$E$12+1,1))</f>
        <v>312.16891625633968</v>
      </c>
      <c r="CE47" s="62">
        <f t="shared" si="40"/>
        <v>215.34305815516177</v>
      </c>
      <c r="CF47" s="16">
        <f>IF(ISNA(VLOOKUP(A47,'Données projet'!$A$113:$I$133,3,0)),0,VLOOKUP(A47,'Données projet'!$A$113:$I$133,3,0))</f>
        <v>4</v>
      </c>
      <c r="CG47" s="16">
        <f>IF(ISNA(VLOOKUP(A47,'Données projet'!$A$113:$I$133,4,0)),0,VLOOKUP(A47,'Données projet'!$A$113:$I$133,4,0))</f>
        <v>42.43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8.1479214857127982</v>
      </c>
      <c r="CM47" s="23">
        <f>EXP(-LN(2)/2)*CM46+(1-EXP(-LN(2)/2))/(LN(2)/2)*CG47*CJ47*VLOOKUP('Données projet'!$B$12,Paramètres!$A$1:$I$89,3,0)*0.475*44/12</f>
        <v>6.3653051144019951E-2</v>
      </c>
      <c r="CN47" s="24">
        <f t="shared" si="12"/>
        <v>8.2115745368568174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7.1794871794871771</v>
      </c>
      <c r="CT47" s="13">
        <f>IF('Données projet'!$A$140&gt;35,CT46+CS47-DB46,IF(A47&lt;'Données projet'!$A$140,$CQ$205^A47,IF(A47='Données projet'!$A$140,'Données projet'!$B$140,CT46+CS47-DB46)))</f>
        <v>222.94871794871801</v>
      </c>
      <c r="CU47" s="18">
        <f>CT47*VLOOKUP('Données projet'!$B$13,Paramètres!$A$1:$I$89,3,0)*VLOOKUP('Données projet'!$B$13,Paramètres!$A$1:$I$89,5,0)</f>
        <v>149.55400000000006</v>
      </c>
      <c r="CV47" s="14">
        <f t="shared" si="41"/>
        <v>38.477212961708553</v>
      </c>
      <c r="CW47" s="22">
        <f t="shared" si="13"/>
        <v>327.48769590830915</v>
      </c>
      <c r="CX47" s="62">
        <f t="shared" si="14"/>
        <v>587.29116621143771</v>
      </c>
      <c r="CY47" s="62">
        <f ca="1">AVERAGE(OFFSET($CX$3,0,0,'Données projet'!$E$13+1,1))-AVERAGE(OFFSET($H$3,0,0,'Données projet'!$E$13+1,1))</f>
        <v>369.04754428478793</v>
      </c>
      <c r="CZ47" s="62">
        <f t="shared" si="42"/>
        <v>277.00523259351712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>
        <f>VLOOKUP(A47,'Données projet'!$A$165:$I$185,2,0)</f>
        <v>230</v>
      </c>
      <c r="DM47" s="13">
        <f>VLOOKUP(A47,'Données projet'!$A$165:$I$185,9,0)</f>
        <v>11.142857142857142</v>
      </c>
      <c r="DN47" s="13">
        <f t="array" ref="DN47">INDEX(DM:DM,MIN(IF(ISNUMBER(DM47:DM243),ROW(DM47:DM243),"")))</f>
        <v>11.142857142857142</v>
      </c>
      <c r="DO47" s="13">
        <f>IF('Données projet'!$A$166&gt;35,DO46+DN47-DW46,IF(A47&lt;'Données projet'!$A$166,$DL$205^A47,IF(A47='Données projet'!$A$166,'Données projet'!$B$166,DO46+DN47-DW46)))</f>
        <v>229.99999999999994</v>
      </c>
      <c r="DP47" s="18">
        <f>DO47*VLOOKUP('Données projet'!$B$14,Paramètres!$A$1:$I$89,3,0)*VLOOKUP('Données projet'!$B$14,Paramètres!$A$1:$I$89,5,0)</f>
        <v>179.39999999999995</v>
      </c>
      <c r="DQ47" s="14">
        <f t="shared" si="43"/>
        <v>45.188671291872232</v>
      </c>
      <c r="DR47" s="22">
        <f t="shared" si="16"/>
        <v>391.15860250001066</v>
      </c>
      <c r="DS47" s="62">
        <f t="shared" si="17"/>
        <v>650.96207280313922</v>
      </c>
      <c r="DT47" s="62">
        <f ca="1">AVERAGE(OFFSET($DS$3,0,0,'Données projet'!$E$14+1,1))-AVERAGE(OFFSET($H$3,0,0,'Données projet'!$E$14+1,1))</f>
        <v>308.39181291575227</v>
      </c>
      <c r="DU47" s="62">
        <f t="shared" si="44"/>
        <v>298.58225298824334</v>
      </c>
      <c r="DV47" s="16">
        <f>IF(ISNA(VLOOKUP(A47,'Données projet'!$A$165:$I$185,3,0)),0,VLOOKUP(A47,'Données projet'!$A$165:$I$185,3,0))</f>
        <v>4</v>
      </c>
      <c r="DW47" s="16">
        <f>IF(ISNA(VLOOKUP(A47,'Données projet'!$A$165:$I$185,4,0)),0,VLOOKUP(A47,'Données projet'!$A$165:$I$185,4,0))</f>
        <v>43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8.4</v>
      </c>
      <c r="EJ47" s="13">
        <f>IF('Données projet'!$A$192&gt;35,EJ46+EI47-ER46,IF(A47&lt;'Données projet'!$A$192,$EG$205^A47,IF(A47='Données projet'!$A$192,'Données projet'!$B$192,EJ46+EI47-ER46)))</f>
        <v>149.60000000000005</v>
      </c>
      <c r="EK47" s="18">
        <f>EJ47*VLOOKUP('Données projet'!$B$15,Paramètres!$A$1:$I$89,3,0)*VLOOKUP('Données projet'!$B$15,Paramètres!$A$1:$I$89,5,0)</f>
        <v>144.69312000000005</v>
      </c>
      <c r="EL47" s="14">
        <f t="shared" si="45"/>
        <v>37.370061524802772</v>
      </c>
      <c r="EM47" s="22">
        <f t="shared" si="19"/>
        <v>317.09337448903153</v>
      </c>
      <c r="EN47" s="62">
        <f t="shared" si="20"/>
        <v>576.8968447921601</v>
      </c>
      <c r="EO47" s="62">
        <f ca="1">AVERAGE(OFFSET($EN$3,0,0,'Données projet'!$E$15+1,1))-AVERAGE(OFFSET($H$3,0,0,'Données projet'!$E$15+1,1))</f>
        <v>487.76433095707876</v>
      </c>
      <c r="EP47" s="62">
        <f t="shared" si="46"/>
        <v>276.24209151398361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8.4</v>
      </c>
      <c r="FE47" s="13">
        <f>IF('Données projet'!$A$218&gt;35,FE46+FD47-FM46,IF(A47&lt;'Données projet'!$A$218,$FB$205^A47,IF(A47='Données projet'!$A$218,'Données projet'!$B$218,FE46+FD47-FM46)))</f>
        <v>149.60000000000005</v>
      </c>
      <c r="FF47" s="18">
        <f>FE47*VLOOKUP('Données projet'!$B$16,Paramètres!$A$1:$I$89,3,0)*VLOOKUP('Données projet'!$B$16,Paramètres!$A$1:$I$89,5,0)</f>
        <v>161.02944000000005</v>
      </c>
      <c r="FG47" s="14">
        <f t="shared" si="47"/>
        <v>41.074621732940727</v>
      </c>
      <c r="FH47" s="22">
        <f t="shared" si="22"/>
        <v>351.99790751820518</v>
      </c>
      <c r="FI47" s="62">
        <f t="shared" si="23"/>
        <v>611.80137782133374</v>
      </c>
      <c r="FJ47" s="62">
        <f ca="1">AVERAGE(OFFSET($FI$3,0,0,'Données projet'!$E$16+1,1))-AVERAGE(OFFSET($H$3,0,0,'Données projet'!$E$16+1,1))</f>
        <v>534.33392288300456</v>
      </c>
      <c r="FK47" s="62">
        <f t="shared" si="48"/>
        <v>300.93109615735477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6.2820512820512819</v>
      </c>
      <c r="FZ47" s="13">
        <f>IF('Données projet'!$A$244&gt;35,FZ46+FY47-GH46,IF(A47&lt;'Données projet'!$A$244,$FW$205^A47,IF(A47='Données projet'!$A$244,'Données projet'!$B$244,FZ46+FY47-GH46)))</f>
        <v>168.07692307692307</v>
      </c>
      <c r="GA47" s="18">
        <f>FZ47*VLOOKUP('Données projet'!$B$17,Paramètres!$A$1:$I$89,3,0)*VLOOKUP('Données projet'!$B$17,Paramètres!$A$1:$I$89,5,0)</f>
        <v>112.746</v>
      </c>
      <c r="GB47" s="14">
        <f t="shared" si="49"/>
        <v>29.977032224041835</v>
      </c>
      <c r="GC47" s="22">
        <f t="shared" si="25"/>
        <v>248.57594779020619</v>
      </c>
      <c r="GD47" s="62">
        <f t="shared" si="26"/>
        <v>508.37941809333472</v>
      </c>
      <c r="GE47" s="62">
        <f ca="1">AVERAGE(OFFSET($GD$3,0,0,'Données projet'!$E$17+1,1))-AVERAGE(OFFSET($H$3,0,0,'Données projet'!$E$17+1,1))</f>
        <v>316.17772895535211</v>
      </c>
      <c r="GF47" s="62">
        <f t="shared" si="50"/>
        <v>251.94445589652992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60.855491900853252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3.95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14.483333333333334</v>
      </c>
      <c r="H48" s="70">
        <f t="shared" si="1"/>
        <v>198.73333333333335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232</v>
      </c>
      <c r="L48" s="13">
        <f>VLOOKUP(A48,'Données projet'!$A$35:$I$55,9,0)</f>
        <v>11.4</v>
      </c>
      <c r="M48" s="13">
        <f t="array" ref="M48">INDEX(L:L,MIN(IF(ISNUMBER(L48:L244),ROW(L48:L244),"")))</f>
        <v>11.4</v>
      </c>
      <c r="N48" s="14">
        <f>IF('Données projet'!$A$36&gt;35,N47+M48-V47,IF(A48&lt;'Données projet'!$A$36,$K$205^A48,IF(A48='Données projet'!$A$36,'Données projet'!$B$36,N47+M48-V47)))</f>
        <v>232.00000000000006</v>
      </c>
      <c r="O48" s="14">
        <f>N48*VLOOKUP('Données projet'!$B$9,Paramètres!$A$1:$I$89,3,0)*VLOOKUP('Données projet'!$B$9,Paramètres!$A$1:$I$89,5,0)</f>
        <v>195.43680000000006</v>
      </c>
      <c r="P48" s="14">
        <f t="shared" si="33"/>
        <v>48.739971354487849</v>
      </c>
      <c r="Q48" s="22">
        <f t="shared" si="53"/>
        <v>425.27454344239982</v>
      </c>
      <c r="R48" s="62">
        <f t="shared" si="0"/>
        <v>685.65968190755871</v>
      </c>
      <c r="S48" s="62">
        <f ca="1">AVERAGE(OFFSET($R$3,0,0,'Données projet'!$E$9+1,1))-AVERAGE(OFFSET($H$3,0,0,'Données projet'!$E$9+1,1))</f>
        <v>508.93703669150443</v>
      </c>
      <c r="T48" s="62">
        <f t="shared" si="34"/>
        <v>277.04920840696707</v>
      </c>
      <c r="U48" s="16">
        <f>IF(ISNA(VLOOKUP(A48,'Données projet'!$A$35:$I$55,3,0)),0,VLOOKUP(A48,'Données projet'!$A$35:$I$55,3,0))</f>
        <v>3</v>
      </c>
      <c r="V48" s="16">
        <f>IF(ISNA(VLOOKUP(A48,'Données projet'!$A$35:$I$55,4,0)),0,VLOOKUP(A48,'Données projet'!$A$35:$I$55,4,0))</f>
        <v>56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158</v>
      </c>
      <c r="AG48" s="13">
        <f>VLOOKUP(A48,'Données projet'!$A$61:$I$81,9,0)</f>
        <v>8.4</v>
      </c>
      <c r="AH48" s="13">
        <f t="array" ref="AH48">INDEX(AG:AG,MIN(IF(ISNUMBER(AG48:AG244),ROW(AG48:AG244),"")))</f>
        <v>8.4</v>
      </c>
      <c r="AI48" s="14">
        <f>IF('Données projet'!$A$62&gt;35,AI47+AH48-AQ47,IF(A48&lt;'Données projet'!$A$62,$AF$205^A48,IF(A48='Données projet'!$A$62,'Données projet'!$B$62,AI47+AH48-AQ47)))</f>
        <v>158.00000000000006</v>
      </c>
      <c r="AJ48" s="14">
        <f>AI48*VLOOKUP('Données projet'!$B$10,Paramètres!$A$1:$I$89,3,0)*VLOOKUP('Données projet'!$B$10,Paramètres!$A$1:$I$89,5,0)</f>
        <v>142.95840000000004</v>
      </c>
      <c r="AK48" s="14">
        <f t="shared" si="35"/>
        <v>36.973906370811264</v>
      </c>
      <c r="AL48" s="22">
        <f t="shared" si="4"/>
        <v>313.38210026249641</v>
      </c>
      <c r="AM48" s="62">
        <f t="shared" si="5"/>
        <v>573.76723872765535</v>
      </c>
      <c r="AN48" s="62">
        <f ca="1">AVERAGE(OFFSET($AM$3,0,0,'Données projet'!$E$10+1,1))-AVERAGE(OFFSET($H$3,0,0,'Données projet'!$E$10+1,1))</f>
        <v>461.10503306101145</v>
      </c>
      <c r="AO48" s="62">
        <f t="shared" si="36"/>
        <v>262.10652147273288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242</v>
      </c>
      <c r="BB48" s="13">
        <f>VLOOKUP(A48,'Données projet'!$A$87:$I$107,9,0)</f>
        <v>9.8000000000000007</v>
      </c>
      <c r="BC48" s="13">
        <f t="array" ref="BC48">INDEX(BB:BB,MIN(IF(ISNUMBER(BB48:BB244),ROW(BB48:BB244),"")))</f>
        <v>9.8000000000000007</v>
      </c>
      <c r="BD48" s="13">
        <f>IF('Données projet'!$A$88&gt;35,BD47+BC48-BL47,IF(A48&lt;'Données projet'!$A$88,$BA$205^A48,IF(A48='Données projet'!$A$88,'Données projet'!$B$88,BD47+BC48-BL47)))</f>
        <v>242.00000000000006</v>
      </c>
      <c r="BE48" s="14">
        <f>BD48*VLOOKUP('Données projet'!$B$11,Paramètres!$A$1:$I$89,3,0)*VLOOKUP('Données projet'!$B$11,Paramètres!$A$1:$I$89,5,0)</f>
        <v>192.53520000000006</v>
      </c>
      <c r="BF48" s="14">
        <f t="shared" si="37"/>
        <v>48.100016456123079</v>
      </c>
      <c r="BG48" s="22">
        <f t="shared" si="7"/>
        <v>419.10633532774779</v>
      </c>
      <c r="BH48" s="62">
        <f t="shared" si="8"/>
        <v>679.49147379290673</v>
      </c>
      <c r="BI48" s="62">
        <f ca="1">AVERAGE(OFFSET($BH$3,0,0,'Données projet'!$E$11+1,1))-AVERAGE(OFFSET($H$3,0,0,'Données projet'!$E$11+1,1))</f>
        <v>389.67854939311752</v>
      </c>
      <c r="BJ48" s="62">
        <f t="shared" si="38"/>
        <v>420.05189970516096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9.5799999999999983</v>
      </c>
      <c r="BY48" s="13">
        <f>IF('Données projet'!$A$114&gt;35,BY47+BX48-CG47,IF(A48&lt;'Données projet'!$A$114,$BV$205^A48,IF(A48='Données projet'!$A$114,'Données projet'!$B$114,BY47+BX48-CG47)))</f>
        <v>206.13999999999982</v>
      </c>
      <c r="BZ48" s="14">
        <f>BY48*VLOOKUP('Données projet'!$B$12,Paramètres!$A$1:$I$89,3,0)*VLOOKUP('Données projet'!$B$12,Paramètres!$A$1:$I$89,5,0)</f>
        <v>117.91207999999989</v>
      </c>
      <c r="CA48" s="14">
        <f t="shared" si="39"/>
        <v>31.18752989002186</v>
      </c>
      <c r="CB48" s="22">
        <f t="shared" si="10"/>
        <v>259.68182055845455</v>
      </c>
      <c r="CC48" s="62">
        <f t="shared" si="11"/>
        <v>520.06695902361344</v>
      </c>
      <c r="CD48" s="62">
        <f ca="1">AVERAGE(OFFSET($CC$3,0,0,'Données projet'!$E$12+1,1))-AVERAGE(OFFSET($H$3,0,0,'Données projet'!$E$12+1,1))</f>
        <v>312.16891625633968</v>
      </c>
      <c r="CE48" s="62">
        <f t="shared" si="40"/>
        <v>215.34305815516177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7.925116144205413</v>
      </c>
      <c r="CM48" s="23">
        <f>EXP(-LN(2)/2)*CM47+(1-EXP(-LN(2)/2))/(LN(2)/2)*CG48*CJ48*VLOOKUP('Données projet'!$B$12,Paramètres!$A$1:$I$89,3,0)*0.475*44/12</f>
        <v>4.5009504107150634E-2</v>
      </c>
      <c r="CN48" s="24">
        <f t="shared" si="12"/>
        <v>7.970125648312564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230.12820512820511</v>
      </c>
      <c r="CR48" s="13">
        <f>VLOOKUP(A48,'Données projet'!$A$139:$I$159,9,0)</f>
        <v>7.1794871794871771</v>
      </c>
      <c r="CS48" s="13">
        <f t="array" ref="CS48">INDEX(CR:CR,MIN(IF(ISNUMBER(CR48:CR244),ROW(CR48:CR244),"")))</f>
        <v>7.1794871794871771</v>
      </c>
      <c r="CT48" s="13">
        <f>IF('Données projet'!$A$140&gt;35,CT47+CS48-DB47,IF(A48&lt;'Données projet'!$A$140,$CQ$205^A48,IF(A48='Données projet'!$A$140,'Données projet'!$B$140,CT47+CS48-DB47)))</f>
        <v>230.1282051282052</v>
      </c>
      <c r="CU48" s="18">
        <f>CT48*VLOOKUP('Données projet'!$B$13,Paramètres!$A$1:$I$89,3,0)*VLOOKUP('Données projet'!$B$13,Paramètres!$A$1:$I$89,5,0)</f>
        <v>154.37000000000006</v>
      </c>
      <c r="CV48" s="14">
        <f t="shared" si="41"/>
        <v>39.570017923578433</v>
      </c>
      <c r="CW48" s="22">
        <f t="shared" si="13"/>
        <v>337.77886455023253</v>
      </c>
      <c r="CX48" s="62">
        <f t="shared" si="14"/>
        <v>598.16400301539147</v>
      </c>
      <c r="CY48" s="62">
        <f ca="1">AVERAGE(OFFSET($CX$3,0,0,'Données projet'!$E$13+1,1))-AVERAGE(OFFSET($H$3,0,0,'Données projet'!$E$13+1,1))</f>
        <v>369.04754428478793</v>
      </c>
      <c r="CZ48" s="62">
        <f t="shared" si="42"/>
        <v>277.00523259351712</v>
      </c>
      <c r="DA48" s="16">
        <f>IF(ISNA(VLOOKUP(A48,'Données projet'!$A$139:$I$159,3,0)),0,VLOOKUP(A48,'Données projet'!$A$139:$I$159,3,0))</f>
        <v>4</v>
      </c>
      <c r="DB48" s="16">
        <f>IF(ISNA(VLOOKUP(A48,'Données projet'!$A$139:$I$159,4,0)),0,VLOOKUP(A48,'Données projet'!$A$139:$I$159,4,0))</f>
        <v>36.53846153846154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10.375</v>
      </c>
      <c r="DO48" s="13">
        <f>IF('Données projet'!$A$166&gt;35,DO47+DN48-DW47,IF(A48&lt;'Données projet'!$A$166,$DL$205^A48,IF(A48='Données projet'!$A$166,'Données projet'!$B$166,DO47+DN48-DW47)))</f>
        <v>197.37499999999994</v>
      </c>
      <c r="DP48" s="18">
        <f>DO48*VLOOKUP('Données projet'!$B$14,Paramètres!$A$1:$I$89,3,0)*VLOOKUP('Données projet'!$B$14,Paramètres!$A$1:$I$89,5,0)</f>
        <v>153.95249999999996</v>
      </c>
      <c r="DQ48" s="14">
        <f t="shared" si="43"/>
        <v>39.475441267837397</v>
      </c>
      <c r="DR48" s="22">
        <f t="shared" si="16"/>
        <v>336.88699770815003</v>
      </c>
      <c r="DS48" s="62">
        <f t="shared" si="17"/>
        <v>597.27213617330904</v>
      </c>
      <c r="DT48" s="62">
        <f ca="1">AVERAGE(OFFSET($DS$3,0,0,'Données projet'!$E$14+1,1))-AVERAGE(OFFSET($H$3,0,0,'Données projet'!$E$14+1,1))</f>
        <v>308.39181291575227</v>
      </c>
      <c r="DU48" s="62">
        <f t="shared" si="44"/>
        <v>298.58225298824334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158</v>
      </c>
      <c r="EH48" s="13">
        <f>VLOOKUP(A48,'Données projet'!$A$191:$I$211,9,0)</f>
        <v>8.4</v>
      </c>
      <c r="EI48" s="13">
        <f t="array" ref="EI48">INDEX(EH:EH,MIN(IF(ISNUMBER(EH48:EH244),ROW(EH48:EH244),"")))</f>
        <v>8.4</v>
      </c>
      <c r="EJ48" s="13">
        <f>IF('Données projet'!$A$192&gt;35,EJ47+EI48-ER47,IF(A48&lt;'Données projet'!$A$192,$EG$205^A48,IF(A48='Données projet'!$A$192,'Données projet'!$B$192,EJ47+EI48-ER47)))</f>
        <v>158.00000000000006</v>
      </c>
      <c r="EK48" s="18">
        <f>EJ48*VLOOKUP('Données projet'!$B$15,Paramètres!$A$1:$I$89,3,0)*VLOOKUP('Données projet'!$B$15,Paramètres!$A$1:$I$89,5,0)</f>
        <v>152.81760000000006</v>
      </c>
      <c r="EL48" s="14">
        <f t="shared" si="45"/>
        <v>39.218200171484227</v>
      </c>
      <c r="EM48" s="22">
        <f t="shared" si="19"/>
        <v>334.46235196533513</v>
      </c>
      <c r="EN48" s="62">
        <f t="shared" si="20"/>
        <v>594.84749043049408</v>
      </c>
      <c r="EO48" s="62">
        <f ca="1">AVERAGE(OFFSET($EN$3,0,0,'Données projet'!$E$15+1,1))-AVERAGE(OFFSET($H$3,0,0,'Données projet'!$E$15+1,1))</f>
        <v>487.76433095707876</v>
      </c>
      <c r="EP48" s="62">
        <f t="shared" si="46"/>
        <v>276.24209151398361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158</v>
      </c>
      <c r="FC48" s="13">
        <f>VLOOKUP(A48,'Données projet'!$A$217:$I$237,9,0)</f>
        <v>8.4</v>
      </c>
      <c r="FD48" s="13">
        <f t="array" ref="FD48">INDEX(FC:FC,MIN(IF(ISNUMBER(FC48:FC244),ROW(FC48:FC244),"")))</f>
        <v>8.4</v>
      </c>
      <c r="FE48" s="13">
        <f>IF('Données projet'!$A$218&gt;35,FE47+FD48-FM47,IF(A48&lt;'Données projet'!$A$218,$FB$205^A48,IF(A48='Données projet'!$A$218,'Données projet'!$B$218,FE47+FD48-FM47)))</f>
        <v>158.00000000000006</v>
      </c>
      <c r="FF48" s="18">
        <f>FE48*VLOOKUP('Données projet'!$B$16,Paramètres!$A$1:$I$89,3,0)*VLOOKUP('Données projet'!$B$16,Paramètres!$A$1:$I$89,5,0)</f>
        <v>170.07120000000003</v>
      </c>
      <c r="FG48" s="14">
        <f t="shared" si="47"/>
        <v>43.10596962815594</v>
      </c>
      <c r="FH48" s="22">
        <f t="shared" si="22"/>
        <v>371.28357043570503</v>
      </c>
      <c r="FI48" s="62">
        <f t="shared" si="23"/>
        <v>631.66870890086398</v>
      </c>
      <c r="FJ48" s="62">
        <f ca="1">AVERAGE(OFFSET($FI$3,0,0,'Données projet'!$E$16+1,1))-AVERAGE(OFFSET($H$3,0,0,'Données projet'!$E$16+1,1))</f>
        <v>534.33392288300456</v>
      </c>
      <c r="FK48" s="62">
        <f t="shared" si="48"/>
        <v>300.93109615735477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174.35897435897436</v>
      </c>
      <c r="FX48" s="13">
        <f>VLOOKUP(A48,'Données projet'!$A$243:$I$263,9,0)</f>
        <v>6.2820512820512819</v>
      </c>
      <c r="FY48" s="13">
        <f t="array" ref="FY48">INDEX(FX:FX,MIN(IF(ISNUMBER(FX48:FX244),ROW(FX48:FX244),"")))</f>
        <v>6.2820512820512819</v>
      </c>
      <c r="FZ48" s="13">
        <f>IF('Données projet'!$A$244&gt;35,FZ47+FY48-GH47,IF(A48&lt;'Données projet'!$A$244,$FW$205^A48,IF(A48='Données projet'!$A$244,'Données projet'!$B$244,FZ47+FY48-GH47)))</f>
        <v>174.35897435897434</v>
      </c>
      <c r="GA48" s="18">
        <f>FZ48*VLOOKUP('Données projet'!$B$17,Paramètres!$A$1:$I$89,3,0)*VLOOKUP('Données projet'!$B$17,Paramètres!$A$1:$I$89,5,0)</f>
        <v>116.96</v>
      </c>
      <c r="GB48" s="14">
        <f t="shared" si="49"/>
        <v>30.964913833098269</v>
      </c>
      <c r="GC48" s="22">
        <f t="shared" si="25"/>
        <v>257.63589159264615</v>
      </c>
      <c r="GD48" s="62">
        <f t="shared" si="26"/>
        <v>518.02103005780509</v>
      </c>
      <c r="GE48" s="62">
        <f ca="1">AVERAGE(OFFSET($GD$3,0,0,'Données projet'!$E$17+1,1))-AVERAGE(OFFSET($H$3,0,0,'Données projet'!$E$17+1,1))</f>
        <v>316.17772895535211</v>
      </c>
      <c r="GF48" s="62">
        <f t="shared" si="50"/>
        <v>251.94445589652992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61.014128672316076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3.95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14.483333333333334</v>
      </c>
      <c r="H49" s="70">
        <f t="shared" si="1"/>
        <v>198.73333333333335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</v>
      </c>
      <c r="N49" s="14">
        <f>IF('Données projet'!$A$36&gt;35,N48+M49-V48,IF(A49&lt;'Données projet'!$A$36,$K$205^A49,IF(A49='Données projet'!$A$36,'Données projet'!$B$36,N48+M49-V48)))</f>
        <v>187.00000000000006</v>
      </c>
      <c r="O49" s="14">
        <f>N49*VLOOKUP('Données projet'!$B$9,Paramètres!$A$1:$I$89,3,0)*VLOOKUP('Données projet'!$B$9,Paramètres!$A$1:$I$89,5,0)</f>
        <v>157.52880000000005</v>
      </c>
      <c r="P49" s="14">
        <f t="shared" si="33"/>
        <v>40.284625411479013</v>
      </c>
      <c r="Q49" s="22">
        <f t="shared" si="53"/>
        <v>344.52504925832596</v>
      </c>
      <c r="R49" s="62">
        <f t="shared" si="0"/>
        <v>605.48176524331927</v>
      </c>
      <c r="S49" s="62">
        <f ca="1">AVERAGE(OFFSET($R$3,0,0,'Données projet'!$E$9+1,1))-AVERAGE(OFFSET($H$3,0,0,'Données projet'!$E$9+1,1))</f>
        <v>508.93703669150443</v>
      </c>
      <c r="T49" s="62">
        <f t="shared" si="34"/>
        <v>277.04920840696707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8.1999999999999993</v>
      </c>
      <c r="AI49" s="14">
        <f>IF('Données projet'!$A$62&gt;35,AI48+AH49-AQ48,IF(A49&lt;'Données projet'!$A$62,$AF$205^A49,IF(A49='Données projet'!$A$62,'Données projet'!$B$62,AI48+AH49-AQ48)))</f>
        <v>166.20000000000005</v>
      </c>
      <c r="AJ49" s="14">
        <f>AI49*VLOOKUP('Données projet'!$B$10,Paramètres!$A$1:$I$89,3,0)*VLOOKUP('Données projet'!$B$10,Paramètres!$A$1:$I$89,5,0)</f>
        <v>150.37776000000002</v>
      </c>
      <c r="AK49" s="14">
        <f t="shared" si="35"/>
        <v>38.664420365454049</v>
      </c>
      <c r="AL49" s="22">
        <f t="shared" si="4"/>
        <v>329.24846413649914</v>
      </c>
      <c r="AM49" s="62">
        <f t="shared" si="5"/>
        <v>590.2051801214925</v>
      </c>
      <c r="AN49" s="62">
        <f ca="1">AVERAGE(OFFSET($AM$3,0,0,'Données projet'!$E$10+1,1))-AVERAGE(OFFSET($H$3,0,0,'Données projet'!$E$10+1,1))</f>
        <v>461.10503306101145</v>
      </c>
      <c r="AO49" s="62">
        <f t="shared" si="36"/>
        <v>262.10652147273288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8.6</v>
      </c>
      <c r="BD49" s="13">
        <f>IF('Données projet'!$A$88&gt;35,BD48+BC49-BL48,IF(A49&lt;'Données projet'!$A$88,$BA$205^A49,IF(A49='Données projet'!$A$88,'Données projet'!$B$88,BD48+BC49-BL48)))</f>
        <v>250.60000000000005</v>
      </c>
      <c r="BE49" s="14">
        <f>BD49*VLOOKUP('Données projet'!$B$11,Paramètres!$A$1:$I$89,3,0)*VLOOKUP('Données projet'!$B$11,Paramètres!$A$1:$I$89,5,0)</f>
        <v>199.37736000000004</v>
      </c>
      <c r="BF49" s="14">
        <f t="shared" si="37"/>
        <v>49.607305476717805</v>
      </c>
      <c r="BG49" s="22">
        <f t="shared" si="7"/>
        <v>433.64829237195022</v>
      </c>
      <c r="BH49" s="62">
        <f t="shared" si="8"/>
        <v>694.60500835694347</v>
      </c>
      <c r="BI49" s="62">
        <f ca="1">AVERAGE(OFFSET($BH$3,0,0,'Données projet'!$E$11+1,1))-AVERAGE(OFFSET($H$3,0,0,'Données projet'!$E$11+1,1))</f>
        <v>389.67854939311752</v>
      </c>
      <c r="BJ49" s="62">
        <f t="shared" si="38"/>
        <v>420.05189970516096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9.5799999999999983</v>
      </c>
      <c r="BY49" s="13">
        <f>IF('Données projet'!$A$114&gt;35,BY48+BX49-CG48,IF(A49&lt;'Données projet'!$A$114,$BV$205^A49,IF(A49='Données projet'!$A$114,'Données projet'!$B$114,BY48+BX49-CG48)))</f>
        <v>215.7199999999998</v>
      </c>
      <c r="BZ49" s="14">
        <f>BY49*VLOOKUP('Données projet'!$B$12,Paramètres!$A$1:$I$89,3,0)*VLOOKUP('Données projet'!$B$12,Paramètres!$A$1:$I$89,5,0)</f>
        <v>123.39183999999989</v>
      </c>
      <c r="CA49" s="14">
        <f t="shared" si="39"/>
        <v>32.464802382917945</v>
      </c>
      <c r="CB49" s="22">
        <f t="shared" si="10"/>
        <v>271.45031881691528</v>
      </c>
      <c r="CC49" s="62">
        <f t="shared" si="11"/>
        <v>532.40703480190859</v>
      </c>
      <c r="CD49" s="62">
        <f ca="1">AVERAGE(OFFSET($CC$3,0,0,'Données projet'!$E$12+1,1))-AVERAGE(OFFSET($H$3,0,0,'Données projet'!$E$12+1,1))</f>
        <v>312.16891625633968</v>
      </c>
      <c r="CE49" s="62">
        <f t="shared" si="40"/>
        <v>215.34305815516177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7.7084034264783714</v>
      </c>
      <c r="CM49" s="23">
        <f>EXP(-LN(2)/2)*CM48+(1-EXP(-LN(2)/2))/(LN(2)/2)*CG49*CJ49*VLOOKUP('Données projet'!$B$12,Paramètres!$A$1:$I$89,3,0)*0.475*44/12</f>
        <v>3.1826525572009975E-2</v>
      </c>
      <c r="CN49" s="24">
        <f t="shared" si="12"/>
        <v>7.740229952050381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6.6666666666666687</v>
      </c>
      <c r="CT49" s="13">
        <f>IF('Données projet'!$A$140&gt;35,CT48+CS49-DB48,IF(A49&lt;'Données projet'!$A$140,$CQ$205^A49,IF(A49='Données projet'!$A$140,'Données projet'!$B$140,CT48+CS49-DB48)))</f>
        <v>200.25641025641031</v>
      </c>
      <c r="CU49" s="18">
        <f>CT49*VLOOKUP('Données projet'!$B$13,Paramètres!$A$1:$I$89,3,0)*VLOOKUP('Données projet'!$B$13,Paramètres!$A$1:$I$89,5,0)</f>
        <v>134.33200000000002</v>
      </c>
      <c r="CV49" s="14">
        <f t="shared" si="41"/>
        <v>34.995439661065326</v>
      </c>
      <c r="CW49" s="22">
        <f t="shared" si="13"/>
        <v>294.9119574096888</v>
      </c>
      <c r="CX49" s="62">
        <f t="shared" si="14"/>
        <v>555.86867339468211</v>
      </c>
      <c r="CY49" s="62">
        <f ca="1">AVERAGE(OFFSET($CX$3,0,0,'Données projet'!$E$13+1,1))-AVERAGE(OFFSET($H$3,0,0,'Données projet'!$E$13+1,1))</f>
        <v>369.04754428478793</v>
      </c>
      <c r="CZ49" s="62">
        <f t="shared" si="42"/>
        <v>277.00523259351712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10.375</v>
      </c>
      <c r="DO49" s="13">
        <f>IF('Données projet'!$A$166&gt;35,DO48+DN49-DW48,IF(A49&lt;'Données projet'!$A$166,$DL$205^A49,IF(A49='Données projet'!$A$166,'Données projet'!$B$166,DO48+DN49-DW48)))</f>
        <v>207.74999999999994</v>
      </c>
      <c r="DP49" s="18">
        <f>DO49*VLOOKUP('Données projet'!$B$14,Paramètres!$A$1:$I$89,3,0)*VLOOKUP('Données projet'!$B$14,Paramètres!$A$1:$I$89,5,0)</f>
        <v>162.04499999999996</v>
      </c>
      <c r="DQ49" s="14">
        <f t="shared" si="43"/>
        <v>41.303429372463391</v>
      </c>
      <c r="DR49" s="22">
        <f t="shared" si="16"/>
        <v>354.16518115704031</v>
      </c>
      <c r="DS49" s="62">
        <f t="shared" si="17"/>
        <v>615.12189714203362</v>
      </c>
      <c r="DT49" s="62">
        <f ca="1">AVERAGE(OFFSET($DS$3,0,0,'Données projet'!$E$14+1,1))-AVERAGE(OFFSET($H$3,0,0,'Données projet'!$E$14+1,1))</f>
        <v>308.39181291575227</v>
      </c>
      <c r="DU49" s="62">
        <f t="shared" si="44"/>
        <v>298.58225298824334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8.1999999999999993</v>
      </c>
      <c r="EJ49" s="13">
        <f>IF('Données projet'!$A$192&gt;35,EJ48+EI49-ER48,IF(A49&lt;'Données projet'!$A$192,$EG$205^A49,IF(A49='Données projet'!$A$192,'Données projet'!$B$192,EJ48+EI49-ER48)))</f>
        <v>166.20000000000005</v>
      </c>
      <c r="EK49" s="18">
        <f>EJ49*VLOOKUP('Données projet'!$B$15,Paramètres!$A$1:$I$89,3,0)*VLOOKUP('Données projet'!$B$15,Paramètres!$A$1:$I$89,5,0)</f>
        <v>160.74864000000005</v>
      </c>
      <c r="EL49" s="14">
        <f t="shared" si="45"/>
        <v>41.011327345272264</v>
      </c>
      <c r="EM49" s="22">
        <f t="shared" si="19"/>
        <v>351.39860979301596</v>
      </c>
      <c r="EN49" s="62">
        <f t="shared" si="20"/>
        <v>612.35532577800927</v>
      </c>
      <c r="EO49" s="62">
        <f ca="1">AVERAGE(OFFSET($EN$3,0,0,'Données projet'!$E$15+1,1))-AVERAGE(OFFSET($H$3,0,0,'Données projet'!$E$15+1,1))</f>
        <v>487.76433095707876</v>
      </c>
      <c r="EP49" s="62">
        <f t="shared" si="46"/>
        <v>276.24209151398361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8.1999999999999993</v>
      </c>
      <c r="FE49" s="13">
        <f>IF('Données projet'!$A$218&gt;35,FE48+FD49-FM48,IF(A49&lt;'Données projet'!$A$218,$FB$205^A49,IF(A49='Données projet'!$A$218,'Données projet'!$B$218,FE48+FD49-FM48)))</f>
        <v>166.20000000000005</v>
      </c>
      <c r="FF49" s="18">
        <f>FE49*VLOOKUP('Données projet'!$B$16,Paramètres!$A$1:$I$89,3,0)*VLOOKUP('Données projet'!$B$16,Paramètres!$A$1:$I$89,5,0)</f>
        <v>178.89768000000004</v>
      </c>
      <c r="FG49" s="14">
        <f t="shared" si="47"/>
        <v>45.076852665999411</v>
      </c>
      <c r="FH49" s="22">
        <f t="shared" si="22"/>
        <v>390.08897772661572</v>
      </c>
      <c r="FI49" s="62">
        <f t="shared" si="23"/>
        <v>651.04569371160903</v>
      </c>
      <c r="FJ49" s="62">
        <f ca="1">AVERAGE(OFFSET($FI$3,0,0,'Données projet'!$E$16+1,1))-AVERAGE(OFFSET($H$3,0,0,'Données projet'!$E$16+1,1))</f>
        <v>534.33392288300456</v>
      </c>
      <c r="FK49" s="62">
        <f t="shared" si="48"/>
        <v>300.93109615735477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5.8974358974358951</v>
      </c>
      <c r="FZ49" s="13">
        <f>IF('Données projet'!$A$244&gt;35,FZ48+FY49-GH48,IF(A49&lt;'Données projet'!$A$244,$FW$205^A49,IF(A49='Données projet'!$A$244,'Données projet'!$B$244,FZ48+FY49-GH48)))</f>
        <v>180.25641025641022</v>
      </c>
      <c r="GA49" s="18">
        <f>FZ49*VLOOKUP('Données projet'!$B$17,Paramètres!$A$1:$I$89,3,0)*VLOOKUP('Données projet'!$B$17,Paramètres!$A$1:$I$89,5,0)</f>
        <v>120.91599999999997</v>
      </c>
      <c r="GB49" s="14">
        <f t="shared" si="49"/>
        <v>31.888546607645896</v>
      </c>
      <c r="GC49" s="22">
        <f t="shared" si="25"/>
        <v>266.13458534164994</v>
      </c>
      <c r="GD49" s="62">
        <f t="shared" si="26"/>
        <v>527.09130132664325</v>
      </c>
      <c r="GE49" s="62">
        <f ca="1">AVERAGE(OFFSET($GD$3,0,0,'Données projet'!$E$17+1,1))-AVERAGE(OFFSET($H$3,0,0,'Données projet'!$E$17+1,1))</f>
        <v>316.17772895535211</v>
      </c>
      <c r="GF49" s="62">
        <f t="shared" si="50"/>
        <v>251.94445589652992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61.170013450452714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3.95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14.483333333333334</v>
      </c>
      <c r="H50" s="70">
        <f t="shared" si="1"/>
        <v>198.73333333333335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</v>
      </c>
      <c r="N50" s="14">
        <f>IF('Données projet'!$A$36&gt;35,N49+M50-V49,IF(A50&lt;'Données projet'!$A$36,$K$205^A50,IF(A50='Données projet'!$A$36,'Données projet'!$B$36,N49+M50-V49)))</f>
        <v>198.00000000000006</v>
      </c>
      <c r="O50" s="14">
        <f>N50*VLOOKUP('Données projet'!$B$9,Paramètres!$A$1:$I$89,3,0)*VLOOKUP('Données projet'!$B$9,Paramètres!$A$1:$I$89,5,0)</f>
        <v>166.79520000000008</v>
      </c>
      <c r="P50" s="14">
        <f t="shared" si="33"/>
        <v>42.371461898472788</v>
      </c>
      <c r="Q50" s="22">
        <f t="shared" si="53"/>
        <v>364.29860280650684</v>
      </c>
      <c r="R50" s="62">
        <f t="shared" si="0"/>
        <v>625.81698071922119</v>
      </c>
      <c r="S50" s="62">
        <f ca="1">AVERAGE(OFFSET($R$3,0,0,'Données projet'!$E$9+1,1))-AVERAGE(OFFSET($H$3,0,0,'Données projet'!$E$9+1,1))</f>
        <v>508.93703669150443</v>
      </c>
      <c r="T50" s="62">
        <f t="shared" si="34"/>
        <v>277.04920840696707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8.1999999999999993</v>
      </c>
      <c r="AI50" s="14">
        <f>IF('Données projet'!$A$62&gt;35,AI49+AH50-AQ49,IF(A50&lt;'Données projet'!$A$62,$AF$205^A50,IF(A50='Données projet'!$A$62,'Données projet'!$B$62,AI49+AH50-AQ49)))</f>
        <v>174.40000000000003</v>
      </c>
      <c r="AJ50" s="14">
        <f>AI50*VLOOKUP('Données projet'!$B$10,Paramètres!$A$1:$I$89,3,0)*VLOOKUP('Données projet'!$B$10,Paramètres!$A$1:$I$89,5,0)</f>
        <v>157.79712000000004</v>
      </c>
      <c r="AK50" s="14">
        <f t="shared" si="35"/>
        <v>40.345249481546155</v>
      </c>
      <c r="AL50" s="22">
        <f t="shared" si="4"/>
        <v>345.09796018035962</v>
      </c>
      <c r="AM50" s="62">
        <f t="shared" si="5"/>
        <v>606.61633809307398</v>
      </c>
      <c r="AN50" s="62">
        <f ca="1">AVERAGE(OFFSET($AM$3,0,0,'Données projet'!$E$10+1,1))-AVERAGE(OFFSET($H$3,0,0,'Données projet'!$E$10+1,1))</f>
        <v>461.10503306101145</v>
      </c>
      <c r="AO50" s="62">
        <f t="shared" si="36"/>
        <v>262.10652147273288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8.6</v>
      </c>
      <c r="BD50" s="13">
        <f>IF('Données projet'!$A$88&gt;35,BD49+BC50-BL49,IF(A50&lt;'Données projet'!$A$88,$BA$205^A50,IF(A50='Données projet'!$A$88,'Données projet'!$B$88,BD49+BC50-BL49)))</f>
        <v>259.20000000000005</v>
      </c>
      <c r="BE50" s="14">
        <f>BD50*VLOOKUP('Données projet'!$B$11,Paramètres!$A$1:$I$89,3,0)*VLOOKUP('Données projet'!$B$11,Paramètres!$A$1:$I$89,5,0)</f>
        <v>206.21952000000007</v>
      </c>
      <c r="BF50" s="14">
        <f t="shared" si="37"/>
        <v>51.108584284640322</v>
      </c>
      <c r="BG50" s="22">
        <f t="shared" si="7"/>
        <v>448.17978162908202</v>
      </c>
      <c r="BH50" s="62">
        <f t="shared" si="8"/>
        <v>709.69815954179637</v>
      </c>
      <c r="BI50" s="62">
        <f ca="1">AVERAGE(OFFSET($BH$3,0,0,'Données projet'!$E$11+1,1))-AVERAGE(OFFSET($H$3,0,0,'Données projet'!$E$11+1,1))</f>
        <v>389.67854939311752</v>
      </c>
      <c r="BJ50" s="62">
        <f t="shared" si="38"/>
        <v>420.05189970516096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9.5799999999999983</v>
      </c>
      <c r="BY50" s="13">
        <f>IF('Données projet'!$A$114&gt;35,BY49+BX50-CG49,IF(A50&lt;'Données projet'!$A$114,$BV$205^A50,IF(A50='Données projet'!$A$114,'Données projet'!$B$114,BY49+BX50-CG49)))</f>
        <v>225.29999999999978</v>
      </c>
      <c r="BZ50" s="14">
        <f>BY50*VLOOKUP('Données projet'!$B$12,Paramètres!$A$1:$I$89,3,0)*VLOOKUP('Données projet'!$B$12,Paramètres!$A$1:$I$89,5,0)</f>
        <v>128.87159999999989</v>
      </c>
      <c r="CA50" s="14">
        <f t="shared" si="39"/>
        <v>33.735487075909063</v>
      </c>
      <c r="CB50" s="22">
        <f t="shared" si="10"/>
        <v>283.20734332387474</v>
      </c>
      <c r="CC50" s="62">
        <f t="shared" si="11"/>
        <v>544.72572123658915</v>
      </c>
      <c r="CD50" s="62">
        <f ca="1">AVERAGE(OFFSET($CC$3,0,0,'Données projet'!$E$12+1,1))-AVERAGE(OFFSET($H$3,0,0,'Données projet'!$E$12+1,1))</f>
        <v>312.16891625633968</v>
      </c>
      <c r="CE50" s="62">
        <f t="shared" si="40"/>
        <v>215.34305815516177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7.4976167294140019</v>
      </c>
      <c r="CM50" s="23">
        <f>EXP(-LN(2)/2)*CM49+(1-EXP(-LN(2)/2))/(LN(2)/2)*CG50*CJ50*VLOOKUP('Données projet'!$B$12,Paramètres!$A$1:$I$89,3,0)*0.475*44/12</f>
        <v>2.2504752053575317E-2</v>
      </c>
      <c r="CN50" s="24">
        <f t="shared" si="12"/>
        <v>7.5201214814675774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6.6666666666666687</v>
      </c>
      <c r="CT50" s="13">
        <f>IF('Données projet'!$A$140&gt;35,CT49+CS50-DB49,IF(A50&lt;'Données projet'!$A$140,$CQ$205^A50,IF(A50='Données projet'!$A$140,'Données projet'!$B$140,CT49+CS50-DB49)))</f>
        <v>206.92307692307696</v>
      </c>
      <c r="CU50" s="18">
        <f>CT50*VLOOKUP('Données projet'!$B$13,Paramètres!$A$1:$I$89,3,0)*VLOOKUP('Données projet'!$B$13,Paramètres!$A$1:$I$89,5,0)</f>
        <v>138.80400000000003</v>
      </c>
      <c r="CV50" s="14">
        <f t="shared" si="41"/>
        <v>36.022882030080694</v>
      </c>
      <c r="CW50" s="22">
        <f t="shared" si="13"/>
        <v>304.49015286905723</v>
      </c>
      <c r="CX50" s="62">
        <f t="shared" si="14"/>
        <v>566.00853078177158</v>
      </c>
      <c r="CY50" s="62">
        <f ca="1">AVERAGE(OFFSET($CX$3,0,0,'Données projet'!$E$13+1,1))-AVERAGE(OFFSET($H$3,0,0,'Données projet'!$E$13+1,1))</f>
        <v>369.04754428478793</v>
      </c>
      <c r="CZ50" s="62">
        <f t="shared" si="42"/>
        <v>277.00523259351712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10.375</v>
      </c>
      <c r="DO50" s="13">
        <f>IF('Données projet'!$A$166&gt;35,DO49+DN50-DW49,IF(A50&lt;'Données projet'!$A$166,$DL$205^A50,IF(A50='Données projet'!$A$166,'Données projet'!$B$166,DO49+DN50-DW49)))</f>
        <v>218.12499999999994</v>
      </c>
      <c r="DP50" s="18">
        <f>DO50*VLOOKUP('Données projet'!$B$14,Paramètres!$A$1:$I$89,3,0)*VLOOKUP('Données projet'!$B$14,Paramètres!$A$1:$I$89,5,0)</f>
        <v>170.13749999999996</v>
      </c>
      <c r="DQ50" s="14">
        <f t="shared" si="43"/>
        <v>43.120817562072411</v>
      </c>
      <c r="DR50" s="22">
        <f t="shared" si="16"/>
        <v>371.42490308727605</v>
      </c>
      <c r="DS50" s="62">
        <f t="shared" si="17"/>
        <v>632.94328099999041</v>
      </c>
      <c r="DT50" s="62">
        <f ca="1">AVERAGE(OFFSET($DS$3,0,0,'Données projet'!$E$14+1,1))-AVERAGE(OFFSET($H$3,0,0,'Données projet'!$E$14+1,1))</f>
        <v>308.39181291575227</v>
      </c>
      <c r="DU50" s="62">
        <f t="shared" si="44"/>
        <v>298.58225298824334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8.1999999999999993</v>
      </c>
      <c r="EJ50" s="13">
        <f>IF('Données projet'!$A$192&gt;35,EJ49+EI50-ER49,IF(A50&lt;'Données projet'!$A$192,$EG$205^A50,IF(A50='Données projet'!$A$192,'Données projet'!$B$192,EJ49+EI50-ER49)))</f>
        <v>174.40000000000003</v>
      </c>
      <c r="EK50" s="18">
        <f>EJ50*VLOOKUP('Données projet'!$B$15,Paramètres!$A$1:$I$89,3,0)*VLOOKUP('Données projet'!$B$15,Paramètres!$A$1:$I$89,5,0)</f>
        <v>168.67968000000002</v>
      </c>
      <c r="EL50" s="14">
        <f t="shared" si="45"/>
        <v>42.794181774227013</v>
      </c>
      <c r="EM50" s="22">
        <f t="shared" si="19"/>
        <v>368.3169759234454</v>
      </c>
      <c r="EN50" s="62">
        <f t="shared" si="20"/>
        <v>629.83535383615981</v>
      </c>
      <c r="EO50" s="62">
        <f ca="1">AVERAGE(OFFSET($EN$3,0,0,'Données projet'!$E$15+1,1))-AVERAGE(OFFSET($H$3,0,0,'Données projet'!$E$15+1,1))</f>
        <v>487.76433095707876</v>
      </c>
      <c r="EP50" s="62">
        <f t="shared" si="46"/>
        <v>276.24209151398361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8.1999999999999993</v>
      </c>
      <c r="FE50" s="13">
        <f>IF('Données projet'!$A$218&gt;35,FE49+FD50-FM49,IF(A50&lt;'Données projet'!$A$218,$FB$205^A50,IF(A50='Données projet'!$A$218,'Données projet'!$B$218,FE49+FD50-FM49)))</f>
        <v>174.40000000000003</v>
      </c>
      <c r="FF50" s="18">
        <f>FE50*VLOOKUP('Données projet'!$B$16,Paramètres!$A$1:$I$89,3,0)*VLOOKUP('Données projet'!$B$16,Paramètres!$A$1:$I$89,5,0)</f>
        <v>187.72416000000004</v>
      </c>
      <c r="FG50" s="14">
        <f t="shared" si="47"/>
        <v>47.036444603668812</v>
      </c>
      <c r="FH50" s="22">
        <f t="shared" si="22"/>
        <v>408.87471968472323</v>
      </c>
      <c r="FI50" s="62">
        <f t="shared" si="23"/>
        <v>670.39309759743765</v>
      </c>
      <c r="FJ50" s="62">
        <f ca="1">AVERAGE(OFFSET($FI$3,0,0,'Données projet'!$E$16+1,1))-AVERAGE(OFFSET($H$3,0,0,'Données projet'!$E$16+1,1))</f>
        <v>534.33392288300456</v>
      </c>
      <c r="FK50" s="62">
        <f t="shared" si="48"/>
        <v>300.93109615735477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5.8974358974358951</v>
      </c>
      <c r="FZ50" s="13">
        <f>IF('Données projet'!$A$244&gt;35,FZ49+FY50-GH49,IF(A50&lt;'Données projet'!$A$244,$FW$205^A50,IF(A50='Données projet'!$A$244,'Données projet'!$B$244,FZ49+FY50-GH49)))</f>
        <v>186.1538461538461</v>
      </c>
      <c r="GA50" s="18">
        <f>FZ50*VLOOKUP('Données projet'!$B$17,Paramètres!$A$1:$I$89,3,0)*VLOOKUP('Données projet'!$B$17,Paramètres!$A$1:$I$89,5,0)</f>
        <v>124.87199999999997</v>
      </c>
      <c r="GB50" s="14">
        <f t="shared" si="49"/>
        <v>32.808667984674223</v>
      </c>
      <c r="GC50" s="22">
        <f t="shared" si="25"/>
        <v>274.62716340664088</v>
      </c>
      <c r="GD50" s="62">
        <f t="shared" si="26"/>
        <v>536.14554131935529</v>
      </c>
      <c r="GE50" s="62">
        <f ca="1">AVERAGE(OFFSET($GD$3,0,0,'Données projet'!$E$17+1,1))-AVERAGE(OFFSET($H$3,0,0,'Données projet'!$E$17+1,1))</f>
        <v>316.17772895535211</v>
      </c>
      <c r="GF50" s="62">
        <f t="shared" si="50"/>
        <v>251.94445589652992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61.32319397619483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3.95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14.483333333333334</v>
      </c>
      <c r="H51" s="70">
        <f t="shared" si="1"/>
        <v>198.73333333333335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</v>
      </c>
      <c r="N51" s="14">
        <f>IF('Données projet'!$A$36&gt;35,N50+M51-V50,IF(A51&lt;'Données projet'!$A$36,$K$205^A51,IF(A51='Données projet'!$A$36,'Données projet'!$B$36,N50+M51-V50)))</f>
        <v>209.00000000000006</v>
      </c>
      <c r="O51" s="14">
        <f>N51*VLOOKUP('Données projet'!$B$9,Paramètres!$A$1:$I$89,3,0)*VLOOKUP('Données projet'!$B$9,Paramètres!$A$1:$I$89,5,0)</f>
        <v>176.06160000000008</v>
      </c>
      <c r="P51" s="14">
        <f t="shared" si="33"/>
        <v>44.444839741138928</v>
      </c>
      <c r="Q51" s="22">
        <f t="shared" si="53"/>
        <v>384.04871588248375</v>
      </c>
      <c r="R51" s="62">
        <f t="shared" si="0"/>
        <v>646.11901214416116</v>
      </c>
      <c r="S51" s="62">
        <f ca="1">AVERAGE(OFFSET($R$3,0,0,'Données projet'!$E$9+1,1))-AVERAGE(OFFSET($H$3,0,0,'Données projet'!$E$9+1,1))</f>
        <v>508.93703669150443</v>
      </c>
      <c r="T51" s="62">
        <f t="shared" si="34"/>
        <v>277.04920840696707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8.1999999999999993</v>
      </c>
      <c r="AI51" s="14">
        <f>IF('Données projet'!$A$62&gt;35,AI50+AH51-AQ50,IF(A51&lt;'Données projet'!$A$62,$AF$205^A51,IF(A51='Données projet'!$A$62,'Données projet'!$B$62,AI50+AH51-AQ50)))</f>
        <v>182.60000000000002</v>
      </c>
      <c r="AJ51" s="14">
        <f>AI51*VLOOKUP('Données projet'!$B$10,Paramètres!$A$1:$I$89,3,0)*VLOOKUP('Données projet'!$B$10,Paramètres!$A$1:$I$89,5,0)</f>
        <v>165.21648000000002</v>
      </c>
      <c r="AK51" s="14">
        <f t="shared" si="35"/>
        <v>42.016901084500397</v>
      </c>
      <c r="AL51" s="22">
        <f t="shared" si="4"/>
        <v>360.93147205550491</v>
      </c>
      <c r="AM51" s="62">
        <f t="shared" si="5"/>
        <v>623.00176831718238</v>
      </c>
      <c r="AN51" s="62">
        <f ca="1">AVERAGE(OFFSET($AM$3,0,0,'Données projet'!$E$10+1,1))-AVERAGE(OFFSET($H$3,0,0,'Données projet'!$E$10+1,1))</f>
        <v>461.10503306101145</v>
      </c>
      <c r="AO51" s="62">
        <f t="shared" si="36"/>
        <v>262.10652147273288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8.6</v>
      </c>
      <c r="BD51" s="13">
        <f>IF('Données projet'!$A$88&gt;35,BD50+BC51-BL50,IF(A51&lt;'Données projet'!$A$88,$BA$205^A51,IF(A51='Données projet'!$A$88,'Données projet'!$B$88,BD50+BC51-BL50)))</f>
        <v>267.80000000000007</v>
      </c>
      <c r="BE51" s="14">
        <f>BD51*VLOOKUP('Données projet'!$B$11,Paramètres!$A$1:$I$89,3,0)*VLOOKUP('Données projet'!$B$11,Paramètres!$A$1:$I$89,5,0)</f>
        <v>213.06168000000005</v>
      </c>
      <c r="BF51" s="14">
        <f t="shared" si="37"/>
        <v>52.604075157965084</v>
      </c>
      <c r="BG51" s="22">
        <f t="shared" si="7"/>
        <v>462.70119023345586</v>
      </c>
      <c r="BH51" s="62">
        <f t="shared" si="8"/>
        <v>724.77148649513333</v>
      </c>
      <c r="BI51" s="62">
        <f ca="1">AVERAGE(OFFSET($BH$3,0,0,'Données projet'!$E$11+1,1))-AVERAGE(OFFSET($H$3,0,0,'Données projet'!$E$11+1,1))</f>
        <v>389.67854939311752</v>
      </c>
      <c r="BJ51" s="62">
        <f t="shared" si="38"/>
        <v>420.05189970516096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9.5799999999999983</v>
      </c>
      <c r="BY51" s="13">
        <f>IF('Données projet'!$A$114&gt;35,BY50+BX51-CG50,IF(A51&lt;'Données projet'!$A$114,$BV$205^A51,IF(A51='Données projet'!$A$114,'Données projet'!$B$114,BY50+BX51-CG50)))</f>
        <v>234.87999999999977</v>
      </c>
      <c r="BZ51" s="14">
        <f>BY51*VLOOKUP('Données projet'!$B$12,Paramètres!$A$1:$I$89,3,0)*VLOOKUP('Données projet'!$B$12,Paramètres!$A$1:$I$89,5,0)</f>
        <v>134.35135999999989</v>
      </c>
      <c r="CA51" s="14">
        <f t="shared" si="39"/>
        <v>34.999896114683857</v>
      </c>
      <c r="CB51" s="22">
        <f t="shared" si="10"/>
        <v>294.95343773307417</v>
      </c>
      <c r="CC51" s="62">
        <f t="shared" si="11"/>
        <v>557.02373399475164</v>
      </c>
      <c r="CD51" s="62">
        <f ca="1">AVERAGE(OFFSET($CC$3,0,0,'Données projet'!$E$12+1,1))-AVERAGE(OFFSET($H$3,0,0,'Données projet'!$E$12+1,1))</f>
        <v>312.16891625633968</v>
      </c>
      <c r="CE51" s="62">
        <f t="shared" si="40"/>
        <v>215.34305815516177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7.2925940056656486</v>
      </c>
      <c r="CM51" s="23">
        <f>EXP(-LN(2)/2)*CM50+(1-EXP(-LN(2)/2))/(LN(2)/2)*CG51*CJ51*VLOOKUP('Données projet'!$B$12,Paramètres!$A$1:$I$89,3,0)*0.475*44/12</f>
        <v>1.5913262786004988E-2</v>
      </c>
      <c r="CN51" s="24">
        <f t="shared" si="12"/>
        <v>7.3085072684516534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6.6666666666666687</v>
      </c>
      <c r="CT51" s="13">
        <f>IF('Données projet'!$A$140&gt;35,CT50+CS51-DB50,IF(A51&lt;'Données projet'!$A$140,$CQ$205^A51,IF(A51='Données projet'!$A$140,'Données projet'!$B$140,CT50+CS51-DB50)))</f>
        <v>213.58974358974362</v>
      </c>
      <c r="CU51" s="18">
        <f>CT51*VLOOKUP('Données projet'!$B$13,Paramètres!$A$1:$I$89,3,0)*VLOOKUP('Données projet'!$B$13,Paramètres!$A$1:$I$89,5,0)</f>
        <v>143.27600000000004</v>
      </c>
      <c r="CV51" s="14">
        <f t="shared" si="41"/>
        <v>37.04647781208471</v>
      </c>
      <c r="CW51" s="22">
        <f t="shared" si="13"/>
        <v>314.06164885604761</v>
      </c>
      <c r="CX51" s="62">
        <f t="shared" si="14"/>
        <v>576.13194511772508</v>
      </c>
      <c r="CY51" s="62">
        <f ca="1">AVERAGE(OFFSET($CX$3,0,0,'Données projet'!$E$13+1,1))-AVERAGE(OFFSET($H$3,0,0,'Données projet'!$E$13+1,1))</f>
        <v>369.04754428478793</v>
      </c>
      <c r="CZ51" s="62">
        <f t="shared" si="42"/>
        <v>277.00523259351712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10.375</v>
      </c>
      <c r="DO51" s="13">
        <f>IF('Données projet'!$A$166&gt;35,DO50+DN51-DW50,IF(A51&lt;'Données projet'!$A$166,$DL$205^A51,IF(A51='Données projet'!$A$166,'Données projet'!$B$166,DO50+DN51-DW50)))</f>
        <v>228.49999999999994</v>
      </c>
      <c r="DP51" s="18">
        <f>DO51*VLOOKUP('Données projet'!$B$14,Paramètres!$A$1:$I$89,3,0)*VLOOKUP('Données projet'!$B$14,Paramètres!$A$1:$I$89,5,0)</f>
        <v>178.22999999999996</v>
      </c>
      <c r="DQ51" s="14">
        <f t="shared" si="43"/>
        <v>44.928167580487852</v>
      </c>
      <c r="DR51" s="22">
        <f t="shared" si="16"/>
        <v>388.66714186934956</v>
      </c>
      <c r="DS51" s="62">
        <f t="shared" si="17"/>
        <v>650.73743813102703</v>
      </c>
      <c r="DT51" s="62">
        <f ca="1">AVERAGE(OFFSET($DS$3,0,0,'Données projet'!$E$14+1,1))-AVERAGE(OFFSET($H$3,0,0,'Données projet'!$E$14+1,1))</f>
        <v>308.39181291575227</v>
      </c>
      <c r="DU51" s="62">
        <f t="shared" si="44"/>
        <v>298.58225298824334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8.1999999999999993</v>
      </c>
      <c r="EJ51" s="13">
        <f>IF('Données projet'!$A$192&gt;35,EJ50+EI51-ER50,IF(A51&lt;'Données projet'!$A$192,$EG$205^A51,IF(A51='Données projet'!$A$192,'Données projet'!$B$192,EJ50+EI51-ER50)))</f>
        <v>182.60000000000002</v>
      </c>
      <c r="EK51" s="18">
        <f>EJ51*VLOOKUP('Données projet'!$B$15,Paramètres!$A$1:$I$89,3,0)*VLOOKUP('Données projet'!$B$15,Paramètres!$A$1:$I$89,5,0)</f>
        <v>176.61072000000004</v>
      </c>
      <c r="EL51" s="14">
        <f t="shared" si="45"/>
        <v>44.56730162053563</v>
      </c>
      <c r="EM51" s="22">
        <f t="shared" si="19"/>
        <v>385.21838765576626</v>
      </c>
      <c r="EN51" s="62">
        <f t="shared" si="20"/>
        <v>647.28868391744368</v>
      </c>
      <c r="EO51" s="62">
        <f ca="1">AVERAGE(OFFSET($EN$3,0,0,'Données projet'!$E$15+1,1))-AVERAGE(OFFSET($H$3,0,0,'Données projet'!$E$15+1,1))</f>
        <v>487.76433095707876</v>
      </c>
      <c r="EP51" s="62">
        <f t="shared" si="46"/>
        <v>276.24209151398361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8.1999999999999993</v>
      </c>
      <c r="FE51" s="13">
        <f>IF('Données projet'!$A$218&gt;35,FE50+FD51-FM50,IF(A51&lt;'Données projet'!$A$218,$FB$205^A51,IF(A51='Données projet'!$A$218,'Données projet'!$B$218,FE50+FD51-FM50)))</f>
        <v>182.60000000000002</v>
      </c>
      <c r="FF51" s="18">
        <f>FE51*VLOOKUP('Données projet'!$B$16,Paramètres!$A$1:$I$89,3,0)*VLOOKUP('Données projet'!$B$16,Paramètres!$A$1:$I$89,5,0)</f>
        <v>196.55064000000002</v>
      </c>
      <c r="FG51" s="14">
        <f t="shared" si="47"/>
        <v>48.985336952319578</v>
      </c>
      <c r="FH51" s="22">
        <f t="shared" si="22"/>
        <v>427.6418265252899</v>
      </c>
      <c r="FI51" s="62">
        <f t="shared" si="23"/>
        <v>689.71212278696737</v>
      </c>
      <c r="FJ51" s="62">
        <f ca="1">AVERAGE(OFFSET($FI$3,0,0,'Données projet'!$E$16+1,1))-AVERAGE(OFFSET($H$3,0,0,'Données projet'!$E$16+1,1))</f>
        <v>534.33392288300456</v>
      </c>
      <c r="FK51" s="62">
        <f t="shared" si="48"/>
        <v>300.93109615735477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5.8974358974358951</v>
      </c>
      <c r="FZ51" s="13">
        <f>IF('Données projet'!$A$244&gt;35,FZ50+FY51-GH50,IF(A51&lt;'Données projet'!$A$244,$FW$205^A51,IF(A51='Données projet'!$A$244,'Données projet'!$B$244,FZ50+FY51-GH50)))</f>
        <v>192.05128205128199</v>
      </c>
      <c r="GA51" s="18">
        <f>FZ51*VLOOKUP('Données projet'!$B$17,Paramètres!$A$1:$I$89,3,0)*VLOOKUP('Données projet'!$B$17,Paramètres!$A$1:$I$89,5,0)</f>
        <v>128.82799999999995</v>
      </c>
      <c r="GB51" s="14">
        <f t="shared" si="49"/>
        <v>33.725401968840814</v>
      </c>
      <c r="GC51" s="22">
        <f t="shared" si="25"/>
        <v>283.11384176239767</v>
      </c>
      <c r="GD51" s="62">
        <f t="shared" si="26"/>
        <v>545.18413802407508</v>
      </c>
      <c r="GE51" s="62">
        <f ca="1">AVERAGE(OFFSET($GD$3,0,0,'Données projet'!$E$17+1,1))-AVERAGE(OFFSET($H$3,0,0,'Données projet'!$E$17+1,1))</f>
        <v>316.17772895535211</v>
      </c>
      <c r="GF51" s="62">
        <f t="shared" si="50"/>
        <v>251.94445589652992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61.473717162275676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3.95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14.483333333333334</v>
      </c>
      <c r="H52" s="70">
        <f t="shared" si="1"/>
        <v>198.73333333333335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</v>
      </c>
      <c r="N52" s="14">
        <f>IF('Données projet'!$A$36&gt;35,N51+M52-V51,IF(A52&lt;'Données projet'!$A$36,$K$205^A52,IF(A52='Données projet'!$A$36,'Données projet'!$B$36,N51+M52-V51)))</f>
        <v>220.00000000000006</v>
      </c>
      <c r="O52" s="14">
        <f>N52*VLOOKUP('Données projet'!$B$9,Paramètres!$A$1:$I$89,3,0)*VLOOKUP('Données projet'!$B$9,Paramètres!$A$1:$I$89,5,0)</f>
        <v>185.32800000000006</v>
      </c>
      <c r="P52" s="14">
        <f t="shared" si="33"/>
        <v>46.505548070897625</v>
      </c>
      <c r="Q52" s="22">
        <f t="shared" si="53"/>
        <v>403.77676289014676</v>
      </c>
      <c r="R52" s="62">
        <f t="shared" si="0"/>
        <v>666.38940295133739</v>
      </c>
      <c r="S52" s="62">
        <f ca="1">AVERAGE(OFFSET($R$3,0,0,'Données projet'!$E$9+1,1))-AVERAGE(OFFSET($H$3,0,0,'Données projet'!$E$9+1,1))</f>
        <v>508.93703669150443</v>
      </c>
      <c r="T52" s="62">
        <f t="shared" si="34"/>
        <v>277.04920840696707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8.1999999999999993</v>
      </c>
      <c r="AI52" s="14">
        <f>IF('Données projet'!$A$62&gt;35,AI51+AH52-AQ51,IF(A52&lt;'Données projet'!$A$62,$AF$205^A52,IF(A52='Données projet'!$A$62,'Données projet'!$B$62,AI51+AH52-AQ51)))</f>
        <v>190.8</v>
      </c>
      <c r="AJ52" s="14">
        <f>AI52*VLOOKUP('Données projet'!$B$10,Paramètres!$A$1:$I$89,3,0)*VLOOKUP('Données projet'!$B$10,Paramètres!$A$1:$I$89,5,0)</f>
        <v>172.63584</v>
      </c>
      <c r="AK52" s="14">
        <f t="shared" si="35"/>
        <v>43.679834395222109</v>
      </c>
      <c r="AL52" s="22">
        <f t="shared" si="4"/>
        <v>376.74979957167847</v>
      </c>
      <c r="AM52" s="62">
        <f t="shared" si="5"/>
        <v>639.36243963286915</v>
      </c>
      <c r="AN52" s="62">
        <f ca="1">AVERAGE(OFFSET($AM$3,0,0,'Données projet'!$E$10+1,1))-AVERAGE(OFFSET($H$3,0,0,'Données projet'!$E$10+1,1))</f>
        <v>461.10503306101145</v>
      </c>
      <c r="AO52" s="62">
        <f t="shared" si="36"/>
        <v>262.10652147273288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8.6</v>
      </c>
      <c r="BD52" s="13">
        <f>IF('Données projet'!$A$88&gt;35,BD51+BC52-BL51,IF(A52&lt;'Données projet'!$A$88,$BA$205^A52,IF(A52='Données projet'!$A$88,'Données projet'!$B$88,BD51+BC52-BL51)))</f>
        <v>276.40000000000009</v>
      </c>
      <c r="BE52" s="14">
        <f>BD52*VLOOKUP('Données projet'!$B$11,Paramètres!$A$1:$I$89,3,0)*VLOOKUP('Données projet'!$B$11,Paramètres!$A$1:$I$89,5,0)</f>
        <v>219.90384000000009</v>
      </c>
      <c r="BF52" s="14">
        <f t="shared" si="37"/>
        <v>54.093985287951313</v>
      </c>
      <c r="BG52" s="22">
        <f t="shared" si="7"/>
        <v>477.212879043182</v>
      </c>
      <c r="BH52" s="62">
        <f t="shared" si="8"/>
        <v>739.82551910437269</v>
      </c>
      <c r="BI52" s="62">
        <f ca="1">AVERAGE(OFFSET($BH$3,0,0,'Données projet'!$E$11+1,1))-AVERAGE(OFFSET($H$3,0,0,'Données projet'!$E$11+1,1))</f>
        <v>389.67854939311752</v>
      </c>
      <c r="BJ52" s="62">
        <f t="shared" si="38"/>
        <v>420.05189970516096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9.5799999999999983</v>
      </c>
      <c r="BY52" s="13">
        <f>IF('Données projet'!$A$114&gt;35,BY51+BX52-CG51,IF(A52&lt;'Données projet'!$A$114,$BV$205^A52,IF(A52='Données projet'!$A$114,'Données projet'!$B$114,BY51+BX52-CG51)))</f>
        <v>244.45999999999975</v>
      </c>
      <c r="BZ52" s="14">
        <f>BY52*VLOOKUP('Données projet'!$B$12,Paramètres!$A$1:$I$89,3,0)*VLOOKUP('Données projet'!$B$12,Paramètres!$A$1:$I$89,5,0)</f>
        <v>139.83111999999988</v>
      </c>
      <c r="CA52" s="14">
        <f t="shared" si="39"/>
        <v>36.258314741153178</v>
      </c>
      <c r="CB52" s="22">
        <f t="shared" si="10"/>
        <v>306.68909884084155</v>
      </c>
      <c r="CC52" s="62">
        <f t="shared" si="11"/>
        <v>569.30173890203218</v>
      </c>
      <c r="CD52" s="62">
        <f ca="1">AVERAGE(OFFSET($CC$3,0,0,'Données projet'!$E$12+1,1))-AVERAGE(OFFSET($H$3,0,0,'Données projet'!$E$12+1,1))</f>
        <v>312.16891625633968</v>
      </c>
      <c r="CE52" s="62">
        <f t="shared" si="40"/>
        <v>215.34305815516177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7.0931776390798698</v>
      </c>
      <c r="CM52" s="23">
        <f>EXP(-LN(2)/2)*CM51+(1-EXP(-LN(2)/2))/(LN(2)/2)*CG52*CJ52*VLOOKUP('Données projet'!$B$12,Paramètres!$A$1:$I$89,3,0)*0.475*44/12</f>
        <v>1.1252376026787659E-2</v>
      </c>
      <c r="CN52" s="24">
        <f t="shared" si="12"/>
        <v>7.1044300151066571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6.6666666666666687</v>
      </c>
      <c r="CT52" s="13">
        <f>IF('Données projet'!$A$140&gt;35,CT51+CS52-DB51,IF(A52&lt;'Données projet'!$A$140,$CQ$205^A52,IF(A52='Données projet'!$A$140,'Données projet'!$B$140,CT51+CS52-DB51)))</f>
        <v>220.25641025641028</v>
      </c>
      <c r="CU52" s="18">
        <f>CT52*VLOOKUP('Données projet'!$B$13,Paramètres!$A$1:$I$89,3,0)*VLOOKUP('Données projet'!$B$13,Paramètres!$A$1:$I$89,5,0)</f>
        <v>147.74800000000002</v>
      </c>
      <c r="CV52" s="14">
        <f t="shared" si="41"/>
        <v>38.066360844681896</v>
      </c>
      <c r="CW52" s="22">
        <f t="shared" si="13"/>
        <v>323.62667847115432</v>
      </c>
      <c r="CX52" s="62">
        <f t="shared" si="14"/>
        <v>586.2393185323449</v>
      </c>
      <c r="CY52" s="62">
        <f ca="1">AVERAGE(OFFSET($CX$3,0,0,'Données projet'!$E$13+1,1))-AVERAGE(OFFSET($H$3,0,0,'Données projet'!$E$13+1,1))</f>
        <v>369.04754428478793</v>
      </c>
      <c r="CZ52" s="62">
        <f t="shared" si="42"/>
        <v>277.00523259351712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10.375</v>
      </c>
      <c r="DO52" s="13">
        <f>IF('Données projet'!$A$166&gt;35,DO51+DN52-DW51,IF(A52&lt;'Données projet'!$A$166,$DL$205^A52,IF(A52='Données projet'!$A$166,'Données projet'!$B$166,DO51+DN52-DW51)))</f>
        <v>238.87499999999994</v>
      </c>
      <c r="DP52" s="18">
        <f>DO52*VLOOKUP('Données projet'!$B$14,Paramètres!$A$1:$I$89,3,0)*VLOOKUP('Données projet'!$B$14,Paramètres!$A$1:$I$89,5,0)</f>
        <v>186.32249999999996</v>
      </c>
      <c r="DQ52" s="14">
        <f t="shared" si="43"/>
        <v>46.725987276254116</v>
      </c>
      <c r="DR52" s="22">
        <f t="shared" si="16"/>
        <v>405.89278200614257</v>
      </c>
      <c r="DS52" s="62">
        <f t="shared" si="17"/>
        <v>668.50542206733326</v>
      </c>
      <c r="DT52" s="62">
        <f ca="1">AVERAGE(OFFSET($DS$3,0,0,'Données projet'!$E$14+1,1))-AVERAGE(OFFSET($H$3,0,0,'Données projet'!$E$14+1,1))</f>
        <v>308.39181291575227</v>
      </c>
      <c r="DU52" s="62">
        <f t="shared" si="44"/>
        <v>298.58225298824334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8.1999999999999993</v>
      </c>
      <c r="EJ52" s="13">
        <f>IF('Données projet'!$A$192&gt;35,EJ51+EI52-ER51,IF(A52&lt;'Données projet'!$A$192,$EG$205^A52,IF(A52='Données projet'!$A$192,'Données projet'!$B$192,EJ51+EI52-ER51)))</f>
        <v>190.8</v>
      </c>
      <c r="EK52" s="18">
        <f>EJ52*VLOOKUP('Données projet'!$B$15,Paramètres!$A$1:$I$89,3,0)*VLOOKUP('Données projet'!$B$15,Paramètres!$A$1:$I$89,5,0)</f>
        <v>184.54176000000001</v>
      </c>
      <c r="EL52" s="14">
        <f t="shared" si="45"/>
        <v>46.33117397953523</v>
      </c>
      <c r="EM52" s="22">
        <f t="shared" si="19"/>
        <v>402.10369334769052</v>
      </c>
      <c r="EN52" s="62">
        <f t="shared" si="20"/>
        <v>664.71633340888116</v>
      </c>
      <c r="EO52" s="62">
        <f ca="1">AVERAGE(OFFSET($EN$3,0,0,'Données projet'!$E$15+1,1))-AVERAGE(OFFSET($H$3,0,0,'Données projet'!$E$15+1,1))</f>
        <v>487.76433095707876</v>
      </c>
      <c r="EP52" s="62">
        <f t="shared" si="46"/>
        <v>276.24209151398361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8.1999999999999993</v>
      </c>
      <c r="FE52" s="13">
        <f>IF('Données projet'!$A$218&gt;35,FE51+FD52-FM51,IF(A52&lt;'Données projet'!$A$218,$FB$205^A52,IF(A52='Données projet'!$A$218,'Données projet'!$B$218,FE51+FD52-FM51)))</f>
        <v>190.8</v>
      </c>
      <c r="FF52" s="18">
        <f>FE52*VLOOKUP('Données projet'!$B$16,Paramètres!$A$1:$I$89,3,0)*VLOOKUP('Données projet'!$B$16,Paramètres!$A$1:$I$89,5,0)</f>
        <v>205.37711999999999</v>
      </c>
      <c r="FG52" s="14">
        <f t="shared" si="47"/>
        <v>50.924065093909938</v>
      </c>
      <c r="FH52" s="22">
        <f t="shared" si="22"/>
        <v>446.39123070522641</v>
      </c>
      <c r="FI52" s="62">
        <f t="shared" si="23"/>
        <v>709.00387076641709</v>
      </c>
      <c r="FJ52" s="62">
        <f ca="1">AVERAGE(OFFSET($FI$3,0,0,'Données projet'!$E$16+1,1))-AVERAGE(OFFSET($H$3,0,0,'Données projet'!$E$16+1,1))</f>
        <v>534.33392288300456</v>
      </c>
      <c r="FK52" s="62">
        <f t="shared" si="48"/>
        <v>300.93109615735477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5.8974358974358951</v>
      </c>
      <c r="FZ52" s="13">
        <f>IF('Données projet'!$A$244&gt;35,FZ51+FY52-GH51,IF(A52&lt;'Données projet'!$A$244,$FW$205^A52,IF(A52='Données projet'!$A$244,'Données projet'!$B$244,FZ51+FY52-GH51)))</f>
        <v>197.94871794871787</v>
      </c>
      <c r="GA52" s="18">
        <f>FZ52*VLOOKUP('Données projet'!$B$17,Paramètres!$A$1:$I$89,3,0)*VLOOKUP('Données projet'!$B$17,Paramètres!$A$1:$I$89,5,0)</f>
        <v>132.78399999999993</v>
      </c>
      <c r="GB52" s="14">
        <f t="shared" si="49"/>
        <v>34.63886451634189</v>
      </c>
      <c r="GC52" s="22">
        <f t="shared" si="25"/>
        <v>291.59482236596199</v>
      </c>
      <c r="GD52" s="62">
        <f t="shared" si="26"/>
        <v>554.20746242715268</v>
      </c>
      <c r="GE52" s="62">
        <f ca="1">AVERAGE(OFFSET($GD$3,0,0,'Données projet'!$E$17+1,1))-AVERAGE(OFFSET($H$3,0,0,'Données projet'!$E$17+1,1))</f>
        <v>316.17772895535211</v>
      </c>
      <c r="GF52" s="62">
        <f t="shared" si="50"/>
        <v>251.94445589652992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61.621629107597442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3.95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14.483333333333334</v>
      </c>
      <c r="H53" s="70">
        <f t="shared" si="1"/>
        <v>198.73333333333335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231</v>
      </c>
      <c r="L53" s="13">
        <f>VLOOKUP(A53,'Données projet'!$A$35:$I$55,9,0)</f>
        <v>11</v>
      </c>
      <c r="M53" s="13">
        <f t="array" ref="M53">INDEX(L:L,MIN(IF(ISNUMBER(L53:L249),ROW(L53:L249),"")))</f>
        <v>11</v>
      </c>
      <c r="N53" s="14">
        <f>IF('Données projet'!$A$36&gt;35,N52+M53-V52,IF(A53&lt;'Données projet'!$A$36,$K$205^A53,IF(A53='Données projet'!$A$36,'Données projet'!$B$36,N52+M53-V52)))</f>
        <v>231.00000000000006</v>
      </c>
      <c r="O53" s="14">
        <f>N53*VLOOKUP('Données projet'!$B$9,Paramètres!$A$1:$I$89,3,0)*VLOOKUP('Données projet'!$B$9,Paramètres!$A$1:$I$89,5,0)</f>
        <v>194.59440000000006</v>
      </c>
      <c r="P53" s="14">
        <f t="shared" si="33"/>
        <v>48.554292648263456</v>
      </c>
      <c r="Q53" s="22">
        <f t="shared" si="53"/>
        <v>423.48397302905897</v>
      </c>
      <c r="R53" s="62">
        <f t="shared" si="0"/>
        <v>686.62954843734042</v>
      </c>
      <c r="S53" s="62">
        <f ca="1">AVERAGE(OFFSET($R$3,0,0,'Données projet'!$E$9+1,1))-AVERAGE(OFFSET($H$3,0,0,'Données projet'!$E$9+1,1))</f>
        <v>508.93703669150443</v>
      </c>
      <c r="T53" s="62">
        <f t="shared" si="34"/>
        <v>277.04920840696707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199</v>
      </c>
      <c r="AG53" s="13">
        <f>VLOOKUP(A53,'Données projet'!$A$61:$I$81,9,0)</f>
        <v>8.1999999999999993</v>
      </c>
      <c r="AH53" s="13">
        <f t="array" ref="AH53">INDEX(AG:AG,MIN(IF(ISNUMBER(AG53:AG249),ROW(AG53:AG249),"")))</f>
        <v>8.1999999999999993</v>
      </c>
      <c r="AI53" s="14">
        <f>IF('Données projet'!$A$62&gt;35,AI52+AH53-AQ52,IF(A53&lt;'Données projet'!$A$62,$AF$205^A53,IF(A53='Données projet'!$A$62,'Données projet'!$B$62,AI52+AH53-AQ52)))</f>
        <v>199</v>
      </c>
      <c r="AJ53" s="14">
        <f>AI53*VLOOKUP('Données projet'!$B$10,Paramètres!$A$1:$I$89,3,0)*VLOOKUP('Données projet'!$B$10,Paramètres!$A$1:$I$89,5,0)</f>
        <v>180.05519999999999</v>
      </c>
      <c r="AK53" s="14">
        <f t="shared" si="35"/>
        <v>45.334466930398364</v>
      </c>
      <c r="AL53" s="22">
        <f t="shared" si="4"/>
        <v>392.55366990377706</v>
      </c>
      <c r="AM53" s="62">
        <f t="shared" si="5"/>
        <v>655.69924531205845</v>
      </c>
      <c r="AN53" s="62">
        <f ca="1">AVERAGE(OFFSET($AM$3,0,0,'Données projet'!$E$10+1,1))-AVERAGE(OFFSET($H$3,0,0,'Données projet'!$E$10+1,1))</f>
        <v>461.10503306101145</v>
      </c>
      <c r="AO53" s="62">
        <f t="shared" si="36"/>
        <v>262.10652147273288</v>
      </c>
      <c r="AP53" s="16">
        <f>IF(ISNA(VLOOKUP(A53,'Données projet'!$A$61:$I$81,3,0)),0,VLOOKUP(A53,'Données projet'!$A$61:$I$81,3,0))</f>
        <v>3</v>
      </c>
      <c r="AQ53" s="16">
        <f>IF(ISNA(VLOOKUP(A53,'Données projet'!$A$61:$I$81,4,0)),0,VLOOKUP(A53,'Données projet'!$A$61:$I$81,4,0))</f>
        <v>42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285</v>
      </c>
      <c r="BB53" s="13">
        <f>VLOOKUP(A53,'Données projet'!$A$87:$I$107,9,0)</f>
        <v>8.6</v>
      </c>
      <c r="BC53" s="13">
        <f t="array" ref="BC53">INDEX(BB:BB,MIN(IF(ISNUMBER(BB53:BB249),ROW(BB53:BB249),"")))</f>
        <v>8.6</v>
      </c>
      <c r="BD53" s="13">
        <f>IF('Données projet'!$A$88&gt;35,BD52+BC53-BL52,IF(A53&lt;'Données projet'!$A$88,$BA$205^A53,IF(A53='Données projet'!$A$88,'Données projet'!$B$88,BD52+BC53-BL52)))</f>
        <v>285.00000000000011</v>
      </c>
      <c r="BE53" s="14">
        <f>BD53*VLOOKUP('Données projet'!$B$11,Paramètres!$A$1:$I$89,3,0)*VLOOKUP('Données projet'!$B$11,Paramètres!$A$1:$I$89,5,0)</f>
        <v>226.74600000000009</v>
      </c>
      <c r="BF53" s="14">
        <f t="shared" si="37"/>
        <v>55.578508240245966</v>
      </c>
      <c r="BG53" s="22">
        <f t="shared" si="7"/>
        <v>491.71518518509515</v>
      </c>
      <c r="BH53" s="62">
        <f t="shared" si="8"/>
        <v>754.86076059337654</v>
      </c>
      <c r="BI53" s="62">
        <f ca="1">AVERAGE(OFFSET($BH$3,0,0,'Données projet'!$E$11+1,1))-AVERAGE(OFFSET($H$3,0,0,'Données projet'!$E$11+1,1))</f>
        <v>389.67854939311752</v>
      </c>
      <c r="BJ53" s="62">
        <f t="shared" si="38"/>
        <v>420.05189970516096</v>
      </c>
      <c r="BK53" s="16">
        <f>IF(ISNA(VLOOKUP(A53,'Données projet'!$A$87:$I$107,3,0)),0,VLOOKUP(A53,'Données projet'!$A$87:$I$107,3,0))</f>
        <v>4</v>
      </c>
      <c r="BL53" s="16">
        <f>IF(ISNA(VLOOKUP(A53,'Données projet'!$A$87:$I$107,4,0)),0,VLOOKUP(A53,'Données projet'!$A$87:$I$107,4,0))</f>
        <v>43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9.5799999999999983</v>
      </c>
      <c r="BY53" s="13">
        <f>IF('Données projet'!$A$114&gt;35,BY52+BX53-CG52,IF(A53&lt;'Données projet'!$A$114,$BV$205^A53,IF(A53='Données projet'!$A$114,'Données projet'!$B$114,BY52+BX53-CG52)))</f>
        <v>254.03999999999974</v>
      </c>
      <c r="BZ53" s="14">
        <f>BY53*VLOOKUP('Données projet'!$B$12,Paramètres!$A$1:$I$89,3,0)*VLOOKUP('Données projet'!$B$12,Paramètres!$A$1:$I$89,5,0)</f>
        <v>145.31087999999986</v>
      </c>
      <c r="CA53" s="14">
        <f t="shared" si="39"/>
        <v>37.511004575106327</v>
      </c>
      <c r="CB53" s="22">
        <f t="shared" si="10"/>
        <v>318.41478230164324</v>
      </c>
      <c r="CC53" s="62">
        <f t="shared" si="11"/>
        <v>581.56035770992457</v>
      </c>
      <c r="CD53" s="62">
        <f ca="1">AVERAGE(OFFSET($CC$3,0,0,'Données projet'!$E$12+1,1))-AVERAGE(OFFSET($H$3,0,0,'Données projet'!$E$12+1,1))</f>
        <v>312.16891625633968</v>
      </c>
      <c r="CE53" s="62">
        <f t="shared" si="40"/>
        <v>215.34305815516177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6.8992143235252303</v>
      </c>
      <c r="CM53" s="23">
        <f>EXP(-LN(2)/2)*CM52+(1-EXP(-LN(2)/2))/(LN(2)/2)*CG53*CJ53*VLOOKUP('Données projet'!$B$12,Paramètres!$A$1:$I$89,3,0)*0.475*44/12</f>
        <v>7.9566313930024939E-3</v>
      </c>
      <c r="CN53" s="24">
        <f t="shared" si="12"/>
        <v>6.9071709549182332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226.92307692307691</v>
      </c>
      <c r="CR53" s="13">
        <f>VLOOKUP(A53,'Données projet'!$A$139:$I$159,9,0)</f>
        <v>6.6666666666666687</v>
      </c>
      <c r="CS53" s="13">
        <f t="array" ref="CS53">INDEX(CR:CR,MIN(IF(ISNUMBER(CR53:CR249),ROW(CR53:CR249),"")))</f>
        <v>6.6666666666666687</v>
      </c>
      <c r="CT53" s="13">
        <f>IF('Données projet'!$A$140&gt;35,CT52+CS53-DB52,IF(A53&lt;'Données projet'!$A$140,$CQ$205^A53,IF(A53='Données projet'!$A$140,'Données projet'!$B$140,CT52+CS53-DB52)))</f>
        <v>226.92307692307693</v>
      </c>
      <c r="CU53" s="18">
        <f>CT53*VLOOKUP('Données projet'!$B$13,Paramètres!$A$1:$I$89,3,0)*VLOOKUP('Données projet'!$B$13,Paramètres!$A$1:$I$89,5,0)</f>
        <v>152.22</v>
      </c>
      <c r="CV53" s="14">
        <f t="shared" si="41"/>
        <v>39.082656403139858</v>
      </c>
      <c r="CW53" s="22">
        <f t="shared" si="13"/>
        <v>333.18545990213522</v>
      </c>
      <c r="CX53" s="62">
        <f t="shared" si="14"/>
        <v>596.33103531041661</v>
      </c>
      <c r="CY53" s="62">
        <f ca="1">AVERAGE(OFFSET($CX$3,0,0,'Données projet'!$E$13+1,1))-AVERAGE(OFFSET($H$3,0,0,'Données projet'!$E$13+1,1))</f>
        <v>369.04754428478793</v>
      </c>
      <c r="CZ53" s="62">
        <f t="shared" si="42"/>
        <v>277.00523259351712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10.375</v>
      </c>
      <c r="DO53" s="13">
        <f>IF('Données projet'!$A$166&gt;35,DO52+DN53-DW52,IF(A53&lt;'Données projet'!$A$166,$DL$205^A53,IF(A53='Données projet'!$A$166,'Données projet'!$B$166,DO52+DN53-DW52)))</f>
        <v>249.24999999999994</v>
      </c>
      <c r="DP53" s="18">
        <f>DO53*VLOOKUP('Données projet'!$B$14,Paramètres!$A$1:$I$89,3,0)*VLOOKUP('Données projet'!$B$14,Paramètres!$A$1:$I$89,5,0)</f>
        <v>194.41499999999996</v>
      </c>
      <c r="DQ53" s="14">
        <f t="shared" si="43"/>
        <v>48.514737888684969</v>
      </c>
      <c r="DR53" s="22">
        <f t="shared" si="16"/>
        <v>423.1026268227929</v>
      </c>
      <c r="DS53" s="62">
        <f t="shared" si="17"/>
        <v>686.24820223107429</v>
      </c>
      <c r="DT53" s="62">
        <f ca="1">AVERAGE(OFFSET($DS$3,0,0,'Données projet'!$E$14+1,1))-AVERAGE(OFFSET($H$3,0,0,'Données projet'!$E$14+1,1))</f>
        <v>308.39181291575227</v>
      </c>
      <c r="DU53" s="62">
        <f t="shared" si="44"/>
        <v>298.58225298824334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199</v>
      </c>
      <c r="EH53" s="13">
        <f>VLOOKUP(A53,'Données projet'!$A$191:$I$211,9,0)</f>
        <v>8.1999999999999993</v>
      </c>
      <c r="EI53" s="13">
        <f t="array" ref="EI53">INDEX(EH:EH,MIN(IF(ISNUMBER(EH53:EH249),ROW(EH53:EH249),"")))</f>
        <v>8.1999999999999993</v>
      </c>
      <c r="EJ53" s="13">
        <f>IF('Données projet'!$A$192&gt;35,EJ52+EI53-ER52,IF(A53&lt;'Données projet'!$A$192,$EG$205^A53,IF(A53='Données projet'!$A$192,'Données projet'!$B$192,EJ52+EI53-ER52)))</f>
        <v>199</v>
      </c>
      <c r="EK53" s="18">
        <f>EJ53*VLOOKUP('Données projet'!$B$15,Paramètres!$A$1:$I$89,3,0)*VLOOKUP('Données projet'!$B$15,Paramètres!$A$1:$I$89,5,0)</f>
        <v>192.47280000000001</v>
      </c>
      <c r="EL53" s="14">
        <f t="shared" si="45"/>
        <v>48.086241710923829</v>
      </c>
      <c r="EM53" s="22">
        <f t="shared" si="19"/>
        <v>418.97366431319239</v>
      </c>
      <c r="EN53" s="62">
        <f t="shared" si="20"/>
        <v>682.11923972147383</v>
      </c>
      <c r="EO53" s="62">
        <f ca="1">AVERAGE(OFFSET($EN$3,0,0,'Données projet'!$E$15+1,1))-AVERAGE(OFFSET($H$3,0,0,'Données projet'!$E$15+1,1))</f>
        <v>487.76433095707876</v>
      </c>
      <c r="EP53" s="62">
        <f t="shared" si="46"/>
        <v>276.24209151398361</v>
      </c>
      <c r="EQ53" s="16">
        <f>IF(ISNA(VLOOKUP(A53,'Données projet'!$A$191:$I$211,3,0)),0,VLOOKUP(A53,'Données projet'!$A$191:$I$211,3,0))</f>
        <v>3</v>
      </c>
      <c r="ER53" s="16">
        <f>IF(ISNA(VLOOKUP(A53,'Données projet'!$A$191:$I$211,4,0)),0,VLOOKUP(A53,'Données projet'!$A$191:$I$211,4,0))</f>
        <v>42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199</v>
      </c>
      <c r="FC53" s="13">
        <f>VLOOKUP(A53,'Données projet'!$A$217:$I$237,9,0)</f>
        <v>8.1999999999999993</v>
      </c>
      <c r="FD53" s="13">
        <f t="array" ref="FD53">INDEX(FC:FC,MIN(IF(ISNUMBER(FC53:FC249),ROW(FC53:FC249),"")))</f>
        <v>8.1999999999999993</v>
      </c>
      <c r="FE53" s="13">
        <f>IF('Données projet'!$A$218&gt;35,FE52+FD53-FM52,IF(A53&lt;'Données projet'!$A$218,$FB$205^A53,IF(A53='Données projet'!$A$218,'Données projet'!$B$218,FE52+FD53-FM52)))</f>
        <v>199</v>
      </c>
      <c r="FF53" s="18">
        <f>FE53*VLOOKUP('Données projet'!$B$16,Paramètres!$A$1:$I$89,3,0)*VLOOKUP('Données projet'!$B$16,Paramètres!$A$1:$I$89,5,0)</f>
        <v>214.20360000000002</v>
      </c>
      <c r="FG53" s="14">
        <f t="shared" si="47"/>
        <v>52.853115789602029</v>
      </c>
      <c r="FH53" s="22">
        <f t="shared" si="22"/>
        <v>465.12378000022358</v>
      </c>
      <c r="FI53" s="62">
        <f t="shared" si="23"/>
        <v>728.26935540850491</v>
      </c>
      <c r="FJ53" s="62">
        <f ca="1">AVERAGE(OFFSET($FI$3,0,0,'Données projet'!$E$16+1,1))-AVERAGE(OFFSET($H$3,0,0,'Données projet'!$E$16+1,1))</f>
        <v>534.33392288300456</v>
      </c>
      <c r="FK53" s="62">
        <f t="shared" si="48"/>
        <v>300.93109615735477</v>
      </c>
      <c r="FL53" s="16">
        <f>IF(ISNA(VLOOKUP(A53,'Données projet'!$A$217:$I$237,3,0)),0,VLOOKUP(A53,'Données projet'!$A$217:$I$237,3,0))</f>
        <v>3</v>
      </c>
      <c r="FM53" s="16">
        <f>IF(ISNA(VLOOKUP(A53,'Données projet'!$A$217:$I$237,4,0)),0,VLOOKUP(A53,'Données projet'!$A$217:$I$237,4,0))</f>
        <v>42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203.84615384615384</v>
      </c>
      <c r="FX53" s="13">
        <f>VLOOKUP(A53,'Données projet'!$A$243:$I$263,9,0)</f>
        <v>5.8974358974358951</v>
      </c>
      <c r="FY53" s="13">
        <f t="array" ref="FY53">INDEX(FX:FX,MIN(IF(ISNUMBER(FX53:FX249),ROW(FX53:FX249),"")))</f>
        <v>5.8974358974358951</v>
      </c>
      <c r="FZ53" s="13">
        <f>IF('Données projet'!$A$244&gt;35,FZ52+FY53-GH52,IF(A53&lt;'Données projet'!$A$244,$FW$205^A53,IF(A53='Données projet'!$A$244,'Données projet'!$B$244,FZ52+FY53-GH52)))</f>
        <v>203.84615384615375</v>
      </c>
      <c r="GA53" s="18">
        <f>FZ53*VLOOKUP('Données projet'!$B$17,Paramètres!$A$1:$I$89,3,0)*VLOOKUP('Données projet'!$B$17,Paramètres!$A$1:$I$89,5,0)</f>
        <v>136.73999999999995</v>
      </c>
      <c r="GB53" s="14">
        <f t="shared" si="49"/>
        <v>35.549164281335401</v>
      </c>
      <c r="GC53" s="22">
        <f t="shared" si="25"/>
        <v>300.07029445665904</v>
      </c>
      <c r="GD53" s="62">
        <f t="shared" si="26"/>
        <v>563.21586986494049</v>
      </c>
      <c r="GE53" s="62">
        <f ca="1">AVERAGE(OFFSET($GD$3,0,0,'Données projet'!$E$17+1,1))-AVERAGE(OFFSET($H$3,0,0,'Données projet'!$E$17+1,1))</f>
        <v>316.17772895535211</v>
      </c>
      <c r="GF53" s="62">
        <f t="shared" si="50"/>
        <v>251.94445589652992</v>
      </c>
      <c r="GG53" s="16">
        <f>IF(ISNA(VLOOKUP(A53,'Données projet'!$A$243:$I$263,3,0)),0,VLOOKUP(A53,'Données projet'!$A$243:$I$263,3,0))</f>
        <v>4</v>
      </c>
      <c r="GH53" s="16">
        <f>IF(ISNA(VLOOKUP(A53,'Données projet'!$A$243:$I$263,4,0)),0,VLOOKUP(A53,'Données projet'!$A$243:$I$263,4,0))</f>
        <v>30.769230769230766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61.766975111349467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3.95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14.483333333333334</v>
      </c>
      <c r="H54" s="70">
        <f t="shared" si="1"/>
        <v>198.73333333333335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10.199999999999999</v>
      </c>
      <c r="N54" s="14">
        <f>IF('Données projet'!$A$36&gt;35,N53+M54-V53,IF(A54&lt;'Données projet'!$A$36,$K$205^A54,IF(A54='Données projet'!$A$36,'Données projet'!$B$36,N53+M54-V53)))</f>
        <v>241.20000000000005</v>
      </c>
      <c r="O54" s="14">
        <f>N54*VLOOKUP('Données projet'!$B$9,Paramètres!$A$1:$I$89,3,0)*VLOOKUP('Données projet'!$B$9,Paramètres!$A$1:$I$89,5,0)</f>
        <v>203.18688000000009</v>
      </c>
      <c r="P54" s="14">
        <f t="shared" si="33"/>
        <v>50.443901791793827</v>
      </c>
      <c r="Q54" s="22">
        <f t="shared" si="53"/>
        <v>441.74027828737439</v>
      </c>
      <c r="R54" s="62">
        <f t="shared" si="0"/>
        <v>705.40954380593939</v>
      </c>
      <c r="S54" s="62">
        <f ca="1">AVERAGE(OFFSET($R$3,0,0,'Données projet'!$E$9+1,1))-AVERAGE(OFFSET($H$3,0,0,'Données projet'!$E$9+1,1))</f>
        <v>508.93703669150443</v>
      </c>
      <c r="T54" s="62">
        <f t="shared" si="34"/>
        <v>277.04920840696707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</v>
      </c>
      <c r="AI54" s="14">
        <f>IF('Données projet'!$A$62&gt;35,AI53+AH54-AQ53,IF(A54&lt;'Données projet'!$A$62,$AF$205^A54,IF(A54='Données projet'!$A$62,'Données projet'!$B$62,AI53+AH54-AQ53)))</f>
        <v>165</v>
      </c>
      <c r="AJ54" s="14">
        <f>AI54*VLOOKUP('Données projet'!$B$10,Paramètres!$A$1:$I$89,3,0)*VLOOKUP('Données projet'!$B$10,Paramètres!$A$1:$I$89,5,0)</f>
        <v>149.29199999999997</v>
      </c>
      <c r="AK54" s="14">
        <f t="shared" si="35"/>
        <v>38.417645803815411</v>
      </c>
      <c r="AL54" s="22">
        <f t="shared" si="4"/>
        <v>326.9276331083118</v>
      </c>
      <c r="AM54" s="62">
        <f t="shared" si="5"/>
        <v>590.59689862687674</v>
      </c>
      <c r="AN54" s="62">
        <f ca="1">AVERAGE(OFFSET($AM$3,0,0,'Données projet'!$E$10+1,1))-AVERAGE(OFFSET($H$3,0,0,'Données projet'!$E$10+1,1))</f>
        <v>461.10503306101145</v>
      </c>
      <c r="AO54" s="62">
        <f t="shared" si="36"/>
        <v>262.10652147273288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7.4</v>
      </c>
      <c r="BD54" s="13">
        <f>IF('Données projet'!$A$88&gt;35,BD53+BC54-BL53,IF(A54&lt;'Données projet'!$A$88,$BA$205^A54,IF(A54='Données projet'!$A$88,'Données projet'!$B$88,BD53+BC54-BL53)))</f>
        <v>249.40000000000009</v>
      </c>
      <c r="BE54" s="14">
        <f>BD54*VLOOKUP('Données projet'!$B$11,Paramètres!$A$1:$I$89,3,0)*VLOOKUP('Données projet'!$B$11,Paramètres!$A$1:$I$89,5,0)</f>
        <v>198.42264000000009</v>
      </c>
      <c r="BF54" s="14">
        <f t="shared" si="37"/>
        <v>49.397352151183256</v>
      </c>
      <c r="BG54" s="22">
        <f t="shared" si="7"/>
        <v>431.61981966331092</v>
      </c>
      <c r="BH54" s="62">
        <f t="shared" si="8"/>
        <v>695.28908518187586</v>
      </c>
      <c r="BI54" s="62">
        <f ca="1">AVERAGE(OFFSET($BH$3,0,0,'Données projet'!$E$11+1,1))-AVERAGE(OFFSET($H$3,0,0,'Données projet'!$E$11+1,1))</f>
        <v>389.67854939311752</v>
      </c>
      <c r="BJ54" s="62">
        <f t="shared" si="38"/>
        <v>420.05189970516096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9.5799999999999983</v>
      </c>
      <c r="BY54" s="13">
        <f>IF('Données projet'!$A$114&gt;35,BY53+BX54-CG53,IF(A54&lt;'Données projet'!$A$114,$BV$205^A54,IF(A54='Données projet'!$A$114,'Données projet'!$B$114,BY53+BX54-CG53)))</f>
        <v>263.61999999999972</v>
      </c>
      <c r="BZ54" s="14">
        <f>BY54*VLOOKUP('Données projet'!$B$12,Paramètres!$A$1:$I$89,3,0)*VLOOKUP('Données projet'!$B$12,Paramètres!$A$1:$I$89,5,0)</f>
        <v>150.79063999999985</v>
      </c>
      <c r="CA54" s="14">
        <f t="shared" si="39"/>
        <v>38.758206386935925</v>
      </c>
      <c r="CB54" s="22">
        <f t="shared" si="10"/>
        <v>330.13090745724645</v>
      </c>
      <c r="CC54" s="62">
        <f t="shared" si="11"/>
        <v>593.80017297581139</v>
      </c>
      <c r="CD54" s="62">
        <f ca="1">AVERAGE(OFFSET($CC$3,0,0,'Données projet'!$E$12+1,1))-AVERAGE(OFFSET($H$3,0,0,'Données projet'!$E$12+1,1))</f>
        <v>312.16891625633968</v>
      </c>
      <c r="CE54" s="62">
        <f t="shared" si="40"/>
        <v>215.34305815516177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6.7105549450345201</v>
      </c>
      <c r="CM54" s="23">
        <f>EXP(-LN(2)/2)*CM53+(1-EXP(-LN(2)/2))/(LN(2)/2)*CG54*CJ54*VLOOKUP('Données projet'!$B$12,Paramètres!$A$1:$I$89,3,0)*0.475*44/12</f>
        <v>5.6261880133938293E-3</v>
      </c>
      <c r="CN54" s="24">
        <f t="shared" si="12"/>
        <v>6.7161811330479138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6.2820512820512819</v>
      </c>
      <c r="CT54" s="13">
        <f>IF('Données projet'!$A$140&gt;35,CT53+CS54-DB53,IF(A54&lt;'Données projet'!$A$140,$CQ$205^A54,IF(A54='Données projet'!$A$140,'Données projet'!$B$140,CT53+CS54-DB53)))</f>
        <v>233.2051282051282</v>
      </c>
      <c r="CU54" s="18">
        <f>CT54*VLOOKUP('Données projet'!$B$13,Paramètres!$A$1:$I$89,3,0)*VLOOKUP('Données projet'!$B$13,Paramètres!$A$1:$I$89,5,0)</f>
        <v>156.434</v>
      </c>
      <c r="CV54" s="14">
        <f t="shared" si="41"/>
        <v>40.037142084940008</v>
      </c>
      <c r="CW54" s="22">
        <f t="shared" si="13"/>
        <v>342.18723913127047</v>
      </c>
      <c r="CX54" s="62">
        <f t="shared" si="14"/>
        <v>605.85650464983541</v>
      </c>
      <c r="CY54" s="62">
        <f ca="1">AVERAGE(OFFSET($CX$3,0,0,'Données projet'!$E$13+1,1))-AVERAGE(OFFSET($H$3,0,0,'Données projet'!$E$13+1,1))</f>
        <v>369.04754428478793</v>
      </c>
      <c r="CZ54" s="62">
        <f t="shared" si="42"/>
        <v>277.00523259351712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10.375</v>
      </c>
      <c r="DO54" s="13">
        <f>IF('Données projet'!$A$166&gt;35,DO53+DN54-DW53,IF(A54&lt;'Données projet'!$A$166,$DL$205^A54,IF(A54='Données projet'!$A$166,'Données projet'!$B$166,DO53+DN54-DW53)))</f>
        <v>259.62499999999994</v>
      </c>
      <c r="DP54" s="18">
        <f>DO54*VLOOKUP('Données projet'!$B$14,Paramètres!$A$1:$I$89,3,0)*VLOOKUP('Données projet'!$B$14,Paramètres!$A$1:$I$89,5,0)</f>
        <v>202.50749999999996</v>
      </c>
      <c r="DQ54" s="14">
        <f t="shared" si="43"/>
        <v>50.294840086606349</v>
      </c>
      <c r="DR54" s="22">
        <f t="shared" si="16"/>
        <v>440.29740898417259</v>
      </c>
      <c r="DS54" s="62">
        <f t="shared" si="17"/>
        <v>703.96667450273753</v>
      </c>
      <c r="DT54" s="62">
        <f ca="1">AVERAGE(OFFSET($DS$3,0,0,'Données projet'!$E$14+1,1))-AVERAGE(OFFSET($H$3,0,0,'Données projet'!$E$14+1,1))</f>
        <v>308.39181291575227</v>
      </c>
      <c r="DU54" s="62">
        <f t="shared" si="44"/>
        <v>298.58225298824334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8</v>
      </c>
      <c r="EJ54" s="13">
        <f>IF('Données projet'!$A$192&gt;35,EJ53+EI54-ER53,IF(A54&lt;'Données projet'!$A$192,$EG$205^A54,IF(A54='Données projet'!$A$192,'Données projet'!$B$192,EJ53+EI54-ER53)))</f>
        <v>165</v>
      </c>
      <c r="EK54" s="18">
        <f>EJ54*VLOOKUP('Données projet'!$B$15,Paramètres!$A$1:$I$89,3,0)*VLOOKUP('Données projet'!$B$15,Paramètres!$A$1:$I$89,5,0)</f>
        <v>159.58799999999999</v>
      </c>
      <c r="EL54" s="14">
        <f t="shared" si="45"/>
        <v>40.74957371668588</v>
      </c>
      <c r="EM54" s="22">
        <f t="shared" si="19"/>
        <v>348.92127422322784</v>
      </c>
      <c r="EN54" s="62">
        <f t="shared" si="20"/>
        <v>612.59053974179278</v>
      </c>
      <c r="EO54" s="62">
        <f ca="1">AVERAGE(OFFSET($EN$3,0,0,'Données projet'!$E$15+1,1))-AVERAGE(OFFSET($H$3,0,0,'Données projet'!$E$15+1,1))</f>
        <v>487.76433095707876</v>
      </c>
      <c r="EP54" s="62">
        <f t="shared" si="46"/>
        <v>276.24209151398361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8</v>
      </c>
      <c r="FE54" s="13">
        <f>IF('Données projet'!$A$218&gt;35,FE53+FD54-FM53,IF(A54&lt;'Données projet'!$A$218,$FB$205^A54,IF(A54='Données projet'!$A$218,'Données projet'!$B$218,FE53+FD54-FM53)))</f>
        <v>165</v>
      </c>
      <c r="FF54" s="18">
        <f>FE54*VLOOKUP('Données projet'!$B$16,Paramètres!$A$1:$I$89,3,0)*VLOOKUP('Données projet'!$B$16,Paramètres!$A$1:$I$89,5,0)</f>
        <v>177.60599999999999</v>
      </c>
      <c r="FG54" s="14">
        <f t="shared" si="47"/>
        <v>44.789150937858665</v>
      </c>
      <c r="FH54" s="22">
        <f t="shared" si="22"/>
        <v>387.33822121677048</v>
      </c>
      <c r="FI54" s="62">
        <f t="shared" si="23"/>
        <v>651.00748673533542</v>
      </c>
      <c r="FJ54" s="62">
        <f ca="1">AVERAGE(OFFSET($FI$3,0,0,'Données projet'!$E$16+1,1))-AVERAGE(OFFSET($H$3,0,0,'Données projet'!$E$16+1,1))</f>
        <v>534.33392288300456</v>
      </c>
      <c r="FK54" s="62">
        <f t="shared" si="48"/>
        <v>300.93109615735477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5.6410256410256405</v>
      </c>
      <c r="FZ54" s="13">
        <f>IF('Données projet'!$A$244&gt;35,FZ53+FY54-GH53,IF(A54&lt;'Données projet'!$A$244,$FW$205^A54,IF(A54='Données projet'!$A$244,'Données projet'!$B$244,FZ53+FY54-GH53)))</f>
        <v>178.71794871794862</v>
      </c>
      <c r="GA54" s="18">
        <f>FZ54*VLOOKUP('Données projet'!$B$17,Paramètres!$A$1:$I$89,3,0)*VLOOKUP('Données projet'!$B$17,Paramètres!$A$1:$I$89,5,0)</f>
        <v>119.88399999999993</v>
      </c>
      <c r="GB54" s="14">
        <f t="shared" si="49"/>
        <v>31.647942676391796</v>
      </c>
      <c r="GC54" s="22">
        <f t="shared" si="25"/>
        <v>263.91813349471556</v>
      </c>
      <c r="GD54" s="62">
        <f t="shared" si="26"/>
        <v>527.58739901328045</v>
      </c>
      <c r="GE54" s="62">
        <f ca="1">AVERAGE(OFFSET($GD$3,0,0,'Données projet'!$E$17+1,1))-AVERAGE(OFFSET($H$3,0,0,'Données projet'!$E$17+1,1))</f>
        <v>316.17772895535211</v>
      </c>
      <c r="GF54" s="62">
        <f t="shared" si="50"/>
        <v>251.94445589652992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61.909799686881357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3.95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14.483333333333334</v>
      </c>
      <c r="H55" s="70">
        <f t="shared" si="1"/>
        <v>198.73333333333335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10.199999999999999</v>
      </c>
      <c r="N55" s="14">
        <f>IF('Données projet'!$A$36&gt;35,N54+M55-V54,IF(A55&lt;'Données projet'!$A$36,$K$205^A55,IF(A55='Données projet'!$A$36,'Données projet'!$B$36,N54+M55-V54)))</f>
        <v>251.40000000000003</v>
      </c>
      <c r="O55" s="14">
        <f>N55*VLOOKUP('Données projet'!$B$9,Paramètres!$A$1:$I$89,3,0)*VLOOKUP('Données projet'!$B$9,Paramètres!$A$1:$I$89,5,0)</f>
        <v>211.77936000000005</v>
      </c>
      <c r="P55" s="14">
        <f t="shared" si="33"/>
        <v>52.324229479404138</v>
      </c>
      <c r="Q55" s="22">
        <f t="shared" si="53"/>
        <v>459.98041834329564</v>
      </c>
      <c r="R55" s="62">
        <f t="shared" si="0"/>
        <v>724.16428911952653</v>
      </c>
      <c r="S55" s="62">
        <f ca="1">AVERAGE(OFFSET($R$3,0,0,'Données projet'!$E$9+1,1))-AVERAGE(OFFSET($H$3,0,0,'Données projet'!$E$9+1,1))</f>
        <v>508.93703669150443</v>
      </c>
      <c r="T55" s="62">
        <f t="shared" si="34"/>
        <v>277.04920840696707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</v>
      </c>
      <c r="AI55" s="14">
        <f>IF('Données projet'!$A$62&gt;35,AI54+AH55-AQ54,IF(A55&lt;'Données projet'!$A$62,$AF$205^A55,IF(A55='Données projet'!$A$62,'Données projet'!$B$62,AI54+AH55-AQ54)))</f>
        <v>173</v>
      </c>
      <c r="AJ55" s="14">
        <f>AI55*VLOOKUP('Données projet'!$B$10,Paramètres!$A$1:$I$89,3,0)*VLOOKUP('Données projet'!$B$10,Paramètres!$A$1:$I$89,5,0)</f>
        <v>156.53039999999999</v>
      </c>
      <c r="AK55" s="14">
        <f t="shared" si="35"/>
        <v>40.058941713182037</v>
      </c>
      <c r="AL55" s="22">
        <f t="shared" si="4"/>
        <v>342.393103483792</v>
      </c>
      <c r="AM55" s="62">
        <f t="shared" si="5"/>
        <v>606.57697426002289</v>
      </c>
      <c r="AN55" s="62">
        <f ca="1">AVERAGE(OFFSET($AM$3,0,0,'Données projet'!$E$10+1,1))-AVERAGE(OFFSET($H$3,0,0,'Données projet'!$E$10+1,1))</f>
        <v>461.10503306101145</v>
      </c>
      <c r="AO55" s="62">
        <f t="shared" si="36"/>
        <v>262.10652147273288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7.4</v>
      </c>
      <c r="BD55" s="13">
        <f>IF('Données projet'!$A$88&gt;35,BD54+BC55-BL54,IF(A55&lt;'Données projet'!$A$88,$BA$205^A55,IF(A55='Données projet'!$A$88,'Données projet'!$B$88,BD54+BC55-BL54)))</f>
        <v>256.80000000000007</v>
      </c>
      <c r="BE55" s="14">
        <f>BD55*VLOOKUP('Données projet'!$B$11,Paramètres!$A$1:$I$89,3,0)*VLOOKUP('Données projet'!$B$11,Paramètres!$A$1:$I$89,5,0)</f>
        <v>204.31008000000008</v>
      </c>
      <c r="BF55" s="14">
        <f t="shared" si="37"/>
        <v>50.690214235398379</v>
      </c>
      <c r="BG55" s="22">
        <f t="shared" si="7"/>
        <v>444.12551245998566</v>
      </c>
      <c r="BH55" s="62">
        <f t="shared" si="8"/>
        <v>708.30938323621649</v>
      </c>
      <c r="BI55" s="62">
        <f ca="1">AVERAGE(OFFSET($BH$3,0,0,'Données projet'!$E$11+1,1))-AVERAGE(OFFSET($H$3,0,0,'Données projet'!$E$11+1,1))</f>
        <v>389.67854939311752</v>
      </c>
      <c r="BJ55" s="62">
        <f t="shared" si="38"/>
        <v>420.05189970516096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>
        <f>VLOOKUP(A55,'Données projet'!$A$113:$I$133,2,0)</f>
        <v>273.2</v>
      </c>
      <c r="BW55" s="13">
        <f>VLOOKUP(A55,'Données projet'!$A$113:$I$133,9,0)</f>
        <v>9.5799999999999983</v>
      </c>
      <c r="BX55" s="13">
        <f t="array" ref="BX55">INDEX(BW:BW,MIN(IF(ISNUMBER(BW55:BW251),ROW(BW55:BW251),"")))</f>
        <v>9.5799999999999983</v>
      </c>
      <c r="BY55" s="13">
        <f>IF('Données projet'!$A$114&gt;35,BY54+BX55-CG54,IF(A55&lt;'Données projet'!$A$114,$BV$205^A55,IF(A55='Données projet'!$A$114,'Données projet'!$B$114,BY54+BX55-CG54)))</f>
        <v>273.1999999999997</v>
      </c>
      <c r="BZ55" s="14">
        <f>BY55*VLOOKUP('Données projet'!$B$12,Paramètres!$A$1:$I$89,3,0)*VLOOKUP('Données projet'!$B$12,Paramètres!$A$1:$I$89,5,0)</f>
        <v>156.27039999999982</v>
      </c>
      <c r="CA55" s="14">
        <f t="shared" si="39"/>
        <v>40.000142455989</v>
      </c>
      <c r="CB55" s="22">
        <f t="shared" si="10"/>
        <v>341.83786144418053</v>
      </c>
      <c r="CC55" s="62">
        <f t="shared" si="11"/>
        <v>606.02173222041142</v>
      </c>
      <c r="CD55" s="62">
        <f ca="1">AVERAGE(OFFSET($CC$3,0,0,'Données projet'!$E$12+1,1))-AVERAGE(OFFSET($H$3,0,0,'Données projet'!$E$12+1,1))</f>
        <v>312.16891625633968</v>
      </c>
      <c r="CE55" s="62">
        <f t="shared" si="40"/>
        <v>215.34305815516177</v>
      </c>
      <c r="CF55" s="16">
        <f>IF(ISNA(VLOOKUP(A55,'Données projet'!$A$113:$I$133,3,0)),0,VLOOKUP(A55,'Données projet'!$A$113:$I$133,3,0))</f>
        <v>5</v>
      </c>
      <c r="CG55" s="16">
        <f>IF(ISNA(VLOOKUP(A55,'Données projet'!$A$113:$I$133,4,0)),0,VLOOKUP(A55,'Données projet'!$A$113:$I$133,4,0))</f>
        <v>46.24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6.5270544671698039</v>
      </c>
      <c r="CM55" s="23">
        <f>EXP(-LN(2)/2)*CM54+(1-EXP(-LN(2)/2))/(LN(2)/2)*CG55*CJ55*VLOOKUP('Données projet'!$B$12,Paramètres!$A$1:$I$89,3,0)*0.475*44/12</f>
        <v>3.9783156965012469E-3</v>
      </c>
      <c r="CN55" s="24">
        <f t="shared" si="12"/>
        <v>6.5310327828663048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6.2820512820512819</v>
      </c>
      <c r="CT55" s="13">
        <f>IF('Données projet'!$A$140&gt;35,CT54+CS55-DB54,IF(A55&lt;'Données projet'!$A$140,$CQ$205^A55,IF(A55='Données projet'!$A$140,'Données projet'!$B$140,CT54+CS55-DB54)))</f>
        <v>239.48717948717947</v>
      </c>
      <c r="CU55" s="18">
        <f>CT55*VLOOKUP('Données projet'!$B$13,Paramètres!$A$1:$I$89,3,0)*VLOOKUP('Données projet'!$B$13,Paramètres!$A$1:$I$89,5,0)</f>
        <v>160.648</v>
      </c>
      <c r="CV55" s="14">
        <f t="shared" si="41"/>
        <v>40.988639216339969</v>
      </c>
      <c r="CW55" s="22">
        <f t="shared" si="13"/>
        <v>351.1838133017921</v>
      </c>
      <c r="CX55" s="62">
        <f t="shared" si="14"/>
        <v>615.36768407802299</v>
      </c>
      <c r="CY55" s="62">
        <f ca="1">AVERAGE(OFFSET($CX$3,0,0,'Données projet'!$E$13+1,1))-AVERAGE(OFFSET($H$3,0,0,'Données projet'!$E$13+1,1))</f>
        <v>369.04754428478793</v>
      </c>
      <c r="CZ55" s="62">
        <f t="shared" si="42"/>
        <v>277.00523259351712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>
        <f>VLOOKUP(A55,'Données projet'!$A$165:$I$185,2,0)</f>
        <v>270</v>
      </c>
      <c r="DM55" s="13">
        <f>VLOOKUP(A55,'Données projet'!$A$165:$I$185,9,0)</f>
        <v>10.375</v>
      </c>
      <c r="DN55" s="13">
        <f t="array" ref="DN55">INDEX(DM:DM,MIN(IF(ISNUMBER(DM55:DM251),ROW(DM55:DM251),"")))</f>
        <v>10.375</v>
      </c>
      <c r="DO55" s="13">
        <f>IF('Données projet'!$A$166&gt;35,DO54+DN55-DW54,IF(A55&lt;'Données projet'!$A$166,$DL$205^A55,IF(A55='Données projet'!$A$166,'Données projet'!$B$166,DO54+DN55-DW54)))</f>
        <v>269.99999999999994</v>
      </c>
      <c r="DP55" s="18">
        <f>DO55*VLOOKUP('Données projet'!$B$14,Paramètres!$A$1:$I$89,3,0)*VLOOKUP('Données projet'!$B$14,Paramètres!$A$1:$I$89,5,0)</f>
        <v>210.59999999999997</v>
      </c>
      <c r="DQ55" s="14">
        <f t="shared" si="43"/>
        <v>52.066679014659961</v>
      </c>
      <c r="DR55" s="22">
        <f t="shared" si="16"/>
        <v>457.47779928386598</v>
      </c>
      <c r="DS55" s="62">
        <f t="shared" si="17"/>
        <v>721.66167006009687</v>
      </c>
      <c r="DT55" s="62">
        <f ca="1">AVERAGE(OFFSET($DS$3,0,0,'Données projet'!$E$14+1,1))-AVERAGE(OFFSET($H$3,0,0,'Données projet'!$E$14+1,1))</f>
        <v>308.39181291575227</v>
      </c>
      <c r="DU55" s="62">
        <f t="shared" si="44"/>
        <v>298.58225298824334</v>
      </c>
      <c r="DV55" s="16">
        <f>IF(ISNA(VLOOKUP(A55,'Données projet'!$A$165:$I$185,3,0)),0,VLOOKUP(A55,'Données projet'!$A$165:$I$185,3,0))</f>
        <v>5</v>
      </c>
      <c r="DW55" s="16">
        <f>IF(ISNA(VLOOKUP(A55,'Données projet'!$A$165:$I$185,4,0)),0,VLOOKUP(A55,'Données projet'!$A$165:$I$185,4,0))</f>
        <v>48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8</v>
      </c>
      <c r="EJ55" s="13">
        <f>IF('Données projet'!$A$192&gt;35,EJ54+EI55-ER54,IF(A55&lt;'Données projet'!$A$192,$EG$205^A55,IF(A55='Données projet'!$A$192,'Données projet'!$B$192,EJ54+EI55-ER54)))</f>
        <v>173</v>
      </c>
      <c r="EK55" s="18">
        <f>EJ55*VLOOKUP('Données projet'!$B$15,Paramètres!$A$1:$I$89,3,0)*VLOOKUP('Données projet'!$B$15,Paramètres!$A$1:$I$89,5,0)</f>
        <v>167.32560000000001</v>
      </c>
      <c r="EL55" s="14">
        <f t="shared" si="45"/>
        <v>42.490495297127609</v>
      </c>
      <c r="EM55" s="22">
        <f t="shared" si="19"/>
        <v>365.42969930916388</v>
      </c>
      <c r="EN55" s="62">
        <f t="shared" si="20"/>
        <v>629.61357008539471</v>
      </c>
      <c r="EO55" s="62">
        <f ca="1">AVERAGE(OFFSET($EN$3,0,0,'Données projet'!$E$15+1,1))-AVERAGE(OFFSET($H$3,0,0,'Données projet'!$E$15+1,1))</f>
        <v>487.76433095707876</v>
      </c>
      <c r="EP55" s="62">
        <f t="shared" si="46"/>
        <v>276.24209151398361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8</v>
      </c>
      <c r="FE55" s="13">
        <f>IF('Données projet'!$A$218&gt;35,FE54+FD55-FM54,IF(A55&lt;'Données projet'!$A$218,$FB$205^A55,IF(A55='Données projet'!$A$218,'Données projet'!$B$218,FE54+FD55-FM54)))</f>
        <v>173</v>
      </c>
      <c r="FF55" s="18">
        <f>FE55*VLOOKUP('Données projet'!$B$16,Paramètres!$A$1:$I$89,3,0)*VLOOKUP('Données projet'!$B$16,Paramètres!$A$1:$I$89,5,0)</f>
        <v>186.21719999999999</v>
      </c>
      <c r="FG55" s="14">
        <f t="shared" si="47"/>
        <v>46.702653149673253</v>
      </c>
      <c r="FH55" s="22">
        <f t="shared" si="22"/>
        <v>405.66874423568089</v>
      </c>
      <c r="FI55" s="62">
        <f t="shared" si="23"/>
        <v>669.85261501191178</v>
      </c>
      <c r="FJ55" s="62">
        <f ca="1">AVERAGE(OFFSET($FI$3,0,0,'Données projet'!$E$16+1,1))-AVERAGE(OFFSET($H$3,0,0,'Données projet'!$E$16+1,1))</f>
        <v>534.33392288300456</v>
      </c>
      <c r="FK55" s="62">
        <f t="shared" si="48"/>
        <v>300.93109615735477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5.6410256410256405</v>
      </c>
      <c r="FZ55" s="13">
        <f>IF('Données projet'!$A$244&gt;35,FZ54+FY55-GH54,IF(A55&lt;'Données projet'!$A$244,$FW$205^A55,IF(A55='Données projet'!$A$244,'Données projet'!$B$244,FZ54+FY55-GH54)))</f>
        <v>184.35897435897425</v>
      </c>
      <c r="GA55" s="18">
        <f>FZ55*VLOOKUP('Données projet'!$B$17,Paramètres!$A$1:$I$89,3,0)*VLOOKUP('Données projet'!$B$17,Paramètres!$A$1:$I$89,5,0)</f>
        <v>123.66799999999994</v>
      </c>
      <c r="GB55" s="14">
        <f t="shared" si="49"/>
        <v>32.528995176857627</v>
      </c>
      <c r="GC55" s="22">
        <f t="shared" si="25"/>
        <v>272.04309993302689</v>
      </c>
      <c r="GD55" s="62">
        <f t="shared" si="26"/>
        <v>536.22697070925778</v>
      </c>
      <c r="GE55" s="62">
        <f ca="1">AVERAGE(OFFSET($GD$3,0,0,'Données projet'!$E$17+1,1))-AVERAGE(OFFSET($H$3,0,0,'Données projet'!$E$17+1,1))</f>
        <v>316.17772895535211</v>
      </c>
      <c r="GF55" s="62">
        <f t="shared" si="50"/>
        <v>251.94445589652992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62.050146575335688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3.95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14.483333333333334</v>
      </c>
      <c r="H56" s="70">
        <f t="shared" si="1"/>
        <v>198.73333333333335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10.199999999999999</v>
      </c>
      <c r="N56" s="14">
        <f>IF('Données projet'!$A$36&gt;35,N55+M56-V55,IF(A56&lt;'Données projet'!$A$36,$K$205^A56,IF(A56='Données projet'!$A$36,'Données projet'!$B$36,N55+M56-V55)))</f>
        <v>261.60000000000002</v>
      </c>
      <c r="O56" s="14">
        <f>N56*VLOOKUP('Données projet'!$B$9,Paramètres!$A$1:$I$89,3,0)*VLOOKUP('Données projet'!$B$9,Paramètres!$A$1:$I$89,5,0)</f>
        <v>220.37184000000002</v>
      </c>
      <c r="P56" s="14">
        <f t="shared" si="33"/>
        <v>54.195695362491193</v>
      </c>
      <c r="Q56" s="22">
        <f t="shared" si="53"/>
        <v>478.20512408967215</v>
      </c>
      <c r="R56" s="62">
        <f t="shared" si="0"/>
        <v>742.89467287283344</v>
      </c>
      <c r="S56" s="62">
        <f ca="1">AVERAGE(OFFSET($R$3,0,0,'Données projet'!$E$9+1,1))-AVERAGE(OFFSET($H$3,0,0,'Données projet'!$E$9+1,1))</f>
        <v>508.93703669150443</v>
      </c>
      <c r="T56" s="62">
        <f t="shared" si="34"/>
        <v>277.04920840696707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</v>
      </c>
      <c r="AI56" s="14">
        <f>IF('Données projet'!$A$62&gt;35,AI55+AH56-AQ55,IF(A56&lt;'Données projet'!$A$62,$AF$205^A56,IF(A56='Données projet'!$A$62,'Données projet'!$B$62,AI55+AH56-AQ55)))</f>
        <v>181</v>
      </c>
      <c r="AJ56" s="14">
        <f>AI56*VLOOKUP('Données projet'!$B$10,Paramètres!$A$1:$I$89,3,0)*VLOOKUP('Données projet'!$B$10,Paramètres!$A$1:$I$89,5,0)</f>
        <v>163.7688</v>
      </c>
      <c r="AK56" s="14">
        <f t="shared" si="35"/>
        <v>41.691423503509803</v>
      </c>
      <c r="AL56" s="22">
        <f t="shared" si="4"/>
        <v>357.84322260194625</v>
      </c>
      <c r="AM56" s="62">
        <f t="shared" si="5"/>
        <v>622.53277138510748</v>
      </c>
      <c r="AN56" s="62">
        <f ca="1">AVERAGE(OFFSET($AM$3,0,0,'Données projet'!$E$10+1,1))-AVERAGE(OFFSET($H$3,0,0,'Données projet'!$E$10+1,1))</f>
        <v>461.10503306101145</v>
      </c>
      <c r="AO56" s="62">
        <f t="shared" si="36"/>
        <v>262.10652147273288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7.4</v>
      </c>
      <c r="BD56" s="13">
        <f>IF('Données projet'!$A$88&gt;35,BD55+BC56-BL55,IF(A56&lt;'Données projet'!$A$88,$BA$205^A56,IF(A56='Données projet'!$A$88,'Données projet'!$B$88,BD55+BC56-BL55)))</f>
        <v>264.20000000000005</v>
      </c>
      <c r="BE56" s="14">
        <f>BD56*VLOOKUP('Données projet'!$B$11,Paramètres!$A$1:$I$89,3,0)*VLOOKUP('Données projet'!$B$11,Paramètres!$A$1:$I$89,5,0)</f>
        <v>210.19752000000003</v>
      </c>
      <c r="BF56" s="14">
        <f t="shared" si="37"/>
        <v>51.978746425856599</v>
      </c>
      <c r="BG56" s="22">
        <f t="shared" si="7"/>
        <v>456.62366402503358</v>
      </c>
      <c r="BH56" s="62">
        <f t="shared" si="8"/>
        <v>721.31321280819486</v>
      </c>
      <c r="BI56" s="62">
        <f ca="1">AVERAGE(OFFSET($BH$3,0,0,'Données projet'!$E$11+1,1))-AVERAGE(OFFSET($H$3,0,0,'Données projet'!$E$11+1,1))</f>
        <v>389.67854939311752</v>
      </c>
      <c r="BJ56" s="62">
        <f t="shared" si="38"/>
        <v>420.05189970516096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8.6137500000000031</v>
      </c>
      <c r="BY56" s="13">
        <f>IF('Données projet'!$A$114&gt;35,BY55+BX56-CG55,IF(A56&lt;'Données projet'!$A$114,$BV$205^A56,IF(A56='Données projet'!$A$114,'Données projet'!$B$114,BY55+BX56-CG55)))</f>
        <v>235.57374999999968</v>
      </c>
      <c r="BZ56" s="14">
        <f>BY56*VLOOKUP('Données projet'!$B$12,Paramètres!$A$1:$I$89,3,0)*VLOOKUP('Données projet'!$B$12,Paramètres!$A$1:$I$89,5,0)</f>
        <v>134.74818499999984</v>
      </c>
      <c r="CA56" s="14">
        <f t="shared" si="39"/>
        <v>35.091224302452012</v>
      </c>
      <c r="CB56" s="22">
        <f t="shared" si="10"/>
        <v>295.80363786843697</v>
      </c>
      <c r="CC56" s="62">
        <f t="shared" si="11"/>
        <v>560.49318665159831</v>
      </c>
      <c r="CD56" s="62">
        <f ca="1">AVERAGE(OFFSET($CC$3,0,0,'Données projet'!$E$12+1,1))-AVERAGE(OFFSET($H$3,0,0,'Données projet'!$E$12+1,1))</f>
        <v>312.16891625633968</v>
      </c>
      <c r="CE56" s="62">
        <f t="shared" si="40"/>
        <v>215.34305815516177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6.348571819522169</v>
      </c>
      <c r="CM56" s="23">
        <f>EXP(-LN(2)/2)*CM55+(1-EXP(-LN(2)/2))/(LN(2)/2)*CG56*CJ56*VLOOKUP('Données projet'!$B$12,Paramètres!$A$1:$I$89,3,0)*0.475*44/12</f>
        <v>2.8130940066969146E-3</v>
      </c>
      <c r="CN56" s="24">
        <f t="shared" si="12"/>
        <v>6.3513849135288662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6.2820512820512819</v>
      </c>
      <c r="CT56" s="13">
        <f>IF('Données projet'!$A$140&gt;35,CT55+CS56-DB55,IF(A56&lt;'Données projet'!$A$140,$CQ$205^A56,IF(A56='Données projet'!$A$140,'Données projet'!$B$140,CT55+CS56-DB55)))</f>
        <v>245.76923076923075</v>
      </c>
      <c r="CU56" s="18">
        <f>CT56*VLOOKUP('Données projet'!$B$13,Paramètres!$A$1:$I$89,3,0)*VLOOKUP('Données projet'!$B$13,Paramètres!$A$1:$I$89,5,0)</f>
        <v>164.86199999999999</v>
      </c>
      <c r="CV56" s="14">
        <f t="shared" si="41"/>
        <v>41.937235202605208</v>
      </c>
      <c r="CW56" s="22">
        <f t="shared" si="13"/>
        <v>360.17533464453732</v>
      </c>
      <c r="CX56" s="62">
        <f t="shared" si="14"/>
        <v>624.8648834276986</v>
      </c>
      <c r="CY56" s="62">
        <f ca="1">AVERAGE(OFFSET($CX$3,0,0,'Données projet'!$E$13+1,1))-AVERAGE(OFFSET($H$3,0,0,'Données projet'!$E$13+1,1))</f>
        <v>369.04754428478793</v>
      </c>
      <c r="CZ56" s="62">
        <f t="shared" si="42"/>
        <v>277.00523259351712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9.375</v>
      </c>
      <c r="DO56" s="13">
        <f>IF('Données projet'!$A$166&gt;35,DO55+DN56-DW55,IF(A56&lt;'Données projet'!$A$166,$DL$205^A56,IF(A56='Données projet'!$A$166,'Données projet'!$B$166,DO55+DN56-DW55)))</f>
        <v>231.37499999999994</v>
      </c>
      <c r="DP56" s="18">
        <f>DO56*VLOOKUP('Données projet'!$B$14,Paramètres!$A$1:$I$89,3,0)*VLOOKUP('Données projet'!$B$14,Paramètres!$A$1:$I$89,5,0)</f>
        <v>180.47249999999997</v>
      </c>
      <c r="DQ56" s="14">
        <f t="shared" si="43"/>
        <v>45.427292666837829</v>
      </c>
      <c r="DR56" s="22">
        <f t="shared" si="16"/>
        <v>393.44213889474253</v>
      </c>
      <c r="DS56" s="62">
        <f t="shared" si="17"/>
        <v>658.13168767790376</v>
      </c>
      <c r="DT56" s="62">
        <f ca="1">AVERAGE(OFFSET($DS$3,0,0,'Données projet'!$E$14+1,1))-AVERAGE(OFFSET($H$3,0,0,'Données projet'!$E$14+1,1))</f>
        <v>308.39181291575227</v>
      </c>
      <c r="DU56" s="62">
        <f t="shared" si="44"/>
        <v>298.58225298824334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8</v>
      </c>
      <c r="EJ56" s="13">
        <f>IF('Données projet'!$A$192&gt;35,EJ55+EI56-ER55,IF(A56&lt;'Données projet'!$A$192,$EG$205^A56,IF(A56='Données projet'!$A$192,'Données projet'!$B$192,EJ55+EI56-ER55)))</f>
        <v>181</v>
      </c>
      <c r="EK56" s="18">
        <f>EJ56*VLOOKUP('Données projet'!$B$15,Paramètres!$A$1:$I$89,3,0)*VLOOKUP('Données projet'!$B$15,Paramètres!$A$1:$I$89,5,0)</f>
        <v>175.06319999999999</v>
      </c>
      <c r="EL56" s="14">
        <f t="shared" si="45"/>
        <v>44.22206774682472</v>
      </c>
      <c r="EM56" s="22">
        <f t="shared" si="19"/>
        <v>381.9218413257197</v>
      </c>
      <c r="EN56" s="62">
        <f t="shared" si="20"/>
        <v>646.61139010888098</v>
      </c>
      <c r="EO56" s="62">
        <f ca="1">AVERAGE(OFFSET($EN$3,0,0,'Données projet'!$E$15+1,1))-AVERAGE(OFFSET($H$3,0,0,'Données projet'!$E$15+1,1))</f>
        <v>487.76433095707876</v>
      </c>
      <c r="EP56" s="62">
        <f t="shared" si="46"/>
        <v>276.24209151398361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8</v>
      </c>
      <c r="FE56" s="13">
        <f>IF('Données projet'!$A$218&gt;35,FE55+FD56-FM55,IF(A56&lt;'Données projet'!$A$218,$FB$205^A56,IF(A56='Données projet'!$A$218,'Données projet'!$B$218,FE55+FD56-FM55)))</f>
        <v>181</v>
      </c>
      <c r="FF56" s="18">
        <f>FE56*VLOOKUP('Données projet'!$B$16,Paramètres!$A$1:$I$89,3,0)*VLOOKUP('Données projet'!$B$16,Paramètres!$A$1:$I$89,5,0)</f>
        <v>194.82839999999999</v>
      </c>
      <c r="FG56" s="14">
        <f t="shared" si="47"/>
        <v>48.605879434898533</v>
      </c>
      <c r="FH56" s="22">
        <f t="shared" si="22"/>
        <v>423.98137001578152</v>
      </c>
      <c r="FI56" s="62">
        <f t="shared" si="23"/>
        <v>688.67091879894281</v>
      </c>
      <c r="FJ56" s="62">
        <f ca="1">AVERAGE(OFFSET($FI$3,0,0,'Données projet'!$E$16+1,1))-AVERAGE(OFFSET($H$3,0,0,'Données projet'!$E$16+1,1))</f>
        <v>534.33392288300456</v>
      </c>
      <c r="FK56" s="62">
        <f t="shared" si="48"/>
        <v>300.93109615735477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5.6410256410256405</v>
      </c>
      <c r="FZ56" s="13">
        <f>IF('Données projet'!$A$244&gt;35,FZ55+FY56-GH55,IF(A56&lt;'Données projet'!$A$244,$FW$205^A56,IF(A56='Données projet'!$A$244,'Données projet'!$B$244,FZ55+FY56-GH55)))</f>
        <v>189.99999999999989</v>
      </c>
      <c r="GA56" s="18">
        <f>FZ56*VLOOKUP('Données projet'!$B$17,Paramètres!$A$1:$I$89,3,0)*VLOOKUP('Données projet'!$B$17,Paramètres!$A$1:$I$89,5,0)</f>
        <v>127.45199999999993</v>
      </c>
      <c r="GB56" s="14">
        <f t="shared" si="49"/>
        <v>33.406914773953936</v>
      </c>
      <c r="GC56" s="22">
        <f t="shared" si="25"/>
        <v>280.16260989796962</v>
      </c>
      <c r="GD56" s="62">
        <f t="shared" si="26"/>
        <v>544.85215868113096</v>
      </c>
      <c r="GE56" s="62">
        <f ca="1">AVERAGE(OFFSET($GD$3,0,0,'Données projet'!$E$17+1,1))-AVERAGE(OFFSET($H$3,0,0,'Données projet'!$E$17+1,1))</f>
        <v>316.17772895535211</v>
      </c>
      <c r="GF56" s="62">
        <f t="shared" si="50"/>
        <v>251.94445589652992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62.188058759043983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3.95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14.483333333333334</v>
      </c>
      <c r="H57" s="70">
        <f t="shared" si="1"/>
        <v>198.73333333333335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10.199999999999999</v>
      </c>
      <c r="N57" s="14">
        <f>IF('Données projet'!$A$36&gt;35,N56+M57-V56,IF(A57&lt;'Données projet'!$A$36,$K$205^A57,IF(A57='Données projet'!$A$36,'Données projet'!$B$36,N56+M57-V56)))</f>
        <v>271.8</v>
      </c>
      <c r="O57" s="14">
        <f>N57*VLOOKUP('Données projet'!$B$9,Paramètres!$A$1:$I$89,3,0)*VLOOKUP('Données projet'!$B$9,Paramètres!$A$1:$I$89,5,0)</f>
        <v>228.96432000000004</v>
      </c>
      <c r="P57" s="14">
        <f t="shared" si="33"/>
        <v>56.058684514404661</v>
      </c>
      <c r="Q57" s="22">
        <f t="shared" si="53"/>
        <v>496.4150661959215</v>
      </c>
      <c r="R57" s="62">
        <f t="shared" si="0"/>
        <v>761.60152060311952</v>
      </c>
      <c r="S57" s="62">
        <f ca="1">AVERAGE(OFFSET($R$3,0,0,'Données projet'!$E$9+1,1))-AVERAGE(OFFSET($H$3,0,0,'Données projet'!$E$9+1,1))</f>
        <v>508.93703669150443</v>
      </c>
      <c r="T57" s="62">
        <f t="shared" si="34"/>
        <v>277.04920840696707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</v>
      </c>
      <c r="AI57" s="14">
        <f>IF('Données projet'!$A$62&gt;35,AI56+AH57-AQ56,IF(A57&lt;'Données projet'!$A$62,$AF$205^A57,IF(A57='Données projet'!$A$62,'Données projet'!$B$62,AI56+AH57-AQ56)))</f>
        <v>189</v>
      </c>
      <c r="AJ57" s="14">
        <f>AI57*VLOOKUP('Données projet'!$B$10,Paramètres!$A$1:$I$89,3,0)*VLOOKUP('Données projet'!$B$10,Paramètres!$A$1:$I$89,5,0)</f>
        <v>171.00719999999998</v>
      </c>
      <c r="AK57" s="14">
        <f t="shared" si="35"/>
        <v>43.315525267338089</v>
      </c>
      <c r="AL57" s="22">
        <f t="shared" si="4"/>
        <v>373.27874650728046</v>
      </c>
      <c r="AM57" s="62">
        <f t="shared" si="5"/>
        <v>638.46520091447849</v>
      </c>
      <c r="AN57" s="62">
        <f ca="1">AVERAGE(OFFSET($AM$3,0,0,'Données projet'!$E$10+1,1))-AVERAGE(OFFSET($H$3,0,0,'Données projet'!$E$10+1,1))</f>
        <v>461.10503306101145</v>
      </c>
      <c r="AO57" s="62">
        <f t="shared" si="36"/>
        <v>262.10652147273288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7.4</v>
      </c>
      <c r="BD57" s="13">
        <f>IF('Données projet'!$A$88&gt;35,BD56+BC57-BL56,IF(A57&lt;'Données projet'!$A$88,$BA$205^A57,IF(A57='Données projet'!$A$88,'Données projet'!$B$88,BD56+BC57-BL56)))</f>
        <v>271.60000000000002</v>
      </c>
      <c r="BE57" s="14">
        <f>BD57*VLOOKUP('Données projet'!$B$11,Paramètres!$A$1:$I$89,3,0)*VLOOKUP('Données projet'!$B$11,Paramètres!$A$1:$I$89,5,0)</f>
        <v>216.08496000000002</v>
      </c>
      <c r="BF57" s="14">
        <f t="shared" si="37"/>
        <v>53.26308393083157</v>
      </c>
      <c r="BG57" s="22">
        <f t="shared" si="7"/>
        <v>469.11450984619825</v>
      </c>
      <c r="BH57" s="62">
        <f t="shared" si="8"/>
        <v>734.30096425339627</v>
      </c>
      <c r="BI57" s="62">
        <f ca="1">AVERAGE(OFFSET($BH$3,0,0,'Données projet'!$E$11+1,1))-AVERAGE(OFFSET($H$3,0,0,'Données projet'!$E$11+1,1))</f>
        <v>389.67854939311752</v>
      </c>
      <c r="BJ57" s="62">
        <f t="shared" si="38"/>
        <v>420.05189970516096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8.6137500000000031</v>
      </c>
      <c r="BY57" s="13">
        <f>IF('Données projet'!$A$114&gt;35,BY56+BX57-CG56,IF(A57&lt;'Données projet'!$A$114,$BV$205^A57,IF(A57='Données projet'!$A$114,'Données projet'!$B$114,BY56+BX57-CG56)))</f>
        <v>244.18749999999969</v>
      </c>
      <c r="BZ57" s="14">
        <f>BY57*VLOOKUP('Données projet'!$B$12,Paramètres!$A$1:$I$89,3,0)*VLOOKUP('Données projet'!$B$12,Paramètres!$A$1:$I$89,5,0)</f>
        <v>139.67524999999983</v>
      </c>
      <c r="CA57" s="14">
        <f t="shared" si="39"/>
        <v>36.222599777962976</v>
      </c>
      <c r="CB57" s="22">
        <f t="shared" si="10"/>
        <v>306.35542169661858</v>
      </c>
      <c r="CC57" s="62">
        <f t="shared" si="11"/>
        <v>571.54187610381655</v>
      </c>
      <c r="CD57" s="62">
        <f ca="1">AVERAGE(OFFSET($CC$3,0,0,'Données projet'!$E$12+1,1))-AVERAGE(OFFSET($H$3,0,0,'Données projet'!$E$12+1,1))</f>
        <v>312.16891625633968</v>
      </c>
      <c r="CE57" s="62">
        <f t="shared" si="40"/>
        <v>215.34305815516177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6.1749697892604534</v>
      </c>
      <c r="CM57" s="23">
        <f>EXP(-LN(2)/2)*CM56+(1-EXP(-LN(2)/2))/(LN(2)/2)*CG57*CJ57*VLOOKUP('Données projet'!$B$12,Paramètres!$A$1:$I$89,3,0)*0.475*44/12</f>
        <v>1.9891578482506235E-3</v>
      </c>
      <c r="CN57" s="24">
        <f t="shared" si="12"/>
        <v>6.1769589471087043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6.2820512820512819</v>
      </c>
      <c r="CT57" s="13">
        <f>IF('Données projet'!$A$140&gt;35,CT56+CS57-DB56,IF(A57&lt;'Données projet'!$A$140,$CQ$205^A57,IF(A57='Données projet'!$A$140,'Données projet'!$B$140,CT56+CS57-DB56)))</f>
        <v>252.05128205128202</v>
      </c>
      <c r="CU57" s="18">
        <f>CT57*VLOOKUP('Données projet'!$B$13,Paramètres!$A$1:$I$89,3,0)*VLOOKUP('Données projet'!$B$13,Paramètres!$A$1:$I$89,5,0)</f>
        <v>169.07599999999996</v>
      </c>
      <c r="CV57" s="14">
        <f t="shared" si="41"/>
        <v>42.883012726130275</v>
      </c>
      <c r="CW57" s="22">
        <f t="shared" si="13"/>
        <v>369.1619471646768</v>
      </c>
      <c r="CX57" s="62">
        <f t="shared" si="14"/>
        <v>634.34840157187477</v>
      </c>
      <c r="CY57" s="62">
        <f ca="1">AVERAGE(OFFSET($CX$3,0,0,'Données projet'!$E$13+1,1))-AVERAGE(OFFSET($H$3,0,0,'Données projet'!$E$13+1,1))</f>
        <v>369.04754428478793</v>
      </c>
      <c r="CZ57" s="62">
        <f t="shared" si="42"/>
        <v>277.00523259351712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9.375</v>
      </c>
      <c r="DO57" s="13">
        <f>IF('Données projet'!$A$166&gt;35,DO56+DN57-DW56,IF(A57&lt;'Données projet'!$A$166,$DL$205^A57,IF(A57='Données projet'!$A$166,'Données projet'!$B$166,DO56+DN57-DW56)))</f>
        <v>240.74999999999994</v>
      </c>
      <c r="DP57" s="18">
        <f>DO57*VLOOKUP('Données projet'!$B$14,Paramètres!$A$1:$I$89,3,0)*VLOOKUP('Données projet'!$B$14,Paramètres!$A$1:$I$89,5,0)</f>
        <v>187.78499999999997</v>
      </c>
      <c r="DQ57" s="14">
        <f t="shared" si="43"/>
        <v>47.049914090154054</v>
      </c>
      <c r="DR57" s="22">
        <f t="shared" si="16"/>
        <v>409.00414204035161</v>
      </c>
      <c r="DS57" s="62">
        <f t="shared" si="17"/>
        <v>674.19059644754964</v>
      </c>
      <c r="DT57" s="62">
        <f ca="1">AVERAGE(OFFSET($DS$3,0,0,'Données projet'!$E$14+1,1))-AVERAGE(OFFSET($H$3,0,0,'Données projet'!$E$14+1,1))</f>
        <v>308.39181291575227</v>
      </c>
      <c r="DU57" s="62">
        <f t="shared" si="44"/>
        <v>298.58225298824334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8</v>
      </c>
      <c r="EJ57" s="13">
        <f>IF('Données projet'!$A$192&gt;35,EJ56+EI57-ER56,IF(A57&lt;'Données projet'!$A$192,$EG$205^A57,IF(A57='Données projet'!$A$192,'Données projet'!$B$192,EJ56+EI57-ER56)))</f>
        <v>189</v>
      </c>
      <c r="EK57" s="18">
        <f>EJ57*VLOOKUP('Données projet'!$B$15,Paramètres!$A$1:$I$89,3,0)*VLOOKUP('Données projet'!$B$15,Paramètres!$A$1:$I$89,5,0)</f>
        <v>182.80079999999998</v>
      </c>
      <c r="EL57" s="14">
        <f t="shared" si="45"/>
        <v>45.944751507471658</v>
      </c>
      <c r="EM57" s="22">
        <f t="shared" si="19"/>
        <v>398.39850220884642</v>
      </c>
      <c r="EN57" s="62">
        <f t="shared" si="20"/>
        <v>663.58495661604445</v>
      </c>
      <c r="EO57" s="62">
        <f ca="1">AVERAGE(OFFSET($EN$3,0,0,'Données projet'!$E$15+1,1))-AVERAGE(OFFSET($H$3,0,0,'Données projet'!$E$15+1,1))</f>
        <v>487.76433095707876</v>
      </c>
      <c r="EP57" s="62">
        <f t="shared" si="46"/>
        <v>276.24209151398361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8</v>
      </c>
      <c r="FE57" s="13">
        <f>IF('Données projet'!$A$218&gt;35,FE56+FD57-FM56,IF(A57&lt;'Données projet'!$A$218,$FB$205^A57,IF(A57='Données projet'!$A$218,'Données projet'!$B$218,FE56+FD57-FM56)))</f>
        <v>189</v>
      </c>
      <c r="FF57" s="18">
        <f>FE57*VLOOKUP('Données projet'!$B$16,Paramètres!$A$1:$I$89,3,0)*VLOOKUP('Données projet'!$B$16,Paramètres!$A$1:$I$89,5,0)</f>
        <v>203.43960000000001</v>
      </c>
      <c r="FG57" s="14">
        <f t="shared" si="47"/>
        <v>50.499335879627459</v>
      </c>
      <c r="FH57" s="22">
        <f t="shared" si="22"/>
        <v>442.27697999035109</v>
      </c>
      <c r="FI57" s="62">
        <f t="shared" si="23"/>
        <v>707.46343439754912</v>
      </c>
      <c r="FJ57" s="62">
        <f ca="1">AVERAGE(OFFSET($FI$3,0,0,'Données projet'!$E$16+1,1))-AVERAGE(OFFSET($H$3,0,0,'Données projet'!$E$16+1,1))</f>
        <v>534.33392288300456</v>
      </c>
      <c r="FK57" s="62">
        <f t="shared" si="48"/>
        <v>300.93109615735477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5.6410256410256405</v>
      </c>
      <c r="FZ57" s="13">
        <f>IF('Données projet'!$A$244&gt;35,FZ56+FY57-GH56,IF(A57&lt;'Données projet'!$A$244,$FW$205^A57,IF(A57='Données projet'!$A$244,'Données projet'!$B$244,FZ56+FY57-GH56)))</f>
        <v>195.64102564102552</v>
      </c>
      <c r="GA57" s="18">
        <f>FZ57*VLOOKUP('Données projet'!$B$17,Paramètres!$A$1:$I$89,3,0)*VLOOKUP('Données projet'!$B$17,Paramètres!$A$1:$I$89,5,0)</f>
        <v>131.23599999999993</v>
      </c>
      <c r="GB57" s="14">
        <f t="shared" si="49"/>
        <v>34.281805160926403</v>
      </c>
      <c r="GC57" s="22">
        <f t="shared" si="25"/>
        <v>288.27684398861334</v>
      </c>
      <c r="GD57" s="62">
        <f t="shared" si="26"/>
        <v>553.46329839581131</v>
      </c>
      <c r="GE57" s="62">
        <f ca="1">AVERAGE(OFFSET($GD$3,0,0,'Données projet'!$E$17+1,1))-AVERAGE(OFFSET($H$3,0,0,'Données projet'!$E$17+1,1))</f>
        <v>316.17772895535211</v>
      </c>
      <c r="GF57" s="62">
        <f t="shared" si="50"/>
        <v>251.94445589652992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62.323578474690379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3.95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14.483333333333334</v>
      </c>
      <c r="H58" s="70">
        <f t="shared" si="1"/>
        <v>198.73333333333335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282</v>
      </c>
      <c r="L58" s="13">
        <f>VLOOKUP(A58,'Données projet'!$A$35:$I$55,9,0)</f>
        <v>10.199999999999999</v>
      </c>
      <c r="M58" s="13">
        <f t="array" ref="M58">INDEX(L:L,MIN(IF(ISNUMBER(L58:L254),ROW(L58:L254),"")))</f>
        <v>10.199999999999999</v>
      </c>
      <c r="N58" s="14">
        <f>IF('Données projet'!$A$36&gt;35,N57+M58-V57,IF(A58&lt;'Données projet'!$A$36,$K$205^A58,IF(A58='Données projet'!$A$36,'Données projet'!$B$36,N57+M58-V57)))</f>
        <v>282</v>
      </c>
      <c r="O58" s="14">
        <f>N58*VLOOKUP('Données projet'!$B$9,Paramètres!$A$1:$I$89,3,0)*VLOOKUP('Données projet'!$B$9,Paramètres!$A$1:$I$89,5,0)</f>
        <v>237.55680000000001</v>
      </c>
      <c r="P58" s="14">
        <f t="shared" si="33"/>
        <v>57.913551469467357</v>
      </c>
      <c r="Q58" s="22">
        <f t="shared" si="53"/>
        <v>514.61086214265561</v>
      </c>
      <c r="R58" s="62">
        <f t="shared" si="0"/>
        <v>780.28560197222805</v>
      </c>
      <c r="S58" s="62">
        <f ca="1">AVERAGE(OFFSET($R$3,0,0,'Données projet'!$E$9+1,1))-AVERAGE(OFFSET($H$3,0,0,'Données projet'!$E$9+1,1))</f>
        <v>508.93703669150443</v>
      </c>
      <c r="T58" s="62">
        <f t="shared" si="34"/>
        <v>277.04920840696707</v>
      </c>
      <c r="U58" s="16">
        <f>IF(ISNA(VLOOKUP(A58,'Données projet'!$A$35:$I$55,3,0)),0,VLOOKUP(A58,'Données projet'!$A$35:$I$55,3,0))</f>
        <v>4</v>
      </c>
      <c r="V58" s="16">
        <f>IF(ISNA(VLOOKUP(A58,'Données projet'!$A$35:$I$55,4,0)),0,VLOOKUP(A58,'Données projet'!$A$35:$I$55,4,0))</f>
        <v>56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197</v>
      </c>
      <c r="AG58" s="13">
        <f>VLOOKUP(A58,'Données projet'!$A$61:$I$81,9,0)</f>
        <v>8</v>
      </c>
      <c r="AH58" s="13">
        <f t="array" ref="AH58">INDEX(AG:AG,MIN(IF(ISNUMBER(AG58:AG254),ROW(AG58:AG254),"")))</f>
        <v>8</v>
      </c>
      <c r="AI58" s="14">
        <f>IF('Données projet'!$A$62&gt;35,AI57+AH58-AQ57,IF(A58&lt;'Données projet'!$A$62,$AF$205^A58,IF(A58='Données projet'!$A$62,'Données projet'!$B$62,AI57+AH58-AQ57)))</f>
        <v>197</v>
      </c>
      <c r="AJ58" s="14">
        <f>AI58*VLOOKUP('Données projet'!$B$10,Paramètres!$A$1:$I$89,3,0)*VLOOKUP('Données projet'!$B$10,Paramètres!$A$1:$I$89,5,0)</f>
        <v>178.2456</v>
      </c>
      <c r="AK58" s="14">
        <f t="shared" si="35"/>
        <v>44.931642269910427</v>
      </c>
      <c r="AL58" s="22">
        <f t="shared" si="4"/>
        <v>388.70036362009404</v>
      </c>
      <c r="AM58" s="62">
        <f t="shared" si="5"/>
        <v>654.37510344966643</v>
      </c>
      <c r="AN58" s="62">
        <f ca="1">AVERAGE(OFFSET($AM$3,0,0,'Données projet'!$E$10+1,1))-AVERAGE(OFFSET($H$3,0,0,'Données projet'!$E$10+1,1))</f>
        <v>461.10503306101145</v>
      </c>
      <c r="AO58" s="62">
        <f t="shared" si="36"/>
        <v>262.10652147273288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279</v>
      </c>
      <c r="BB58" s="13">
        <f>VLOOKUP(A58,'Données projet'!$A$87:$I$107,9,0)</f>
        <v>7.4</v>
      </c>
      <c r="BC58" s="13">
        <f t="array" ref="BC58">INDEX(BB:BB,MIN(IF(ISNUMBER(BB58:BB254),ROW(BB58:BB254),"")))</f>
        <v>7.4</v>
      </c>
      <c r="BD58" s="13">
        <f>IF('Données projet'!$A$88&gt;35,BD57+BC58-BL57,IF(A58&lt;'Données projet'!$A$88,$BA$205^A58,IF(A58='Données projet'!$A$88,'Données projet'!$B$88,BD57+BC58-BL57)))</f>
        <v>279</v>
      </c>
      <c r="BE58" s="14">
        <f>BD58*VLOOKUP('Données projet'!$B$11,Paramètres!$A$1:$I$89,3,0)*VLOOKUP('Données projet'!$B$11,Paramètres!$A$1:$I$89,5,0)</f>
        <v>221.97239999999999</v>
      </c>
      <c r="BF58" s="14">
        <f t="shared" si="37"/>
        <v>54.543354171476821</v>
      </c>
      <c r="BG58" s="22">
        <f t="shared" si="7"/>
        <v>481.59827184865549</v>
      </c>
      <c r="BH58" s="62">
        <f t="shared" si="8"/>
        <v>747.27301167822793</v>
      </c>
      <c r="BI58" s="62">
        <f ca="1">AVERAGE(OFFSET($BH$3,0,0,'Données projet'!$E$11+1,1))-AVERAGE(OFFSET($H$3,0,0,'Données projet'!$E$11+1,1))</f>
        <v>389.67854939311752</v>
      </c>
      <c r="BJ58" s="62">
        <f t="shared" si="38"/>
        <v>420.05189970516096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8.6137500000000031</v>
      </c>
      <c r="BY58" s="13">
        <f>IF('Données projet'!$A$114&gt;35,BY57+BX58-CG57,IF(A58&lt;'Données projet'!$A$114,$BV$205^A58,IF(A58='Données projet'!$A$114,'Données projet'!$B$114,BY57+BX58-CG57)))</f>
        <v>252.8012499999997</v>
      </c>
      <c r="BZ58" s="14">
        <f>BY58*VLOOKUP('Données projet'!$B$12,Paramètres!$A$1:$I$89,3,0)*VLOOKUP('Données projet'!$B$12,Paramètres!$A$1:$I$89,5,0)</f>
        <v>144.60231499999983</v>
      </c>
      <c r="CA58" s="14">
        <f t="shared" si="39"/>
        <v>37.349338303384556</v>
      </c>
      <c r="CB58" s="22">
        <f t="shared" si="10"/>
        <v>316.89912950339448</v>
      </c>
      <c r="CC58" s="62">
        <f t="shared" si="11"/>
        <v>582.57386933296686</v>
      </c>
      <c r="CD58" s="62">
        <f ca="1">AVERAGE(OFFSET($CC$3,0,0,'Données projet'!$E$12+1,1))-AVERAGE(OFFSET($H$3,0,0,'Données projet'!$E$12+1,1))</f>
        <v>312.16891625633968</v>
      </c>
      <c r="CE58" s="62">
        <f t="shared" si="40"/>
        <v>215.34305815516177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6.0061149156455782</v>
      </c>
      <c r="CM58" s="23">
        <f>EXP(-LN(2)/2)*CM57+(1-EXP(-LN(2)/2))/(LN(2)/2)*CG58*CJ58*VLOOKUP('Données projet'!$B$12,Paramètres!$A$1:$I$89,3,0)*0.475*44/12</f>
        <v>1.4065470033484573E-3</v>
      </c>
      <c r="CN58" s="24">
        <f t="shared" si="12"/>
        <v>6.0075214626489268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258.33333333333331</v>
      </c>
      <c r="CR58" s="13">
        <f>VLOOKUP(A58,'Données projet'!$A$139:$I$159,9,0)</f>
        <v>6.2820512820512819</v>
      </c>
      <c r="CS58" s="13">
        <f t="array" ref="CS58">INDEX(CR:CR,MIN(IF(ISNUMBER(CR58:CR254),ROW(CR58:CR254),"")))</f>
        <v>6.2820512820512819</v>
      </c>
      <c r="CT58" s="13">
        <f>IF('Données projet'!$A$140&gt;35,CT57+CS58-DB57,IF(A58&lt;'Données projet'!$A$140,$CQ$205^A58,IF(A58='Données projet'!$A$140,'Données projet'!$B$140,CT57+CS58-DB57)))</f>
        <v>258.33333333333331</v>
      </c>
      <c r="CU58" s="18">
        <f>CT58*VLOOKUP('Données projet'!$B$13,Paramètres!$A$1:$I$89,3,0)*VLOOKUP('Données projet'!$B$13,Paramètres!$A$1:$I$89,5,0)</f>
        <v>173.29</v>
      </c>
      <c r="CV58" s="14">
        <f t="shared" si="41"/>
        <v>43.826050112896013</v>
      </c>
      <c r="CW58" s="22">
        <f t="shared" si="13"/>
        <v>378.14378727996046</v>
      </c>
      <c r="CX58" s="62">
        <f t="shared" si="14"/>
        <v>643.81852710953285</v>
      </c>
      <c r="CY58" s="62">
        <f ca="1">AVERAGE(OFFSET($CX$3,0,0,'Données projet'!$E$13+1,1))-AVERAGE(OFFSET($H$3,0,0,'Données projet'!$E$13+1,1))</f>
        <v>369.04754428478793</v>
      </c>
      <c r="CZ58" s="62">
        <f t="shared" si="42"/>
        <v>277.00523259351712</v>
      </c>
      <c r="DA58" s="16">
        <f>IF(ISNA(VLOOKUP(A58,'Données projet'!$A$139:$I$159,3,0)),0,VLOOKUP(A58,'Données projet'!$A$139:$I$159,3,0))</f>
        <v>5</v>
      </c>
      <c r="DB58" s="16">
        <f>IF(ISNA(VLOOKUP(A58,'Données projet'!$A$139:$I$159,4,0)),0,VLOOKUP(A58,'Données projet'!$A$139:$I$159,4,0))</f>
        <v>32.692307692307693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9.375</v>
      </c>
      <c r="DO58" s="13">
        <f>IF('Données projet'!$A$166&gt;35,DO57+DN58-DW57,IF(A58&lt;'Données projet'!$A$166,$DL$205^A58,IF(A58='Données projet'!$A$166,'Données projet'!$B$166,DO57+DN58-DW57)))</f>
        <v>250.12499999999994</v>
      </c>
      <c r="DP58" s="18">
        <f>DO58*VLOOKUP('Données projet'!$B$14,Paramètres!$A$1:$I$89,3,0)*VLOOKUP('Données projet'!$B$14,Paramètres!$A$1:$I$89,5,0)</f>
        <v>195.09749999999997</v>
      </c>
      <c r="DQ58" s="14">
        <f t="shared" si="43"/>
        <v>48.66519532492584</v>
      </c>
      <c r="DR58" s="22">
        <f t="shared" si="16"/>
        <v>424.55336102424576</v>
      </c>
      <c r="DS58" s="62">
        <f t="shared" si="17"/>
        <v>690.2281008538182</v>
      </c>
      <c r="DT58" s="62">
        <f ca="1">AVERAGE(OFFSET($DS$3,0,0,'Données projet'!$E$14+1,1))-AVERAGE(OFFSET($H$3,0,0,'Données projet'!$E$14+1,1))</f>
        <v>308.39181291575227</v>
      </c>
      <c r="DU58" s="62">
        <f t="shared" si="44"/>
        <v>298.58225298824334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197</v>
      </c>
      <c r="EH58" s="13">
        <f>VLOOKUP(A58,'Données projet'!$A$191:$I$211,9,0)</f>
        <v>8</v>
      </c>
      <c r="EI58" s="13">
        <f t="array" ref="EI58">INDEX(EH:EH,MIN(IF(ISNUMBER(EH58:EH254),ROW(EH58:EH254),"")))</f>
        <v>8</v>
      </c>
      <c r="EJ58" s="13">
        <f>IF('Données projet'!$A$192&gt;35,EJ57+EI58-ER57,IF(A58&lt;'Données projet'!$A$192,$EG$205^A58,IF(A58='Données projet'!$A$192,'Données projet'!$B$192,EJ57+EI58-ER57)))</f>
        <v>197</v>
      </c>
      <c r="EK58" s="18">
        <f>EJ58*VLOOKUP('Données projet'!$B$15,Paramètres!$A$1:$I$89,3,0)*VLOOKUP('Données projet'!$B$15,Paramètres!$A$1:$I$89,5,0)</f>
        <v>190.5384</v>
      </c>
      <c r="EL58" s="14">
        <f t="shared" si="45"/>
        <v>47.658965836673829</v>
      </c>
      <c r="EM58" s="22">
        <f t="shared" si="19"/>
        <v>414.86041216554025</v>
      </c>
      <c r="EN58" s="62">
        <f t="shared" si="20"/>
        <v>680.53515199511264</v>
      </c>
      <c r="EO58" s="62">
        <f ca="1">AVERAGE(OFFSET($EN$3,0,0,'Données projet'!$E$15+1,1))-AVERAGE(OFFSET($H$3,0,0,'Données projet'!$E$15+1,1))</f>
        <v>487.76433095707876</v>
      </c>
      <c r="EP58" s="62">
        <f t="shared" si="46"/>
        <v>276.24209151398361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197</v>
      </c>
      <c r="FC58" s="13">
        <f>VLOOKUP(A58,'Données projet'!$A$217:$I$237,9,0)</f>
        <v>8</v>
      </c>
      <c r="FD58" s="13">
        <f t="array" ref="FD58">INDEX(FC:FC,MIN(IF(ISNUMBER(FC58:FC254),ROW(FC58:FC254),"")))</f>
        <v>8</v>
      </c>
      <c r="FE58" s="13">
        <f>IF('Données projet'!$A$218&gt;35,FE57+FD58-FM57,IF(A58&lt;'Données projet'!$A$218,$FB$205^A58,IF(A58='Données projet'!$A$218,'Données projet'!$B$218,FE57+FD58-FM57)))</f>
        <v>197</v>
      </c>
      <c r="FF58" s="18">
        <f>FE58*VLOOKUP('Données projet'!$B$16,Paramètres!$A$1:$I$89,3,0)*VLOOKUP('Données projet'!$B$16,Paramètres!$A$1:$I$89,5,0)</f>
        <v>212.05079999999998</v>
      </c>
      <c r="FG58" s="14">
        <f t="shared" si="47"/>
        <v>52.383483303212302</v>
      </c>
      <c r="FH58" s="22">
        <f t="shared" si="22"/>
        <v>460.55637675309475</v>
      </c>
      <c r="FI58" s="62">
        <f t="shared" si="23"/>
        <v>726.23111658266714</v>
      </c>
      <c r="FJ58" s="62">
        <f ca="1">AVERAGE(OFFSET($FI$3,0,0,'Données projet'!$E$16+1,1))-AVERAGE(OFFSET($H$3,0,0,'Données projet'!$E$16+1,1))</f>
        <v>534.33392288300456</v>
      </c>
      <c r="FK58" s="62">
        <f t="shared" si="48"/>
        <v>300.93109615735477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201.28205128205127</v>
      </c>
      <c r="FX58" s="13">
        <f>VLOOKUP(A58,'Données projet'!$A$243:$I$263,9,0)</f>
        <v>5.6410256410256405</v>
      </c>
      <c r="FY58" s="13">
        <f t="array" ref="FY58">INDEX(FX:FX,MIN(IF(ISNUMBER(FX58:FX254),ROW(FX58:FX254),"")))</f>
        <v>5.6410256410256405</v>
      </c>
      <c r="FZ58" s="13">
        <f>IF('Données projet'!$A$244&gt;35,FZ57+FY58-GH57,IF(A58&lt;'Données projet'!$A$244,$FW$205^A58,IF(A58='Données projet'!$A$244,'Données projet'!$B$244,FZ57+FY58-GH57)))</f>
        <v>201.28205128205116</v>
      </c>
      <c r="GA58" s="18">
        <f>FZ58*VLOOKUP('Données projet'!$B$17,Paramètres!$A$1:$I$89,3,0)*VLOOKUP('Données projet'!$B$17,Paramètres!$A$1:$I$89,5,0)</f>
        <v>135.01999999999992</v>
      </c>
      <c r="GB58" s="14">
        <f t="shared" si="49"/>
        <v>35.153763711270045</v>
      </c>
      <c r="GC58" s="22">
        <f t="shared" si="25"/>
        <v>296.38597179712855</v>
      </c>
      <c r="GD58" s="62">
        <f t="shared" si="26"/>
        <v>562.06071162670094</v>
      </c>
      <c r="GE58" s="62">
        <f ca="1">AVERAGE(OFFSET($GD$3,0,0,'Données projet'!$E$17+1,1))-AVERAGE(OFFSET($H$3,0,0,'Données projet'!$E$17+1,1))</f>
        <v>316.17772895535211</v>
      </c>
      <c r="GF58" s="62">
        <f t="shared" si="50"/>
        <v>251.94445589652992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62.456747226247018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3.95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14.483333333333334</v>
      </c>
      <c r="H59" s="70">
        <f t="shared" si="1"/>
        <v>198.73333333333335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9.4</v>
      </c>
      <c r="N59" s="14">
        <f>IF('Données projet'!$A$36&gt;35,N58+M59-V58,IF(A59&lt;'Données projet'!$A$36,$K$205^A59,IF(A59='Données projet'!$A$36,'Données projet'!$B$36,N58+M59-V58)))</f>
        <v>235.39999999999998</v>
      </c>
      <c r="O59" s="14">
        <f>N59*VLOOKUP('Données projet'!$B$9,Paramètres!$A$1:$I$89,3,0)*VLOOKUP('Données projet'!$B$9,Paramètres!$A$1:$I$89,5,0)</f>
        <v>198.30096</v>
      </c>
      <c r="P59" s="14">
        <f t="shared" si="33"/>
        <v>49.3705849564736</v>
      </c>
      <c r="Q59" s="22">
        <f t="shared" si="53"/>
        <v>431.36127413252484</v>
      </c>
      <c r="R59" s="62">
        <f t="shared" si="0"/>
        <v>697.51582872403606</v>
      </c>
      <c r="S59" s="62">
        <f ca="1">AVERAGE(OFFSET($R$3,0,0,'Données projet'!$E$9+1,1))-AVERAGE(OFFSET($H$3,0,0,'Données projet'!$E$9+1,1))</f>
        <v>508.93703669150443</v>
      </c>
      <c r="T59" s="62">
        <f t="shared" si="34"/>
        <v>277.04920840696707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7.6</v>
      </c>
      <c r="AI59" s="14">
        <f>IF('Données projet'!$A$62&gt;35,AI58+AH59-AQ58,IF(A59&lt;'Données projet'!$A$62,$AF$205^A59,IF(A59='Données projet'!$A$62,'Données projet'!$B$62,AI58+AH59-AQ58)))</f>
        <v>204.6</v>
      </c>
      <c r="AJ59" s="14">
        <f>AI59*VLOOKUP('Données projet'!$B$10,Paramètres!$A$1:$I$89,3,0)*VLOOKUP('Données projet'!$B$10,Paramètres!$A$1:$I$89,5,0)</f>
        <v>185.12207999999998</v>
      </c>
      <c r="AK59" s="14">
        <f t="shared" si="35"/>
        <v>46.459887003478677</v>
      </c>
      <c r="AL59" s="22">
        <f t="shared" si="4"/>
        <v>403.33859253105862</v>
      </c>
      <c r="AM59" s="62">
        <f t="shared" si="5"/>
        <v>669.49314712256978</v>
      </c>
      <c r="AN59" s="62">
        <f ca="1">AVERAGE(OFFSET($AM$3,0,0,'Données projet'!$E$10+1,1))-AVERAGE(OFFSET($H$3,0,0,'Données projet'!$E$10+1,1))</f>
        <v>461.10503306101145</v>
      </c>
      <c r="AO59" s="62">
        <f t="shared" si="36"/>
        <v>262.10652147273288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6.2</v>
      </c>
      <c r="BD59" s="13">
        <f>IF('Données projet'!$A$88&gt;35,BD58+BC59-BL58,IF(A59&lt;'Données projet'!$A$88,$BA$205^A59,IF(A59='Données projet'!$A$88,'Données projet'!$B$88,BD58+BC59-BL58)))</f>
        <v>285.2</v>
      </c>
      <c r="BE59" s="14">
        <f>BD59*VLOOKUP('Données projet'!$B$11,Paramètres!$A$1:$I$89,3,0)*VLOOKUP('Données projet'!$B$11,Paramètres!$A$1:$I$89,5,0)</f>
        <v>226.90512000000001</v>
      </c>
      <c r="BF59" s="14">
        <f t="shared" si="37"/>
        <v>55.612969408444414</v>
      </c>
      <c r="BG59" s="22">
        <f t="shared" si="7"/>
        <v>492.05233905304067</v>
      </c>
      <c r="BH59" s="62">
        <f t="shared" si="8"/>
        <v>758.20689364455188</v>
      </c>
      <c r="BI59" s="62">
        <f ca="1">AVERAGE(OFFSET($BH$3,0,0,'Données projet'!$E$11+1,1))-AVERAGE(OFFSET($H$3,0,0,'Données projet'!$E$11+1,1))</f>
        <v>389.67854939311752</v>
      </c>
      <c r="BJ59" s="62">
        <f t="shared" si="38"/>
        <v>420.05189970516096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8.6137500000000031</v>
      </c>
      <c r="BY59" s="13">
        <f>IF('Données projet'!$A$114&gt;35,BY58+BX59-CG58,IF(A59&lt;'Données projet'!$A$114,$BV$205^A59,IF(A59='Données projet'!$A$114,'Données projet'!$B$114,BY58+BX59-CG58)))</f>
        <v>261.41499999999968</v>
      </c>
      <c r="BZ59" s="14">
        <f>BY59*VLOOKUP('Données projet'!$B$12,Paramètres!$A$1:$I$89,3,0)*VLOOKUP('Données projet'!$B$12,Paramètres!$A$1:$I$89,5,0)</f>
        <v>149.5293799999998</v>
      </c>
      <c r="CA59" s="14">
        <f t="shared" si="39"/>
        <v>38.471615985113367</v>
      </c>
      <c r="CB59" s="22">
        <f t="shared" si="10"/>
        <v>327.43506800740545</v>
      </c>
      <c r="CC59" s="62">
        <f t="shared" si="11"/>
        <v>593.58962259891655</v>
      </c>
      <c r="CD59" s="62">
        <f ca="1">AVERAGE(OFFSET($CC$3,0,0,'Données projet'!$E$12+1,1))-AVERAGE(OFFSET($H$3,0,0,'Données projet'!$E$12+1,1))</f>
        <v>312.16891625633968</v>
      </c>
      <c r="CE59" s="62">
        <f t="shared" si="40"/>
        <v>215.34305815516177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5.8418773874293937</v>
      </c>
      <c r="CM59" s="23">
        <f>EXP(-LN(2)/2)*CM58+(1-EXP(-LN(2)/2))/(LN(2)/2)*CG59*CJ59*VLOOKUP('Données projet'!$B$12,Paramètres!$A$1:$I$89,3,0)*0.475*44/12</f>
        <v>9.9457892412531173E-4</v>
      </c>
      <c r="CN59" s="24">
        <f t="shared" si="12"/>
        <v>5.8428719663535187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5.8974358974358951</v>
      </c>
      <c r="CT59" s="13">
        <f>IF('Données projet'!$A$140&gt;35,CT58+CS59-DB58,IF(A59&lt;'Données projet'!$A$140,$CQ$205^A59,IF(A59='Données projet'!$A$140,'Données projet'!$B$140,CT58+CS59-DB58)))</f>
        <v>231.53846153846155</v>
      </c>
      <c r="CU59" s="18">
        <f>CT59*VLOOKUP('Données projet'!$B$13,Paramètres!$A$1:$I$89,3,0)*VLOOKUP('Données projet'!$B$13,Paramètres!$A$1:$I$89,5,0)</f>
        <v>155.316</v>
      </c>
      <c r="CV59" s="14">
        <f t="shared" si="41"/>
        <v>39.784206160846679</v>
      </c>
      <c r="CW59" s="22">
        <f t="shared" si="13"/>
        <v>339.79952573014128</v>
      </c>
      <c r="CX59" s="62">
        <f t="shared" si="14"/>
        <v>605.95408032165244</v>
      </c>
      <c r="CY59" s="62">
        <f ca="1">AVERAGE(OFFSET($CX$3,0,0,'Données projet'!$E$13+1,1))-AVERAGE(OFFSET($H$3,0,0,'Données projet'!$E$13+1,1))</f>
        <v>369.04754428478793</v>
      </c>
      <c r="CZ59" s="62">
        <f t="shared" si="42"/>
        <v>277.00523259351712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9.375</v>
      </c>
      <c r="DO59" s="13">
        <f>IF('Données projet'!$A$166&gt;35,DO58+DN59-DW58,IF(A59&lt;'Données projet'!$A$166,$DL$205^A59,IF(A59='Données projet'!$A$166,'Données projet'!$B$166,DO58+DN59-DW58)))</f>
        <v>259.49999999999994</v>
      </c>
      <c r="DP59" s="18">
        <f>DO59*VLOOKUP('Données projet'!$B$14,Paramètres!$A$1:$I$89,3,0)*VLOOKUP('Données projet'!$B$14,Paramètres!$A$1:$I$89,5,0)</f>
        <v>202.40999999999997</v>
      </c>
      <c r="DQ59" s="14">
        <f t="shared" si="43"/>
        <v>50.273442991661867</v>
      </c>
      <c r="DR59" s="22">
        <f t="shared" si="16"/>
        <v>440.09032987714431</v>
      </c>
      <c r="DS59" s="62">
        <f t="shared" si="17"/>
        <v>706.24488446865553</v>
      </c>
      <c r="DT59" s="62">
        <f ca="1">AVERAGE(OFFSET($DS$3,0,0,'Données projet'!$E$14+1,1))-AVERAGE(OFFSET($H$3,0,0,'Données projet'!$E$14+1,1))</f>
        <v>308.39181291575227</v>
      </c>
      <c r="DU59" s="62">
        <f t="shared" si="44"/>
        <v>298.58225298824334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7.6</v>
      </c>
      <c r="EJ59" s="13">
        <f>IF('Données projet'!$A$192&gt;35,EJ58+EI59-ER58,IF(A59&lt;'Données projet'!$A$192,$EG$205^A59,IF(A59='Données projet'!$A$192,'Données projet'!$B$192,EJ58+EI59-ER58)))</f>
        <v>204.6</v>
      </c>
      <c r="EK59" s="18">
        <f>EJ59*VLOOKUP('Données projet'!$B$15,Paramètres!$A$1:$I$89,3,0)*VLOOKUP('Données projet'!$B$15,Paramètres!$A$1:$I$89,5,0)</f>
        <v>197.88911999999999</v>
      </c>
      <c r="EL59" s="14">
        <f t="shared" si="45"/>
        <v>49.279974103179534</v>
      </c>
      <c r="EM59" s="22">
        <f t="shared" si="19"/>
        <v>430.48617222970438</v>
      </c>
      <c r="EN59" s="62">
        <f t="shared" si="20"/>
        <v>696.64072682121559</v>
      </c>
      <c r="EO59" s="62">
        <f ca="1">AVERAGE(OFFSET($EN$3,0,0,'Données projet'!$E$15+1,1))-AVERAGE(OFFSET($H$3,0,0,'Données projet'!$E$15+1,1))</f>
        <v>487.76433095707876</v>
      </c>
      <c r="EP59" s="62">
        <f t="shared" si="46"/>
        <v>276.24209151398361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7.6</v>
      </c>
      <c r="FE59" s="13">
        <f>IF('Données projet'!$A$218&gt;35,FE58+FD59-FM58,IF(A59&lt;'Données projet'!$A$218,$FB$205^A59,IF(A59='Données projet'!$A$218,'Données projet'!$B$218,FE58+FD59-FM58)))</f>
        <v>204.6</v>
      </c>
      <c r="FF59" s="18">
        <f>FE59*VLOOKUP('Données projet'!$B$16,Paramètres!$A$1:$I$89,3,0)*VLOOKUP('Données projet'!$B$16,Paramètres!$A$1:$I$89,5,0)</f>
        <v>220.23143999999996</v>
      </c>
      <c r="FG59" s="14">
        <f t="shared" si="47"/>
        <v>54.165184982469711</v>
      </c>
      <c r="FH59" s="22">
        <f t="shared" si="22"/>
        <v>477.9074551778013</v>
      </c>
      <c r="FI59" s="62">
        <f t="shared" si="23"/>
        <v>744.06200976931245</v>
      </c>
      <c r="FJ59" s="62">
        <f ca="1">AVERAGE(OFFSET($FI$3,0,0,'Données projet'!$E$16+1,1))-AVERAGE(OFFSET($H$3,0,0,'Données projet'!$E$16+1,1))</f>
        <v>534.33392288300456</v>
      </c>
      <c r="FK59" s="62">
        <f t="shared" si="48"/>
        <v>300.93109615735477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5.2564102564102599</v>
      </c>
      <c r="FZ59" s="13">
        <f>IF('Données projet'!$A$244&gt;35,FZ58+FY59-GH58,IF(A59&lt;'Données projet'!$A$244,$FW$205^A59,IF(A59='Données projet'!$A$244,'Données projet'!$B$244,FZ58+FY59-GH58)))</f>
        <v>206.53846153846141</v>
      </c>
      <c r="GA59" s="18">
        <f>FZ59*VLOOKUP('Données projet'!$B$17,Paramètres!$A$1:$I$89,3,0)*VLOOKUP('Données projet'!$B$17,Paramètres!$A$1:$I$89,5,0)</f>
        <v>138.54599999999991</v>
      </c>
      <c r="GB59" s="14">
        <f t="shared" si="49"/>
        <v>35.963712393935815</v>
      </c>
      <c r="GC59" s="22">
        <f t="shared" si="25"/>
        <v>303.9377490861047</v>
      </c>
      <c r="GD59" s="62">
        <f t="shared" si="26"/>
        <v>570.09230367761586</v>
      </c>
      <c r="GE59" s="62">
        <f ca="1">AVERAGE(OFFSET($GD$3,0,0,'Données projet'!$E$17+1,1))-AVERAGE(OFFSET($H$3,0,0,'Données projet'!$E$17+1,1))</f>
        <v>316.17772895535211</v>
      </c>
      <c r="GF59" s="62">
        <f t="shared" si="50"/>
        <v>251.94445589652992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62.587605797684859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3.95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14.483333333333334</v>
      </c>
      <c r="H60" s="70">
        <f t="shared" si="1"/>
        <v>198.73333333333335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9.4</v>
      </c>
      <c r="N60" s="14">
        <f>IF('Données projet'!$A$36&gt;35,N59+M60-V59,IF(A60&lt;'Données projet'!$A$36,$K$205^A60,IF(A60='Données projet'!$A$36,'Données projet'!$B$36,N59+M60-V59)))</f>
        <v>244.79999999999998</v>
      </c>
      <c r="O60" s="14">
        <f>N60*VLOOKUP('Données projet'!$B$9,Paramètres!$A$1:$I$89,3,0)*VLOOKUP('Données projet'!$B$9,Paramètres!$A$1:$I$89,5,0)</f>
        <v>206.21952000000002</v>
      </c>
      <c r="P60" s="14">
        <f t="shared" si="33"/>
        <v>51.108584284640322</v>
      </c>
      <c r="Q60" s="22">
        <f t="shared" si="53"/>
        <v>448.1797816290819</v>
      </c>
      <c r="R60" s="62">
        <f t="shared" si="0"/>
        <v>714.80582726911734</v>
      </c>
      <c r="S60" s="62">
        <f ca="1">AVERAGE(OFFSET($R$3,0,0,'Données projet'!$E$9+1,1))-AVERAGE(OFFSET($H$3,0,0,'Données projet'!$E$9+1,1))</f>
        <v>508.93703669150443</v>
      </c>
      <c r="T60" s="62">
        <f t="shared" si="34"/>
        <v>277.04920840696707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7.6</v>
      </c>
      <c r="AI60" s="14">
        <f>IF('Données projet'!$A$62&gt;35,AI59+AH60-AQ59,IF(A60&lt;'Données projet'!$A$62,$AF$205^A60,IF(A60='Données projet'!$A$62,'Données projet'!$B$62,AI59+AH60-AQ59)))</f>
        <v>212.2</v>
      </c>
      <c r="AJ60" s="14">
        <f>AI60*VLOOKUP('Données projet'!$B$10,Paramètres!$A$1:$I$89,3,0)*VLOOKUP('Données projet'!$B$10,Paramètres!$A$1:$I$89,5,0)</f>
        <v>191.99855999999997</v>
      </c>
      <c r="AK60" s="14">
        <f t="shared" si="35"/>
        <v>47.981536645873334</v>
      </c>
      <c r="AL60" s="22">
        <f t="shared" si="4"/>
        <v>417.96533499156266</v>
      </c>
      <c r="AM60" s="62">
        <f t="shared" si="5"/>
        <v>684.59138063159799</v>
      </c>
      <c r="AN60" s="62">
        <f ca="1">AVERAGE(OFFSET($AM$3,0,0,'Données projet'!$E$10+1,1))-AVERAGE(OFFSET($H$3,0,0,'Données projet'!$E$10+1,1))</f>
        <v>461.10503306101145</v>
      </c>
      <c r="AO60" s="62">
        <f t="shared" si="36"/>
        <v>262.10652147273288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6.2</v>
      </c>
      <c r="BD60" s="13">
        <f>IF('Données projet'!$A$88&gt;35,BD59+BC60-BL59,IF(A60&lt;'Données projet'!$A$88,$BA$205^A60,IF(A60='Données projet'!$A$88,'Données projet'!$B$88,BD59+BC60-BL59)))</f>
        <v>291.39999999999998</v>
      </c>
      <c r="BE60" s="14">
        <f>BD60*VLOOKUP('Données projet'!$B$11,Paramètres!$A$1:$I$89,3,0)*VLOOKUP('Données projet'!$B$11,Paramètres!$A$1:$I$89,5,0)</f>
        <v>231.83784000000003</v>
      </c>
      <c r="BF60" s="14">
        <f t="shared" si="37"/>
        <v>56.679881250286201</v>
      </c>
      <c r="BG60" s="22">
        <f t="shared" si="7"/>
        <v>502.50169784424844</v>
      </c>
      <c r="BH60" s="62">
        <f t="shared" si="8"/>
        <v>769.12774348428388</v>
      </c>
      <c r="BI60" s="62">
        <f ca="1">AVERAGE(OFFSET($BH$3,0,0,'Données projet'!$E$11+1,1))-AVERAGE(OFFSET($H$3,0,0,'Données projet'!$E$11+1,1))</f>
        <v>389.67854939311752</v>
      </c>
      <c r="BJ60" s="62">
        <f t="shared" si="38"/>
        <v>420.05189970516096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8.6137500000000031</v>
      </c>
      <c r="BY60" s="13">
        <f>IF('Données projet'!$A$114&gt;35,BY59+BX60-CG59,IF(A60&lt;'Données projet'!$A$114,$BV$205^A60,IF(A60='Données projet'!$A$114,'Données projet'!$B$114,BY59+BX60-CG59)))</f>
        <v>270.02874999999966</v>
      </c>
      <c r="BZ60" s="14">
        <f>BY60*VLOOKUP('Données projet'!$B$12,Paramètres!$A$1:$I$89,3,0)*VLOOKUP('Données projet'!$B$12,Paramètres!$A$1:$I$89,5,0)</f>
        <v>154.4564449999998</v>
      </c>
      <c r="CA60" s="14">
        <f t="shared" si="39"/>
        <v>39.589596665295794</v>
      </c>
      <c r="CB60" s="22">
        <f t="shared" si="10"/>
        <v>337.96352256705649</v>
      </c>
      <c r="CC60" s="62">
        <f t="shared" si="11"/>
        <v>604.58956820709182</v>
      </c>
      <c r="CD60" s="62">
        <f ca="1">AVERAGE(OFFSET($CC$3,0,0,'Données projet'!$E$12+1,1))-AVERAGE(OFFSET($H$3,0,0,'Données projet'!$E$12+1,1))</f>
        <v>312.16891625633968</v>
      </c>
      <c r="CE60" s="62">
        <f t="shared" si="40"/>
        <v>215.34305815516177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5.6821309430591569</v>
      </c>
      <c r="CM60" s="23">
        <f>EXP(-LN(2)/2)*CM59+(1-EXP(-LN(2)/2))/(LN(2)/2)*CG60*CJ60*VLOOKUP('Données projet'!$B$12,Paramètres!$A$1:$I$89,3,0)*0.475*44/12</f>
        <v>7.0327350167422866E-4</v>
      </c>
      <c r="CN60" s="24">
        <f t="shared" si="12"/>
        <v>5.6828342165608312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5.8974358974358951</v>
      </c>
      <c r="CT60" s="13">
        <f>IF('Données projet'!$A$140&gt;35,CT59+CS60-DB59,IF(A60&lt;'Données projet'!$A$140,$CQ$205^A60,IF(A60='Données projet'!$A$140,'Données projet'!$B$140,CT59+CS60-DB59)))</f>
        <v>237.43589743589743</v>
      </c>
      <c r="CU60" s="18">
        <f>CT60*VLOOKUP('Données projet'!$B$13,Paramètres!$A$1:$I$89,3,0)*VLOOKUP('Données projet'!$B$13,Paramètres!$A$1:$I$89,5,0)</f>
        <v>159.27200000000002</v>
      </c>
      <c r="CV60" s="14">
        <f t="shared" si="41"/>
        <v>40.678269418356507</v>
      </c>
      <c r="CW60" s="22">
        <f t="shared" si="13"/>
        <v>348.24671923697093</v>
      </c>
      <c r="CX60" s="62">
        <f t="shared" si="14"/>
        <v>614.87276487700638</v>
      </c>
      <c r="CY60" s="62">
        <f ca="1">AVERAGE(OFFSET($CX$3,0,0,'Données projet'!$E$13+1,1))-AVERAGE(OFFSET($H$3,0,0,'Données projet'!$E$13+1,1))</f>
        <v>369.04754428478793</v>
      </c>
      <c r="CZ60" s="62">
        <f t="shared" si="42"/>
        <v>277.00523259351712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9.375</v>
      </c>
      <c r="DO60" s="13">
        <f>IF('Données projet'!$A$166&gt;35,DO59+DN60-DW59,IF(A60&lt;'Données projet'!$A$166,$DL$205^A60,IF(A60='Données projet'!$A$166,'Données projet'!$B$166,DO59+DN60-DW59)))</f>
        <v>268.87499999999994</v>
      </c>
      <c r="DP60" s="18">
        <f>DO60*VLOOKUP('Données projet'!$B$14,Paramètres!$A$1:$I$89,3,0)*VLOOKUP('Données projet'!$B$14,Paramètres!$A$1:$I$89,5,0)</f>
        <v>209.72249999999997</v>
      </c>
      <c r="DQ60" s="14">
        <f t="shared" si="43"/>
        <v>51.874940300502296</v>
      </c>
      <c r="DR60" s="22">
        <f t="shared" si="16"/>
        <v>455.61554185670815</v>
      </c>
      <c r="DS60" s="62">
        <f t="shared" si="17"/>
        <v>722.24158749674348</v>
      </c>
      <c r="DT60" s="62">
        <f ca="1">AVERAGE(OFFSET($DS$3,0,0,'Données projet'!$E$14+1,1))-AVERAGE(OFFSET($H$3,0,0,'Données projet'!$E$14+1,1))</f>
        <v>308.39181291575227</v>
      </c>
      <c r="DU60" s="62">
        <f t="shared" si="44"/>
        <v>298.58225298824334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7.6</v>
      </c>
      <c r="EJ60" s="13">
        <f>IF('Données projet'!$A$192&gt;35,EJ59+EI60-ER59,IF(A60&lt;'Données projet'!$A$192,$EG$205^A60,IF(A60='Données projet'!$A$192,'Données projet'!$B$192,EJ59+EI60-ER59)))</f>
        <v>212.2</v>
      </c>
      <c r="EK60" s="18">
        <f>EJ60*VLOOKUP('Données projet'!$B$15,Paramètres!$A$1:$I$89,3,0)*VLOOKUP('Données projet'!$B$15,Paramètres!$A$1:$I$89,5,0)</f>
        <v>205.23983999999999</v>
      </c>
      <c r="EL60" s="14">
        <f t="shared" si="45"/>
        <v>50.893986960458122</v>
      </c>
      <c r="EM60" s="22">
        <f t="shared" si="19"/>
        <v>446.0997486227979</v>
      </c>
      <c r="EN60" s="62">
        <f t="shared" si="20"/>
        <v>712.72579426283323</v>
      </c>
      <c r="EO60" s="62">
        <f ca="1">AVERAGE(OFFSET($EN$3,0,0,'Données projet'!$E$15+1,1))-AVERAGE(OFFSET($H$3,0,0,'Données projet'!$E$15+1,1))</f>
        <v>487.76433095707876</v>
      </c>
      <c r="EP60" s="62">
        <f t="shared" si="46"/>
        <v>276.24209151398361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7.6</v>
      </c>
      <c r="FE60" s="13">
        <f>IF('Données projet'!$A$218&gt;35,FE59+FD60-FM59,IF(A60&lt;'Données projet'!$A$218,$FB$205^A60,IF(A60='Données projet'!$A$218,'Données projet'!$B$218,FE59+FD60-FM59)))</f>
        <v>212.2</v>
      </c>
      <c r="FF60" s="18">
        <f>FE60*VLOOKUP('Données projet'!$B$16,Paramètres!$A$1:$I$89,3,0)*VLOOKUP('Données projet'!$B$16,Paramètres!$A$1:$I$89,5,0)</f>
        <v>228.41207999999997</v>
      </c>
      <c r="FG60" s="14">
        <f t="shared" si="47"/>
        <v>55.939197785226767</v>
      </c>
      <c r="FH60" s="22">
        <f t="shared" si="22"/>
        <v>495.24514214260324</v>
      </c>
      <c r="FI60" s="62">
        <f t="shared" si="23"/>
        <v>761.87118778263857</v>
      </c>
      <c r="FJ60" s="62">
        <f ca="1">AVERAGE(OFFSET($FI$3,0,0,'Données projet'!$E$16+1,1))-AVERAGE(OFFSET($H$3,0,0,'Données projet'!$E$16+1,1))</f>
        <v>534.33392288300456</v>
      </c>
      <c r="FK60" s="62">
        <f t="shared" si="48"/>
        <v>300.93109615735477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5.2564102564102599</v>
      </c>
      <c r="FZ60" s="13">
        <f>IF('Données projet'!$A$244&gt;35,FZ59+FY60-GH59,IF(A60&lt;'Données projet'!$A$244,$FW$205^A60,IF(A60='Données projet'!$A$244,'Données projet'!$B$244,FZ59+FY60-GH59)))</f>
        <v>211.79487179487165</v>
      </c>
      <c r="GA60" s="18">
        <f>FZ60*VLOOKUP('Données projet'!$B$17,Paramètres!$A$1:$I$89,3,0)*VLOOKUP('Données projet'!$B$17,Paramètres!$A$1:$I$89,5,0)</f>
        <v>142.07199999999992</v>
      </c>
      <c r="GB60" s="14">
        <f t="shared" si="49"/>
        <v>36.77126497497774</v>
      </c>
      <c r="GC60" s="22">
        <f t="shared" si="25"/>
        <v>311.48535316475278</v>
      </c>
      <c r="GD60" s="62">
        <f t="shared" si="26"/>
        <v>578.11139880478822</v>
      </c>
      <c r="GE60" s="62">
        <f ca="1">AVERAGE(OFFSET($GD$3,0,0,'Données projet'!$E$17+1,1))-AVERAGE(OFFSET($H$3,0,0,'Données projet'!$E$17+1,1))</f>
        <v>316.17772895535211</v>
      </c>
      <c r="GF60" s="62">
        <f t="shared" si="50"/>
        <v>251.94445589652992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62.716194265464196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3.95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14.483333333333334</v>
      </c>
      <c r="H61" s="70">
        <f t="shared" si="1"/>
        <v>198.73333333333335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9.4</v>
      </c>
      <c r="N61" s="14">
        <f>IF('Données projet'!$A$36&gt;35,N60+M61-V60,IF(A61&lt;'Données projet'!$A$36,$K$205^A61,IF(A61='Données projet'!$A$36,'Données projet'!$B$36,N60+M61-V60)))</f>
        <v>254.2</v>
      </c>
      <c r="O61" s="14">
        <f>N61*VLOOKUP('Données projet'!$B$9,Paramètres!$A$1:$I$89,3,0)*VLOOKUP('Données projet'!$B$9,Paramètres!$A$1:$I$89,5,0)</f>
        <v>214.13808</v>
      </c>
      <c r="P61" s="14">
        <f t="shared" si="33"/>
        <v>52.838830759579693</v>
      </c>
      <c r="Q61" s="22">
        <f t="shared" si="53"/>
        <v>464.98478623960131</v>
      </c>
      <c r="R61" s="62">
        <f t="shared" si="0"/>
        <v>732.07414361256519</v>
      </c>
      <c r="S61" s="62">
        <f ca="1">AVERAGE(OFFSET($R$3,0,0,'Données projet'!$E$9+1,1))-AVERAGE(OFFSET($H$3,0,0,'Données projet'!$E$9+1,1))</f>
        <v>508.93703669150443</v>
      </c>
      <c r="T61" s="62">
        <f t="shared" si="34"/>
        <v>277.04920840696707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7.6</v>
      </c>
      <c r="AI61" s="14">
        <f>IF('Données projet'!$A$62&gt;35,AI60+AH61-AQ60,IF(A61&lt;'Données projet'!$A$62,$AF$205^A61,IF(A61='Données projet'!$A$62,'Données projet'!$B$62,AI60+AH61-AQ60)))</f>
        <v>219.79999999999998</v>
      </c>
      <c r="AJ61" s="14">
        <f>AI61*VLOOKUP('Données projet'!$B$10,Paramètres!$A$1:$I$89,3,0)*VLOOKUP('Données projet'!$B$10,Paramètres!$A$1:$I$89,5,0)</f>
        <v>198.87503999999998</v>
      </c>
      <c r="AK61" s="14">
        <f t="shared" si="35"/>
        <v>49.496854461868558</v>
      </c>
      <c r="AL61" s="22">
        <f t="shared" si="4"/>
        <v>432.58104952108766</v>
      </c>
      <c r="AM61" s="62">
        <f t="shared" si="5"/>
        <v>699.67040689405144</v>
      </c>
      <c r="AN61" s="62">
        <f ca="1">AVERAGE(OFFSET($AM$3,0,0,'Données projet'!$E$10+1,1))-AVERAGE(OFFSET($H$3,0,0,'Données projet'!$E$10+1,1))</f>
        <v>461.10503306101145</v>
      </c>
      <c r="AO61" s="62">
        <f t="shared" si="36"/>
        <v>262.10652147273288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6.2</v>
      </c>
      <c r="BD61" s="13">
        <f>IF('Données projet'!$A$88&gt;35,BD60+BC61-BL60,IF(A61&lt;'Données projet'!$A$88,$BA$205^A61,IF(A61='Données projet'!$A$88,'Données projet'!$B$88,BD60+BC61-BL60)))</f>
        <v>297.59999999999997</v>
      </c>
      <c r="BE61" s="14">
        <f>BD61*VLOOKUP('Données projet'!$B$11,Paramètres!$A$1:$I$89,3,0)*VLOOKUP('Données projet'!$B$11,Paramètres!$A$1:$I$89,5,0)</f>
        <v>236.77055999999999</v>
      </c>
      <c r="BF61" s="14">
        <f t="shared" si="37"/>
        <v>57.744153841586929</v>
      </c>
      <c r="BG61" s="22">
        <f t="shared" si="7"/>
        <v>512.94645994076382</v>
      </c>
      <c r="BH61" s="62">
        <f t="shared" si="8"/>
        <v>780.03581731372765</v>
      </c>
      <c r="BI61" s="62">
        <f ca="1">AVERAGE(OFFSET($BH$3,0,0,'Données projet'!$E$11+1,1))-AVERAGE(OFFSET($H$3,0,0,'Données projet'!$E$11+1,1))</f>
        <v>389.67854939311752</v>
      </c>
      <c r="BJ61" s="62">
        <f t="shared" si="38"/>
        <v>420.05189970516096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8.6137500000000031</v>
      </c>
      <c r="BY61" s="13">
        <f>IF('Données projet'!$A$114&gt;35,BY60+BX61-CG60,IF(A61&lt;'Données projet'!$A$114,$BV$205^A61,IF(A61='Données projet'!$A$114,'Données projet'!$B$114,BY60+BX61-CG60)))</f>
        <v>278.64249999999964</v>
      </c>
      <c r="BZ61" s="14">
        <f>BY61*VLOOKUP('Données projet'!$B$12,Paramètres!$A$1:$I$89,3,0)*VLOOKUP('Données projet'!$B$12,Paramètres!$A$1:$I$89,5,0)</f>
        <v>159.3835099999998</v>
      </c>
      <c r="CA61" s="14">
        <f t="shared" si="39"/>
        <v>40.703433139614184</v>
      </c>
      <c r="CB61" s="22">
        <f t="shared" si="10"/>
        <v>348.48475930149431</v>
      </c>
      <c r="CC61" s="62">
        <f t="shared" si="11"/>
        <v>615.57411667445808</v>
      </c>
      <c r="CD61" s="62">
        <f ca="1">AVERAGE(OFFSET($CC$3,0,0,'Données projet'!$E$12+1,1))-AVERAGE(OFFSET($H$3,0,0,'Données projet'!$E$12+1,1))</f>
        <v>312.16891625633968</v>
      </c>
      <c r="CE61" s="62">
        <f t="shared" si="40"/>
        <v>215.34305815516177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5.5267527736109248</v>
      </c>
      <c r="CM61" s="23">
        <f>EXP(-LN(2)/2)*CM60+(1-EXP(-LN(2)/2))/(LN(2)/2)*CG61*CJ61*VLOOKUP('Données projet'!$B$12,Paramètres!$A$1:$I$89,3,0)*0.475*44/12</f>
        <v>4.9728946206265587E-4</v>
      </c>
      <c r="CN61" s="24">
        <f t="shared" si="12"/>
        <v>5.5272500630729873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5.8974358974358951</v>
      </c>
      <c r="CT61" s="13">
        <f>IF('Données projet'!$A$140&gt;35,CT60+CS61-DB60,IF(A61&lt;'Données projet'!$A$140,$CQ$205^A61,IF(A61='Données projet'!$A$140,'Données projet'!$B$140,CT60+CS61-DB60)))</f>
        <v>243.33333333333331</v>
      </c>
      <c r="CU61" s="18">
        <f>CT61*VLOOKUP('Données projet'!$B$13,Paramètres!$A$1:$I$89,3,0)*VLOOKUP('Données projet'!$B$13,Paramètres!$A$1:$I$89,5,0)</f>
        <v>163.22799999999998</v>
      </c>
      <c r="CV61" s="14">
        <f t="shared" si="41"/>
        <v>41.569751262115432</v>
      </c>
      <c r="CW61" s="22">
        <f t="shared" si="13"/>
        <v>356.68941678151765</v>
      </c>
      <c r="CX61" s="62">
        <f t="shared" si="14"/>
        <v>623.77877415448143</v>
      </c>
      <c r="CY61" s="62">
        <f ca="1">AVERAGE(OFFSET($CX$3,0,0,'Données projet'!$E$13+1,1))-AVERAGE(OFFSET($H$3,0,0,'Données projet'!$E$13+1,1))</f>
        <v>369.04754428478793</v>
      </c>
      <c r="CZ61" s="62">
        <f t="shared" si="42"/>
        <v>277.00523259351712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9.375</v>
      </c>
      <c r="DO61" s="13">
        <f>IF('Données projet'!$A$166&gt;35,DO60+DN61-DW60,IF(A61&lt;'Données projet'!$A$166,$DL$205^A61,IF(A61='Données projet'!$A$166,'Données projet'!$B$166,DO60+DN61-DW60)))</f>
        <v>278.24999999999994</v>
      </c>
      <c r="DP61" s="18">
        <f>DO61*VLOOKUP('Données projet'!$B$14,Paramètres!$A$1:$I$89,3,0)*VLOOKUP('Données projet'!$B$14,Paramètres!$A$1:$I$89,5,0)</f>
        <v>217.03499999999997</v>
      </c>
      <c r="DQ61" s="14">
        <f t="shared" si="43"/>
        <v>53.469949591969474</v>
      </c>
      <c r="DR61" s="22">
        <f t="shared" si="16"/>
        <v>471.12945387268002</v>
      </c>
      <c r="DS61" s="62">
        <f t="shared" si="17"/>
        <v>738.21881124564379</v>
      </c>
      <c r="DT61" s="62">
        <f ca="1">AVERAGE(OFFSET($DS$3,0,0,'Données projet'!$E$14+1,1))-AVERAGE(OFFSET($H$3,0,0,'Données projet'!$E$14+1,1))</f>
        <v>308.39181291575227</v>
      </c>
      <c r="DU61" s="62">
        <f t="shared" si="44"/>
        <v>298.58225298824334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7.6</v>
      </c>
      <c r="EJ61" s="13">
        <f>IF('Données projet'!$A$192&gt;35,EJ60+EI61-ER60,IF(A61&lt;'Données projet'!$A$192,$EG$205^A61,IF(A61='Données projet'!$A$192,'Données projet'!$B$192,EJ60+EI61-ER60)))</f>
        <v>219.79999999999998</v>
      </c>
      <c r="EK61" s="18">
        <f>EJ61*VLOOKUP('Données projet'!$B$15,Paramètres!$A$1:$I$89,3,0)*VLOOKUP('Données projet'!$B$15,Paramètres!$A$1:$I$89,5,0)</f>
        <v>212.59055999999998</v>
      </c>
      <c r="EL61" s="14">
        <f t="shared" si="45"/>
        <v>52.501283653296404</v>
      </c>
      <c r="EM61" s="22">
        <f t="shared" si="19"/>
        <v>461.70162769615786</v>
      </c>
      <c r="EN61" s="62">
        <f t="shared" si="20"/>
        <v>728.79098506912169</v>
      </c>
      <c r="EO61" s="62">
        <f ca="1">AVERAGE(OFFSET($EN$3,0,0,'Données projet'!$E$15+1,1))-AVERAGE(OFFSET($H$3,0,0,'Données projet'!$E$15+1,1))</f>
        <v>487.76433095707876</v>
      </c>
      <c r="EP61" s="62">
        <f t="shared" si="46"/>
        <v>276.24209151398361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7.6</v>
      </c>
      <c r="FE61" s="13">
        <f>IF('Données projet'!$A$218&gt;35,FE60+FD61-FM60,IF(A61&lt;'Données projet'!$A$218,$FB$205^A61,IF(A61='Données projet'!$A$218,'Données projet'!$B$218,FE60+FD61-FM60)))</f>
        <v>219.79999999999998</v>
      </c>
      <c r="FF61" s="18">
        <f>FE61*VLOOKUP('Données projet'!$B$16,Paramètres!$A$1:$I$89,3,0)*VLOOKUP('Données projet'!$B$16,Paramètres!$A$1:$I$89,5,0)</f>
        <v>236.59271999999999</v>
      </c>
      <c r="FG61" s="14">
        <f t="shared" si="47"/>
        <v>57.705828638299394</v>
      </c>
      <c r="FH61" s="22">
        <f t="shared" si="22"/>
        <v>512.56997221170479</v>
      </c>
      <c r="FI61" s="62">
        <f t="shared" si="23"/>
        <v>779.65932958466863</v>
      </c>
      <c r="FJ61" s="62">
        <f ca="1">AVERAGE(OFFSET($FI$3,0,0,'Données projet'!$E$16+1,1))-AVERAGE(OFFSET($H$3,0,0,'Données projet'!$E$16+1,1))</f>
        <v>534.33392288300456</v>
      </c>
      <c r="FK61" s="62">
        <f t="shared" si="48"/>
        <v>300.93109615735477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5.2564102564102599</v>
      </c>
      <c r="FZ61" s="13">
        <f>IF('Données projet'!$A$244&gt;35,FZ60+FY61-GH60,IF(A61&lt;'Données projet'!$A$244,$FW$205^A61,IF(A61='Données projet'!$A$244,'Données projet'!$B$244,FZ60+FY61-GH60)))</f>
        <v>217.0512820512819</v>
      </c>
      <c r="GA61" s="18">
        <f>FZ61*VLOOKUP('Données projet'!$B$17,Paramètres!$A$1:$I$89,3,0)*VLOOKUP('Données projet'!$B$17,Paramètres!$A$1:$I$89,5,0)</f>
        <v>145.5979999999999</v>
      </c>
      <c r="GB61" s="14">
        <f t="shared" si="49"/>
        <v>37.576487761782751</v>
      </c>
      <c r="GC61" s="22">
        <f t="shared" si="25"/>
        <v>319.0288995184381</v>
      </c>
      <c r="GD61" s="62">
        <f t="shared" si="26"/>
        <v>586.11825689140187</v>
      </c>
      <c r="GE61" s="62">
        <f ca="1">AVERAGE(OFFSET($GD$3,0,0,'Données projet'!$E$17+1,1))-AVERAGE(OFFSET($H$3,0,0,'Données projet'!$E$17+1,1))</f>
        <v>316.17772895535211</v>
      </c>
      <c r="GF61" s="62">
        <f t="shared" si="50"/>
        <v>251.94445589652992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62.842552010808319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3.95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14.483333333333334</v>
      </c>
      <c r="H62" s="70">
        <f t="shared" si="1"/>
        <v>198.73333333333335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9.4</v>
      </c>
      <c r="N62" s="14">
        <f>IF('Données projet'!$A$36&gt;35,N61+M62-V61,IF(A62&lt;'Données projet'!$A$36,$K$205^A62,IF(A62='Données projet'!$A$36,'Données projet'!$B$36,N61+M62-V61)))</f>
        <v>263.59999999999997</v>
      </c>
      <c r="O62" s="14">
        <f>N62*VLOOKUP('Données projet'!$B$9,Paramètres!$A$1:$I$89,3,0)*VLOOKUP('Données projet'!$B$9,Paramètres!$A$1:$I$89,5,0)</f>
        <v>222.05663999999999</v>
      </c>
      <c r="P62" s="14">
        <f t="shared" si="33"/>
        <v>54.561643903321311</v>
      </c>
      <c r="Q62" s="22">
        <f t="shared" si="53"/>
        <v>481.77684446495124</v>
      </c>
      <c r="R62" s="62">
        <f t="shared" si="0"/>
        <v>749.32147614808696</v>
      </c>
      <c r="S62" s="62">
        <f ca="1">AVERAGE(OFFSET($R$3,0,0,'Données projet'!$E$9+1,1))-AVERAGE(OFFSET($H$3,0,0,'Données projet'!$E$9+1,1))</f>
        <v>508.93703669150443</v>
      </c>
      <c r="T62" s="62">
        <f t="shared" si="34"/>
        <v>277.04920840696707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7.6</v>
      </c>
      <c r="AI62" s="14">
        <f>IF('Données projet'!$A$62&gt;35,AI61+AH62-AQ61,IF(A62&lt;'Données projet'!$A$62,$AF$205^A62,IF(A62='Données projet'!$A$62,'Données projet'!$B$62,AI61+AH62-AQ61)))</f>
        <v>227.39999999999998</v>
      </c>
      <c r="AJ62" s="14">
        <f>AI62*VLOOKUP('Données projet'!$B$10,Paramètres!$A$1:$I$89,3,0)*VLOOKUP('Données projet'!$B$10,Paramètres!$A$1:$I$89,5,0)</f>
        <v>205.75151999999994</v>
      </c>
      <c r="AK62" s="14">
        <f t="shared" si="35"/>
        <v>51.006084477955554</v>
      </c>
      <c r="AL62" s="22">
        <f t="shared" si="4"/>
        <v>447.18616113243911</v>
      </c>
      <c r="AM62" s="62">
        <f t="shared" si="5"/>
        <v>714.73079281557489</v>
      </c>
      <c r="AN62" s="62">
        <f ca="1">AVERAGE(OFFSET($AM$3,0,0,'Données projet'!$E$10+1,1))-AVERAGE(OFFSET($H$3,0,0,'Données projet'!$E$10+1,1))</f>
        <v>461.10503306101145</v>
      </c>
      <c r="AO62" s="62">
        <f t="shared" si="36"/>
        <v>262.10652147273288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6.2</v>
      </c>
      <c r="BD62" s="13">
        <f>IF('Données projet'!$A$88&gt;35,BD61+BC62-BL61,IF(A62&lt;'Données projet'!$A$88,$BA$205^A62,IF(A62='Données projet'!$A$88,'Données projet'!$B$88,BD61+BC62-BL61)))</f>
        <v>303.79999999999995</v>
      </c>
      <c r="BE62" s="14">
        <f>BD62*VLOOKUP('Données projet'!$B$11,Paramètres!$A$1:$I$89,3,0)*VLOOKUP('Données projet'!$B$11,Paramètres!$A$1:$I$89,5,0)</f>
        <v>241.70327999999998</v>
      </c>
      <c r="BF62" s="14">
        <f t="shared" si="37"/>
        <v>58.805848501502631</v>
      </c>
      <c r="BG62" s="22">
        <f t="shared" si="7"/>
        <v>523.38673214011703</v>
      </c>
      <c r="BH62" s="62">
        <f t="shared" si="8"/>
        <v>790.93136382325281</v>
      </c>
      <c r="BI62" s="62">
        <f ca="1">AVERAGE(OFFSET($BH$3,0,0,'Données projet'!$E$11+1,1))-AVERAGE(OFFSET($H$3,0,0,'Données projet'!$E$11+1,1))</f>
        <v>389.67854939311752</v>
      </c>
      <c r="BJ62" s="62">
        <f t="shared" si="38"/>
        <v>420.05189970516096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8.6137500000000031</v>
      </c>
      <c r="BY62" s="13">
        <f>IF('Données projet'!$A$114&gt;35,BY61+BX62-CG61,IF(A62&lt;'Données projet'!$A$114,$BV$205^A62,IF(A62='Données projet'!$A$114,'Données projet'!$B$114,BY61+BX62-CG61)))</f>
        <v>287.25624999999962</v>
      </c>
      <c r="BZ62" s="14">
        <f>BY62*VLOOKUP('Données projet'!$B$12,Paramètres!$A$1:$I$89,3,0)*VLOOKUP('Données projet'!$B$12,Paramètres!$A$1:$I$89,5,0)</f>
        <v>164.3105749999998</v>
      </c>
      <c r="CA62" s="14">
        <f t="shared" si="39"/>
        <v>41.813268220259019</v>
      </c>
      <c r="CB62" s="22">
        <f t="shared" si="10"/>
        <v>358.99902694195083</v>
      </c>
      <c r="CC62" s="62">
        <f t="shared" si="11"/>
        <v>626.54365862508666</v>
      </c>
      <c r="CD62" s="62">
        <f ca="1">AVERAGE(OFFSET($CC$3,0,0,'Données projet'!$E$12+1,1))-AVERAGE(OFFSET($H$3,0,0,'Données projet'!$E$12+1,1))</f>
        <v>312.16891625633968</v>
      </c>
      <c r="CE62" s="62">
        <f t="shared" si="40"/>
        <v>215.34305815516177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5.3756234283772368</v>
      </c>
      <c r="CM62" s="23">
        <f>EXP(-LN(2)/2)*CM61+(1-EXP(-LN(2)/2))/(LN(2)/2)*CG62*CJ62*VLOOKUP('Données projet'!$B$12,Paramètres!$A$1:$I$89,3,0)*0.475*44/12</f>
        <v>3.5163675083711433E-4</v>
      </c>
      <c r="CN62" s="24">
        <f t="shared" si="12"/>
        <v>5.375975065128074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5.8974358974358951</v>
      </c>
      <c r="CT62" s="13">
        <f>IF('Données projet'!$A$140&gt;35,CT61+CS62-DB61,IF(A62&lt;'Données projet'!$A$140,$CQ$205^A62,IF(A62='Données projet'!$A$140,'Données projet'!$B$140,CT61+CS62-DB61)))</f>
        <v>249.2307692307692</v>
      </c>
      <c r="CU62" s="18">
        <f>CT62*VLOOKUP('Données projet'!$B$13,Paramètres!$A$1:$I$89,3,0)*VLOOKUP('Données projet'!$B$13,Paramètres!$A$1:$I$89,5,0)</f>
        <v>167.18399999999997</v>
      </c>
      <c r="CV62" s="14">
        <f t="shared" si="41"/>
        <v>42.458721453110179</v>
      </c>
      <c r="CW62" s="22">
        <f t="shared" si="13"/>
        <v>365.12773986416681</v>
      </c>
      <c r="CX62" s="62">
        <f t="shared" si="14"/>
        <v>632.67237154730265</v>
      </c>
      <c r="CY62" s="62">
        <f ca="1">AVERAGE(OFFSET($CX$3,0,0,'Données projet'!$E$13+1,1))-AVERAGE(OFFSET($H$3,0,0,'Données projet'!$E$13+1,1))</f>
        <v>369.04754428478793</v>
      </c>
      <c r="CZ62" s="62">
        <f t="shared" si="42"/>
        <v>277.00523259351712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9.375</v>
      </c>
      <c r="DO62" s="13">
        <f>IF('Données projet'!$A$166&gt;35,DO61+DN62-DW61,IF(A62&lt;'Données projet'!$A$166,$DL$205^A62,IF(A62='Données projet'!$A$166,'Données projet'!$B$166,DO61+DN62-DW61)))</f>
        <v>287.62499999999994</v>
      </c>
      <c r="DP62" s="18">
        <f>DO62*VLOOKUP('Données projet'!$B$14,Paramètres!$A$1:$I$89,3,0)*VLOOKUP('Données projet'!$B$14,Paramètres!$A$1:$I$89,5,0)</f>
        <v>224.34749999999997</v>
      </c>
      <c r="DQ62" s="14">
        <f t="shared" si="43"/>
        <v>55.058714525680479</v>
      </c>
      <c r="DR62" s="22">
        <f t="shared" si="16"/>
        <v>486.63249029889352</v>
      </c>
      <c r="DS62" s="62">
        <f t="shared" si="17"/>
        <v>754.17712198202935</v>
      </c>
      <c r="DT62" s="62">
        <f ca="1">AVERAGE(OFFSET($DS$3,0,0,'Données projet'!$E$14+1,1))-AVERAGE(OFFSET($H$3,0,0,'Données projet'!$E$14+1,1))</f>
        <v>308.39181291575227</v>
      </c>
      <c r="DU62" s="62">
        <f t="shared" si="44"/>
        <v>298.58225298824334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7.6</v>
      </c>
      <c r="EJ62" s="13">
        <f>IF('Données projet'!$A$192&gt;35,EJ61+EI62-ER61,IF(A62&lt;'Données projet'!$A$192,$EG$205^A62,IF(A62='Données projet'!$A$192,'Données projet'!$B$192,EJ61+EI62-ER61)))</f>
        <v>227.39999999999998</v>
      </c>
      <c r="EK62" s="18">
        <f>EJ62*VLOOKUP('Données projet'!$B$15,Paramètres!$A$1:$I$89,3,0)*VLOOKUP('Données projet'!$B$15,Paramètres!$A$1:$I$89,5,0)</f>
        <v>219.94127999999995</v>
      </c>
      <c r="EL62" s="14">
        <f t="shared" si="45"/>
        <v>54.102123020446285</v>
      </c>
      <c r="EM62" s="22">
        <f t="shared" si="19"/>
        <v>477.29226026061059</v>
      </c>
      <c r="EN62" s="62">
        <f t="shared" si="20"/>
        <v>744.83689194374642</v>
      </c>
      <c r="EO62" s="62">
        <f ca="1">AVERAGE(OFFSET($EN$3,0,0,'Données projet'!$E$15+1,1))-AVERAGE(OFFSET($H$3,0,0,'Données projet'!$E$15+1,1))</f>
        <v>487.76433095707876</v>
      </c>
      <c r="EP62" s="62">
        <f t="shared" si="46"/>
        <v>276.24209151398361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7.6</v>
      </c>
      <c r="FE62" s="13">
        <f>IF('Données projet'!$A$218&gt;35,FE61+FD62-FM61,IF(A62&lt;'Données projet'!$A$218,$FB$205^A62,IF(A62='Données projet'!$A$218,'Données projet'!$B$218,FE61+FD62-FM61)))</f>
        <v>227.39999999999998</v>
      </c>
      <c r="FF62" s="18">
        <f>FE62*VLOOKUP('Données projet'!$B$16,Paramètres!$A$1:$I$89,3,0)*VLOOKUP('Données projet'!$B$16,Paramètres!$A$1:$I$89,5,0)</f>
        <v>244.77335999999997</v>
      </c>
      <c r="FG62" s="14">
        <f t="shared" si="47"/>
        <v>59.465362039582196</v>
      </c>
      <c r="FH62" s="22">
        <f t="shared" si="22"/>
        <v>529.88244088560566</v>
      </c>
      <c r="FI62" s="62">
        <f t="shared" si="23"/>
        <v>797.42707256874144</v>
      </c>
      <c r="FJ62" s="62">
        <f ca="1">AVERAGE(OFFSET($FI$3,0,0,'Données projet'!$E$16+1,1))-AVERAGE(OFFSET($H$3,0,0,'Données projet'!$E$16+1,1))</f>
        <v>534.33392288300456</v>
      </c>
      <c r="FK62" s="62">
        <f t="shared" si="48"/>
        <v>300.93109615735477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5.2564102564102599</v>
      </c>
      <c r="FZ62" s="13">
        <f>IF('Données projet'!$A$244&gt;35,FZ61+FY62-GH61,IF(A62&lt;'Données projet'!$A$244,$FW$205^A62,IF(A62='Données projet'!$A$244,'Données projet'!$B$244,FZ61+FY62-GH61)))</f>
        <v>222.30769230769215</v>
      </c>
      <c r="GA62" s="18">
        <f>FZ62*VLOOKUP('Données projet'!$B$17,Paramètres!$A$1:$I$89,3,0)*VLOOKUP('Données projet'!$B$17,Paramètres!$A$1:$I$89,5,0)</f>
        <v>149.12399999999991</v>
      </c>
      <c r="GB62" s="14">
        <f t="shared" si="49"/>
        <v>38.379443667029371</v>
      </c>
      <c r="GC62" s="22">
        <f t="shared" si="25"/>
        <v>326.56849772007598</v>
      </c>
      <c r="GD62" s="62">
        <f t="shared" si="26"/>
        <v>594.11312940321181</v>
      </c>
      <c r="GE62" s="62">
        <f ca="1">AVERAGE(OFFSET($GD$3,0,0,'Données projet'!$E$17+1,1))-AVERAGE(OFFSET($H$3,0,0,'Données projet'!$E$17+1,1))</f>
        <v>316.17772895535211</v>
      </c>
      <c r="GF62" s="62">
        <f t="shared" si="50"/>
        <v>251.94445589652992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62.966717731764305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3.95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14.483333333333334</v>
      </c>
      <c r="H63" s="70">
        <f t="shared" si="1"/>
        <v>198.73333333333335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273</v>
      </c>
      <c r="L63" s="13">
        <f>VLOOKUP(A63,'Données projet'!$A$35:$I$55,9,0)</f>
        <v>9.4</v>
      </c>
      <c r="M63" s="13">
        <f t="array" ref="M63">INDEX(L:L,MIN(IF(ISNUMBER(L63:L259),ROW(L63:L259),"")))</f>
        <v>9.4</v>
      </c>
      <c r="N63" s="14">
        <f>IF('Données projet'!$A$36&gt;35,N62+M63-V62,IF(A63&lt;'Données projet'!$A$36,$K$205^A63,IF(A63='Données projet'!$A$36,'Données projet'!$B$36,N62+M63-V62)))</f>
        <v>272.99999999999994</v>
      </c>
      <c r="O63" s="14">
        <f>N63*VLOOKUP('Données projet'!$B$9,Paramètres!$A$1:$I$89,3,0)*VLOOKUP('Données projet'!$B$9,Paramètres!$A$1:$I$89,5,0)</f>
        <v>229.9752</v>
      </c>
      <c r="P63" s="14">
        <f t="shared" si="33"/>
        <v>56.277319157664316</v>
      </c>
      <c r="Q63" s="22">
        <f t="shared" si="53"/>
        <v>498.55647086626527</v>
      </c>
      <c r="R63" s="62">
        <f t="shared" si="0"/>
        <v>766.54847886813241</v>
      </c>
      <c r="S63" s="62">
        <f ca="1">AVERAGE(OFFSET($R$3,0,0,'Données projet'!$E$9+1,1))-AVERAGE(OFFSET($H$3,0,0,'Données projet'!$E$9+1,1))</f>
        <v>508.93703669150443</v>
      </c>
      <c r="T63" s="62">
        <f t="shared" si="34"/>
        <v>277.04920840696707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235</v>
      </c>
      <c r="AG63" s="13">
        <f>VLOOKUP(A63,'Données projet'!$A$61:$I$81,9,0)</f>
        <v>7.6</v>
      </c>
      <c r="AH63" s="13">
        <f t="array" ref="AH63">INDEX(AG:AG,MIN(IF(ISNUMBER(AG63:AG259),ROW(AG63:AG259),"")))</f>
        <v>7.6</v>
      </c>
      <c r="AI63" s="14">
        <f>IF('Données projet'!$A$62&gt;35,AI62+AH63-AQ62,IF(A63&lt;'Données projet'!$A$62,$AF$205^A63,IF(A63='Données projet'!$A$62,'Données projet'!$B$62,AI62+AH63-AQ62)))</f>
        <v>234.99999999999997</v>
      </c>
      <c r="AJ63" s="14">
        <f>AI63*VLOOKUP('Données projet'!$B$10,Paramètres!$A$1:$I$89,3,0)*VLOOKUP('Données projet'!$B$10,Paramètres!$A$1:$I$89,5,0)</f>
        <v>212.62799999999999</v>
      </c>
      <c r="AK63" s="14">
        <f t="shared" si="35"/>
        <v>52.509453483719035</v>
      </c>
      <c r="AL63" s="22">
        <f t="shared" si="4"/>
        <v>461.78106481747727</v>
      </c>
      <c r="AM63" s="62">
        <f t="shared" si="5"/>
        <v>729.77307281934441</v>
      </c>
      <c r="AN63" s="62">
        <f ca="1">AVERAGE(OFFSET($AM$3,0,0,'Données projet'!$E$10+1,1))-AVERAGE(OFFSET($H$3,0,0,'Données projet'!$E$10+1,1))</f>
        <v>461.10503306101145</v>
      </c>
      <c r="AO63" s="62">
        <f t="shared" si="36"/>
        <v>262.10652147273288</v>
      </c>
      <c r="AP63" s="16">
        <f>IF(ISNA(VLOOKUP(A63,'Données projet'!$A$61:$I$81,3,0)),0,VLOOKUP(A63,'Données projet'!$A$61:$I$81,3,0))</f>
        <v>4</v>
      </c>
      <c r="AQ63" s="16">
        <f>IF(ISNA(VLOOKUP(A63,'Données projet'!$A$61:$I$81,4,0)),0,VLOOKUP(A63,'Données projet'!$A$61:$I$81,4,0))</f>
        <v>42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310</v>
      </c>
      <c r="BB63" s="13">
        <f>VLOOKUP(A63,'Données projet'!$A$87:$I$107,9,0)</f>
        <v>6.2</v>
      </c>
      <c r="BC63" s="13">
        <f t="array" ref="BC63">INDEX(BB:BB,MIN(IF(ISNUMBER(BB63:BB259),ROW(BB63:BB259),"")))</f>
        <v>6.2</v>
      </c>
      <c r="BD63" s="13">
        <f>IF('Données projet'!$A$88&gt;35,BD62+BC63-BL62,IF(A63&lt;'Données projet'!$A$88,$BA$205^A63,IF(A63='Données projet'!$A$88,'Données projet'!$B$88,BD62+BC63-BL62)))</f>
        <v>309.99999999999994</v>
      </c>
      <c r="BE63" s="14">
        <f>BD63*VLOOKUP('Données projet'!$B$11,Paramètres!$A$1:$I$89,3,0)*VLOOKUP('Données projet'!$B$11,Paramètres!$A$1:$I$89,5,0)</f>
        <v>246.63599999999997</v>
      </c>
      <c r="BF63" s="14">
        <f t="shared" si="37"/>
        <v>59.865023903294535</v>
      </c>
      <c r="BG63" s="22">
        <f t="shared" si="7"/>
        <v>533.82261663157112</v>
      </c>
      <c r="BH63" s="62">
        <f t="shared" si="8"/>
        <v>801.81462463343837</v>
      </c>
      <c r="BI63" s="62">
        <f ca="1">AVERAGE(OFFSET($BH$3,0,0,'Données projet'!$E$11+1,1))-AVERAGE(OFFSET($H$3,0,0,'Données projet'!$E$11+1,1))</f>
        <v>389.67854939311752</v>
      </c>
      <c r="BJ63" s="62">
        <f t="shared" si="38"/>
        <v>420.05189970516096</v>
      </c>
      <c r="BK63" s="16">
        <f>IF(ISNA(VLOOKUP(A63,'Données projet'!$A$87:$I$107,3,0)),0,VLOOKUP(A63,'Données projet'!$A$87:$I$107,3,0))</f>
        <v>5</v>
      </c>
      <c r="BL63" s="16">
        <f>IF(ISNA(VLOOKUP(A63,'Données projet'!$A$87:$I$107,4,0)),0,VLOOKUP(A63,'Données projet'!$A$87:$I$107,4,0))</f>
        <v>30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295.87</v>
      </c>
      <c r="BW63" s="13">
        <f>VLOOKUP(A63,'Données projet'!$A$113:$I$133,9,0)</f>
        <v>8.6137500000000031</v>
      </c>
      <c r="BX63" s="13">
        <f t="array" ref="BX63">INDEX(BW:BW,MIN(IF(ISNUMBER(BW63:BW259),ROW(BW63:BW259),"")))</f>
        <v>8.6137500000000031</v>
      </c>
      <c r="BY63" s="13">
        <f>IF('Données projet'!$A$114&gt;35,BY62+BX63-CG62,IF(A63&lt;'Données projet'!$A$114,$BV$205^A63,IF(A63='Données projet'!$A$114,'Données projet'!$B$114,BY62+BX63-CG62)))</f>
        <v>295.86999999999961</v>
      </c>
      <c r="BZ63" s="14">
        <f>BY63*VLOOKUP('Données projet'!$B$12,Paramètres!$A$1:$I$89,3,0)*VLOOKUP('Données projet'!$B$12,Paramètres!$A$1:$I$89,5,0)</f>
        <v>169.23763999999977</v>
      </c>
      <c r="CA63" s="14">
        <f t="shared" si="39"/>
        <v>42.919235667820509</v>
      </c>
      <c r="CB63" s="22">
        <f t="shared" si="10"/>
        <v>369.50655845478695</v>
      </c>
      <c r="CC63" s="62">
        <f t="shared" si="11"/>
        <v>637.49856645665409</v>
      </c>
      <c r="CD63" s="62">
        <f ca="1">AVERAGE(OFFSET($CC$3,0,0,'Données projet'!$E$12+1,1))-AVERAGE(OFFSET($H$3,0,0,'Données projet'!$E$12+1,1))</f>
        <v>312.16891625633968</v>
      </c>
      <c r="CE63" s="62">
        <f t="shared" si="40"/>
        <v>215.34305815516177</v>
      </c>
      <c r="CF63" s="16">
        <f>IF(ISNA(VLOOKUP(A63,'Données projet'!$A$113:$I$133,3,0)),0,VLOOKUP(A63,'Données projet'!$A$113:$I$133,3,0))</f>
        <v>6</v>
      </c>
      <c r="CG63" s="16">
        <f>IF(ISNA(VLOOKUP(A63,'Données projet'!$A$113:$I$133,4,0)),0,VLOOKUP(A63,'Données projet'!$A$113:$I$133,4,0))</f>
        <v>41.67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5.2286267230365118</v>
      </c>
      <c r="CM63" s="23">
        <f>EXP(-LN(2)/2)*CM62+(1-EXP(-LN(2)/2))/(LN(2)/2)*CG63*CJ63*VLOOKUP('Données projet'!$B$12,Paramètres!$A$1:$I$89,3,0)*0.475*44/12</f>
        <v>2.4864473103132793E-4</v>
      </c>
      <c r="CN63" s="24">
        <f t="shared" si="12"/>
        <v>5.228875367767543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255.12820512820511</v>
      </c>
      <c r="CR63" s="13">
        <f>VLOOKUP(A63,'Données projet'!$A$139:$I$159,9,0)</f>
        <v>5.8974358974358951</v>
      </c>
      <c r="CS63" s="13">
        <f t="array" ref="CS63">INDEX(CR:CR,MIN(IF(ISNUMBER(CR63:CR259),ROW(CR63:CR259),"")))</f>
        <v>5.8974358974358951</v>
      </c>
      <c r="CT63" s="13">
        <f>IF('Données projet'!$A$140&gt;35,CT62+CS63-DB62,IF(A63&lt;'Données projet'!$A$140,$CQ$205^A63,IF(A63='Données projet'!$A$140,'Données projet'!$B$140,CT62+CS63-DB62)))</f>
        <v>255.12820512820508</v>
      </c>
      <c r="CU63" s="18">
        <f>CT63*VLOOKUP('Données projet'!$B$13,Paramètres!$A$1:$I$89,3,0)*VLOOKUP('Données projet'!$B$13,Paramètres!$A$1:$I$89,5,0)</f>
        <v>171.14</v>
      </c>
      <c r="CV63" s="14">
        <f t="shared" si="41"/>
        <v>43.345246262563791</v>
      </c>
      <c r="CW63" s="22">
        <f t="shared" si="13"/>
        <v>373.56180390729855</v>
      </c>
      <c r="CX63" s="62">
        <f t="shared" si="14"/>
        <v>641.55381190916569</v>
      </c>
      <c r="CY63" s="62">
        <f ca="1">AVERAGE(OFFSET($CX$3,0,0,'Données projet'!$E$13+1,1))-AVERAGE(OFFSET($H$3,0,0,'Données projet'!$E$13+1,1))</f>
        <v>369.04754428478793</v>
      </c>
      <c r="CZ63" s="62">
        <f t="shared" si="42"/>
        <v>277.00523259351712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297</v>
      </c>
      <c r="DM63" s="13">
        <f>VLOOKUP(A63,'Données projet'!$A$165:$I$185,9,0)</f>
        <v>9.375</v>
      </c>
      <c r="DN63" s="13">
        <f t="array" ref="DN63">INDEX(DM:DM,MIN(IF(ISNUMBER(DM63:DM259),ROW(DM63:DM259),"")))</f>
        <v>9.375</v>
      </c>
      <c r="DO63" s="13">
        <f>IF('Données projet'!$A$166&gt;35,DO62+DN63-DW62,IF(A63&lt;'Données projet'!$A$166,$DL$205^A63,IF(A63='Données projet'!$A$166,'Données projet'!$B$166,DO62+DN63-DW62)))</f>
        <v>296.99999999999994</v>
      </c>
      <c r="DP63" s="18">
        <f>DO63*VLOOKUP('Données projet'!$B$14,Paramètres!$A$1:$I$89,3,0)*VLOOKUP('Données projet'!$B$14,Paramètres!$A$1:$I$89,5,0)</f>
        <v>231.65999999999997</v>
      </c>
      <c r="DQ63" s="14">
        <f t="shared" si="43"/>
        <v>56.641461975682766</v>
      </c>
      <c r="DR63" s="22">
        <f t="shared" si="16"/>
        <v>502.12504627431412</v>
      </c>
      <c r="DS63" s="62">
        <f t="shared" si="17"/>
        <v>770.11705427618131</v>
      </c>
      <c r="DT63" s="62">
        <f ca="1">AVERAGE(OFFSET($DS$3,0,0,'Données projet'!$E$14+1,1))-AVERAGE(OFFSET($H$3,0,0,'Données projet'!$E$14+1,1))</f>
        <v>308.39181291575227</v>
      </c>
      <c r="DU63" s="62">
        <f t="shared" si="44"/>
        <v>298.58225298824334</v>
      </c>
      <c r="DV63" s="16">
        <f>IF(ISNA(VLOOKUP(A63,'Données projet'!$A$165:$I$185,3,0)),0,VLOOKUP(A63,'Données projet'!$A$165:$I$185,3,0))</f>
        <v>6</v>
      </c>
      <c r="DW63" s="16">
        <f>IF(ISNA(VLOOKUP(A63,'Données projet'!$A$165:$I$185,4,0)),0,VLOOKUP(A63,'Données projet'!$A$165:$I$185,4,0))</f>
        <v>47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235</v>
      </c>
      <c r="EH63" s="13">
        <f>VLOOKUP(A63,'Données projet'!$A$191:$I$211,9,0)</f>
        <v>7.6</v>
      </c>
      <c r="EI63" s="13">
        <f t="array" ref="EI63">INDEX(EH:EH,MIN(IF(ISNUMBER(EH63:EH259),ROW(EH63:EH259),"")))</f>
        <v>7.6</v>
      </c>
      <c r="EJ63" s="13">
        <f>IF('Données projet'!$A$192&gt;35,EJ62+EI63-ER62,IF(A63&lt;'Données projet'!$A$192,$EG$205^A63,IF(A63='Données projet'!$A$192,'Données projet'!$B$192,EJ62+EI63-ER62)))</f>
        <v>234.99999999999997</v>
      </c>
      <c r="EK63" s="18">
        <f>EJ63*VLOOKUP('Données projet'!$B$15,Paramètres!$A$1:$I$89,3,0)*VLOOKUP('Données projet'!$B$15,Paramètres!$A$1:$I$89,5,0)</f>
        <v>227.292</v>
      </c>
      <c r="EL63" s="14">
        <f t="shared" si="45"/>
        <v>55.6967456174837</v>
      </c>
      <c r="EM63" s="22">
        <f t="shared" si="19"/>
        <v>492.87206528378402</v>
      </c>
      <c r="EN63" s="62">
        <f t="shared" si="20"/>
        <v>760.86407328565122</v>
      </c>
      <c r="EO63" s="62">
        <f ca="1">AVERAGE(OFFSET($EN$3,0,0,'Données projet'!$E$15+1,1))-AVERAGE(OFFSET($H$3,0,0,'Données projet'!$E$15+1,1))</f>
        <v>487.76433095707876</v>
      </c>
      <c r="EP63" s="62">
        <f t="shared" si="46"/>
        <v>276.24209151398361</v>
      </c>
      <c r="EQ63" s="16">
        <f>IF(ISNA(VLOOKUP(A63,'Données projet'!$A$191:$I$211,3,0)),0,VLOOKUP(A63,'Données projet'!$A$191:$I$211,3,0))</f>
        <v>4</v>
      </c>
      <c r="ER63" s="16">
        <f>IF(ISNA(VLOOKUP(A63,'Données projet'!$A$191:$I$211,4,0)),0,VLOOKUP(A63,'Données projet'!$A$191:$I$211,4,0))</f>
        <v>42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235</v>
      </c>
      <c r="FC63" s="13">
        <f>VLOOKUP(A63,'Données projet'!$A$217:$I$237,9,0)</f>
        <v>7.6</v>
      </c>
      <c r="FD63" s="13">
        <f t="array" ref="FD63">INDEX(FC:FC,MIN(IF(ISNUMBER(FC63:FC259),ROW(FC63:FC259),"")))</f>
        <v>7.6</v>
      </c>
      <c r="FE63" s="13">
        <f>IF('Données projet'!$A$218&gt;35,FE62+FD63-FM62,IF(A63&lt;'Données projet'!$A$218,$FB$205^A63,IF(A63='Données projet'!$A$218,'Données projet'!$B$218,FE62+FD63-FM62)))</f>
        <v>234.99999999999997</v>
      </c>
      <c r="FF63" s="18">
        <f>FE63*VLOOKUP('Données projet'!$B$16,Paramètres!$A$1:$I$89,3,0)*VLOOKUP('Données projet'!$B$16,Paramètres!$A$1:$I$89,5,0)</f>
        <v>252.95399999999998</v>
      </c>
      <c r="FG63" s="14">
        <f t="shared" si="47"/>
        <v>61.218062391350081</v>
      </c>
      <c r="FH63" s="22">
        <f t="shared" si="22"/>
        <v>547.18300866493462</v>
      </c>
      <c r="FI63" s="62">
        <f t="shared" si="23"/>
        <v>815.17501666680187</v>
      </c>
      <c r="FJ63" s="62">
        <f ca="1">AVERAGE(OFFSET($FI$3,0,0,'Données projet'!$E$16+1,1))-AVERAGE(OFFSET($H$3,0,0,'Données projet'!$E$16+1,1))</f>
        <v>534.33392288300456</v>
      </c>
      <c r="FK63" s="62">
        <f t="shared" si="48"/>
        <v>300.93109615735477</v>
      </c>
      <c r="FL63" s="16">
        <f>IF(ISNA(VLOOKUP(A63,'Données projet'!$A$217:$I$237,3,0)),0,VLOOKUP(A63,'Données projet'!$A$217:$I$237,3,0))</f>
        <v>4</v>
      </c>
      <c r="FM63" s="16">
        <f>IF(ISNA(VLOOKUP(A63,'Données projet'!$A$217:$I$237,4,0)),0,VLOOKUP(A63,'Données projet'!$A$217:$I$237,4,0))</f>
        <v>42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227.56410256410257</v>
      </c>
      <c r="FX63" s="13">
        <f>VLOOKUP(A63,'Données projet'!$A$243:$I$263,9,0)</f>
        <v>5.2564102564102599</v>
      </c>
      <c r="FY63" s="13">
        <f t="array" ref="FY63">INDEX(FX:FX,MIN(IF(ISNUMBER(FX63:FX259),ROW(FX63:FX259),"")))</f>
        <v>5.2564102564102599</v>
      </c>
      <c r="FZ63" s="13">
        <f>IF('Données projet'!$A$244&gt;35,FZ62+FY63-GH62,IF(A63&lt;'Données projet'!$A$244,$FW$205^A63,IF(A63='Données projet'!$A$244,'Données projet'!$B$244,FZ62+FY63-GH62)))</f>
        <v>227.5641025641024</v>
      </c>
      <c r="GA63" s="18">
        <f>FZ63*VLOOKUP('Données projet'!$B$17,Paramètres!$A$1:$I$89,3,0)*VLOOKUP('Données projet'!$B$17,Paramètres!$A$1:$I$89,5,0)</f>
        <v>152.64999999999989</v>
      </c>
      <c r="GB63" s="14">
        <f t="shared" si="49"/>
        <v>39.180192458581644</v>
      </c>
      <c r="GC63" s="22">
        <f t="shared" si="25"/>
        <v>334.10425186536281</v>
      </c>
      <c r="GD63" s="62">
        <f t="shared" si="26"/>
        <v>602.09625986722995</v>
      </c>
      <c r="GE63" s="62">
        <f ca="1">AVERAGE(OFFSET($GD$3,0,0,'Données projet'!$E$17+1,1))-AVERAGE(OFFSET($H$3,0,0,'Données projet'!$E$17+1,1))</f>
        <v>316.17772895535211</v>
      </c>
      <c r="GF63" s="62">
        <f t="shared" si="50"/>
        <v>251.94445589652992</v>
      </c>
      <c r="GG63" s="16">
        <f>IF(ISNA(VLOOKUP(A63,'Données projet'!$A$243:$I$263,3,0)),0,VLOOKUP(A63,'Données projet'!$A$243:$I$263,3,0))</f>
        <v>5</v>
      </c>
      <c r="GH63" s="16">
        <f>IF(ISNA(VLOOKUP(A63,'Données projet'!$A$243:$I$263,4,0)),0,VLOOKUP(A63,'Données projet'!$A$243:$I$263,4,0))</f>
        <v>28.846153846153847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63.08872945505469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3.95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14.483333333333334</v>
      </c>
      <c r="H64" s="70">
        <f t="shared" si="1"/>
        <v>198.73333333333335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8.8000000000000007</v>
      </c>
      <c r="N64" s="14">
        <f>IF('Données projet'!$A$36&gt;35,N63+M64-V63,IF(A64&lt;'Données projet'!$A$36,$K$205^A64,IF(A64='Données projet'!$A$36,'Données projet'!$B$36,N63+M64-V63)))</f>
        <v>281.79999999999995</v>
      </c>
      <c r="O64" s="14">
        <f>N64*VLOOKUP('Données projet'!$B$9,Paramètres!$A$1:$I$89,3,0)*VLOOKUP('Données projet'!$B$9,Paramètres!$A$1:$I$89,5,0)</f>
        <v>237.38831999999999</v>
      </c>
      <c r="P64" s="14">
        <f t="shared" si="33"/>
        <v>57.877257478787087</v>
      </c>
      <c r="Q64" s="22">
        <f t="shared" si="53"/>
        <v>514.25421410888737</v>
      </c>
      <c r="R64" s="62">
        <f t="shared" si="0"/>
        <v>782.68583745053957</v>
      </c>
      <c r="S64" s="62">
        <f ca="1">AVERAGE(OFFSET($R$3,0,0,'Données projet'!$E$9+1,1))-AVERAGE(OFFSET($H$3,0,0,'Données projet'!$E$9+1,1))</f>
        <v>508.93703669150443</v>
      </c>
      <c r="T64" s="62">
        <f t="shared" si="34"/>
        <v>277.04920840696707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7.2</v>
      </c>
      <c r="AI64" s="14">
        <f>IF('Données projet'!$A$62&gt;35,AI63+AH64-AQ63,IF(A64&lt;'Données projet'!$A$62,$AF$205^A64,IF(A64='Données projet'!$A$62,'Données projet'!$B$62,AI63+AH64-AQ63)))</f>
        <v>200.19999999999996</v>
      </c>
      <c r="AJ64" s="14">
        <f>AI64*VLOOKUP('Données projet'!$B$10,Paramètres!$A$1:$I$89,3,0)*VLOOKUP('Données projet'!$B$10,Paramètres!$A$1:$I$89,5,0)</f>
        <v>181.14095999999995</v>
      </c>
      <c r="AK64" s="14">
        <f t="shared" si="35"/>
        <v>45.575935320610945</v>
      </c>
      <c r="AL64" s="22">
        <f t="shared" si="4"/>
        <v>394.86525935006392</v>
      </c>
      <c r="AM64" s="62">
        <f t="shared" si="5"/>
        <v>663.29688269171606</v>
      </c>
      <c r="AN64" s="62">
        <f ca="1">AVERAGE(OFFSET($AM$3,0,0,'Données projet'!$E$10+1,1))-AVERAGE(OFFSET($H$3,0,0,'Données projet'!$E$10+1,1))</f>
        <v>461.10503306101145</v>
      </c>
      <c r="AO64" s="62">
        <f t="shared" si="36"/>
        <v>262.10652147273288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5.2</v>
      </c>
      <c r="BD64" s="13">
        <f>IF('Données projet'!$A$88&gt;35,BD63+BC64-BL63,IF(A64&lt;'Données projet'!$A$88,$BA$205^A64,IF(A64='Données projet'!$A$88,'Données projet'!$B$88,BD63+BC64-BL63)))</f>
        <v>285.19999999999993</v>
      </c>
      <c r="BE64" s="14">
        <f>BD64*VLOOKUP('Données projet'!$B$11,Paramètres!$A$1:$I$89,3,0)*VLOOKUP('Données projet'!$B$11,Paramètres!$A$1:$I$89,5,0)</f>
        <v>226.90511999999995</v>
      </c>
      <c r="BF64" s="14">
        <f t="shared" si="37"/>
        <v>55.612969408444364</v>
      </c>
      <c r="BG64" s="22">
        <f t="shared" si="7"/>
        <v>492.05233905304044</v>
      </c>
      <c r="BH64" s="62">
        <f t="shared" si="8"/>
        <v>760.48396239469253</v>
      </c>
      <c r="BI64" s="62">
        <f ca="1">AVERAGE(OFFSET($BH$3,0,0,'Données projet'!$E$11+1,1))-AVERAGE(OFFSET($H$3,0,0,'Données projet'!$E$11+1,1))</f>
        <v>389.67854939311752</v>
      </c>
      <c r="BJ64" s="62">
        <f t="shared" si="38"/>
        <v>420.05189970516096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7.6040000000000019</v>
      </c>
      <c r="BY64" s="13">
        <f>IF('Données projet'!$A$114&gt;35,BY63+BX64-CG63,IF(A64&lt;'Données projet'!$A$114,$BV$205^A64,IF(A64='Données projet'!$A$114,'Données projet'!$B$114,BY63+BX64-CG63)))</f>
        <v>261.80399999999958</v>
      </c>
      <c r="BZ64" s="14">
        <f>BY64*VLOOKUP('Données projet'!$B$12,Paramètres!$A$1:$I$89,3,0)*VLOOKUP('Données projet'!$B$12,Paramètres!$A$1:$I$89,5,0)</f>
        <v>149.75188799999975</v>
      </c>
      <c r="CA64" s="14">
        <f t="shared" si="39"/>
        <v>38.522195847216238</v>
      </c>
      <c r="CB64" s="22">
        <f t="shared" si="10"/>
        <v>327.91069603390116</v>
      </c>
      <c r="CC64" s="62">
        <f t="shared" si="11"/>
        <v>596.3423193755533</v>
      </c>
      <c r="CD64" s="62">
        <f ca="1">AVERAGE(OFFSET($CC$3,0,0,'Données projet'!$E$12+1,1))-AVERAGE(OFFSET($H$3,0,0,'Données projet'!$E$12+1,1))</f>
        <v>312.16891625633968</v>
      </c>
      <c r="CE64" s="62">
        <f t="shared" si="40"/>
        <v>215.34305815516177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5.0856496503335489</v>
      </c>
      <c r="CM64" s="23">
        <f>EXP(-LN(2)/2)*CM63+(1-EXP(-LN(2)/2))/(LN(2)/2)*CG64*CJ64*VLOOKUP('Données projet'!$B$12,Paramètres!$A$1:$I$89,3,0)*0.475*44/12</f>
        <v>1.7581837541855717E-4</v>
      </c>
      <c r="CN64" s="24">
        <f t="shared" si="12"/>
        <v>5.0858254687089675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5.3846153846153868</v>
      </c>
      <c r="CT64" s="13">
        <f>IF('Données projet'!$A$140&gt;35,CT63+CS64-DB63,IF(A64&lt;'Données projet'!$A$140,$CQ$205^A64,IF(A64='Données projet'!$A$140,'Données projet'!$B$140,CT63+CS64-DB63)))</f>
        <v>260.51282051282044</v>
      </c>
      <c r="CU64" s="18">
        <f>CT64*VLOOKUP('Données projet'!$B$13,Paramètres!$A$1:$I$89,3,0)*VLOOKUP('Données projet'!$B$13,Paramètres!$A$1:$I$89,5,0)</f>
        <v>174.75199999999995</v>
      </c>
      <c r="CV64" s="14">
        <f t="shared" si="41"/>
        <v>44.15259980412263</v>
      </c>
      <c r="CW64" s="22">
        <f t="shared" si="13"/>
        <v>381.25884465884684</v>
      </c>
      <c r="CX64" s="62">
        <f t="shared" si="14"/>
        <v>649.69046800049898</v>
      </c>
      <c r="CY64" s="62">
        <f ca="1">AVERAGE(OFFSET($CX$3,0,0,'Données projet'!$E$13+1,1))-AVERAGE(OFFSET($H$3,0,0,'Données projet'!$E$13+1,1))</f>
        <v>369.04754428478793</v>
      </c>
      <c r="CZ64" s="62">
        <f t="shared" si="42"/>
        <v>277.00523259351712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8.6666666666666661</v>
      </c>
      <c r="DO64" s="13">
        <f>IF('Données projet'!$A$166&gt;35,DO63+DN64-DW63,IF(A64&lt;'Données projet'!$A$166,$DL$205^A64,IF(A64='Données projet'!$A$166,'Données projet'!$B$166,DO63+DN64-DW63)))</f>
        <v>258.66666666666663</v>
      </c>
      <c r="DP64" s="18">
        <f>DO64*VLOOKUP('Données projet'!$B$14,Paramètres!$A$1:$I$89,3,0)*VLOOKUP('Données projet'!$B$14,Paramètres!$A$1:$I$89,5,0)</f>
        <v>201.76</v>
      </c>
      <c r="DQ64" s="14">
        <f t="shared" si="43"/>
        <v>50.130765000424212</v>
      </c>
      <c r="DR64" s="22">
        <f t="shared" si="16"/>
        <v>438.70974904240546</v>
      </c>
      <c r="DS64" s="62">
        <f t="shared" si="17"/>
        <v>707.1413723840576</v>
      </c>
      <c r="DT64" s="62">
        <f ca="1">AVERAGE(OFFSET($DS$3,0,0,'Données projet'!$E$14+1,1))-AVERAGE(OFFSET($H$3,0,0,'Données projet'!$E$14+1,1))</f>
        <v>308.39181291575227</v>
      </c>
      <c r="DU64" s="62">
        <f t="shared" si="44"/>
        <v>298.58225298824334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7.2</v>
      </c>
      <c r="EJ64" s="13">
        <f>IF('Données projet'!$A$192&gt;35,EJ63+EI64-ER63,IF(A64&lt;'Données projet'!$A$192,$EG$205^A64,IF(A64='Données projet'!$A$192,'Données projet'!$B$192,EJ63+EI64-ER63)))</f>
        <v>200.19999999999996</v>
      </c>
      <c r="EK64" s="18">
        <f>EJ64*VLOOKUP('Données projet'!$B$15,Paramètres!$A$1:$I$89,3,0)*VLOOKUP('Données projet'!$B$15,Paramètres!$A$1:$I$89,5,0)</f>
        <v>193.63343999999998</v>
      </c>
      <c r="EL64" s="14">
        <f t="shared" si="45"/>
        <v>48.342367086681229</v>
      </c>
      <c r="EM64" s="22">
        <f t="shared" si="19"/>
        <v>421.44119734263637</v>
      </c>
      <c r="EN64" s="62">
        <f t="shared" si="20"/>
        <v>689.87282068428851</v>
      </c>
      <c r="EO64" s="62">
        <f ca="1">AVERAGE(OFFSET($EN$3,0,0,'Données projet'!$E$15+1,1))-AVERAGE(OFFSET($H$3,0,0,'Données projet'!$E$15+1,1))</f>
        <v>487.76433095707876</v>
      </c>
      <c r="EP64" s="62">
        <f t="shared" si="46"/>
        <v>276.24209151398361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7.2</v>
      </c>
      <c r="FE64" s="13">
        <f>IF('Données projet'!$A$218&gt;35,FE63+FD64-FM63,IF(A64&lt;'Données projet'!$A$218,$FB$205^A64,IF(A64='Données projet'!$A$218,'Données projet'!$B$218,FE63+FD64-FM63)))</f>
        <v>200.19999999999996</v>
      </c>
      <c r="FF64" s="18">
        <f>FE64*VLOOKUP('Données projet'!$B$16,Paramètres!$A$1:$I$89,3,0)*VLOOKUP('Données projet'!$B$16,Paramètres!$A$1:$I$89,5,0)</f>
        <v>215.49527999999992</v>
      </c>
      <c r="FG64" s="14">
        <f t="shared" si="47"/>
        <v>53.134631326269272</v>
      </c>
      <c r="FH64" s="22">
        <f t="shared" si="22"/>
        <v>467.86376222658549</v>
      </c>
      <c r="FI64" s="62">
        <f t="shared" si="23"/>
        <v>736.29538556823763</v>
      </c>
      <c r="FJ64" s="62">
        <f ca="1">AVERAGE(OFFSET($FI$3,0,0,'Données projet'!$E$16+1,1))-AVERAGE(OFFSET($H$3,0,0,'Données projet'!$E$16+1,1))</f>
        <v>534.33392288300456</v>
      </c>
      <c r="FK64" s="62">
        <f t="shared" si="48"/>
        <v>300.93109615735477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4.7435897435897401</v>
      </c>
      <c r="FZ64" s="13">
        <f>IF('Données projet'!$A$244&gt;35,FZ63+FY64-GH63,IF(A64&lt;'Données projet'!$A$244,$FW$205^A64,IF(A64='Données projet'!$A$244,'Données projet'!$B$244,FZ63+FY64-GH63)))</f>
        <v>203.46153846153831</v>
      </c>
      <c r="GA64" s="18">
        <f>FZ64*VLOOKUP('Données projet'!$B$17,Paramètres!$A$1:$I$89,3,0)*VLOOKUP('Données projet'!$B$17,Paramètres!$A$1:$I$89,5,0)</f>
        <v>136.48199999999991</v>
      </c>
      <c r="GB64" s="14">
        <f t="shared" si="49"/>
        <v>35.489891275121749</v>
      </c>
      <c r="GC64" s="22">
        <f t="shared" si="25"/>
        <v>299.51771063750357</v>
      </c>
      <c r="GD64" s="62">
        <f t="shared" si="26"/>
        <v>567.94933397915565</v>
      </c>
      <c r="GE64" s="62">
        <f ca="1">AVERAGE(OFFSET($GD$3,0,0,'Données projet'!$E$17+1,1))-AVERAGE(OFFSET($H$3,0,0,'Données projet'!$E$17+1,1))</f>
        <v>316.17772895535211</v>
      </c>
      <c r="GF64" s="62">
        <f t="shared" si="50"/>
        <v>251.94445589652992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63.208624547723318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3.95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14.483333333333334</v>
      </c>
      <c r="H65" s="70">
        <f t="shared" si="1"/>
        <v>198.73333333333335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8.8000000000000007</v>
      </c>
      <c r="N65" s="14">
        <f>IF('Données projet'!$A$36&gt;35,N64+M65-V64,IF(A65&lt;'Données projet'!$A$36,$K$205^A65,IF(A65='Données projet'!$A$36,'Données projet'!$B$36,N64+M65-V64)))</f>
        <v>290.59999999999997</v>
      </c>
      <c r="O65" s="14">
        <f>N65*VLOOKUP('Données projet'!$B$9,Paramètres!$A$1:$I$89,3,0)*VLOOKUP('Données projet'!$B$9,Paramètres!$A$1:$I$89,5,0)</f>
        <v>244.80143999999999</v>
      </c>
      <c r="P65" s="14">
        <f t="shared" si="33"/>
        <v>59.471389714596519</v>
      </c>
      <c r="Q65" s="22">
        <f t="shared" si="53"/>
        <v>529.94184508625551</v>
      </c>
      <c r="R65" s="62">
        <f t="shared" si="0"/>
        <v>798.80545742438017</v>
      </c>
      <c r="S65" s="62">
        <f ca="1">AVERAGE(OFFSET($R$3,0,0,'Données projet'!$E$9+1,1))-AVERAGE(OFFSET($H$3,0,0,'Données projet'!$E$9+1,1))</f>
        <v>508.93703669150443</v>
      </c>
      <c r="T65" s="62">
        <f t="shared" si="34"/>
        <v>277.04920840696707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7.2</v>
      </c>
      <c r="AI65" s="14">
        <f>IF('Données projet'!$A$62&gt;35,AI64+AH65-AQ64,IF(A65&lt;'Données projet'!$A$62,$AF$205^A65,IF(A65='Données projet'!$A$62,'Données projet'!$B$62,AI64+AH65-AQ64)))</f>
        <v>207.39999999999995</v>
      </c>
      <c r="AJ65" s="14">
        <f>AI65*VLOOKUP('Données projet'!$B$10,Paramètres!$A$1:$I$89,3,0)*VLOOKUP('Données projet'!$B$10,Paramètres!$A$1:$I$89,5,0)</f>
        <v>187.65551999999994</v>
      </c>
      <c r="AK65" s="14">
        <f t="shared" si="35"/>
        <v>47.021247649900147</v>
      </c>
      <c r="AL65" s="22">
        <f t="shared" si="4"/>
        <v>408.72870365690932</v>
      </c>
      <c r="AM65" s="62">
        <f t="shared" si="5"/>
        <v>677.59231599503391</v>
      </c>
      <c r="AN65" s="62">
        <f ca="1">AVERAGE(OFFSET($AM$3,0,0,'Données projet'!$E$10+1,1))-AVERAGE(OFFSET($H$3,0,0,'Données projet'!$E$10+1,1))</f>
        <v>461.10503306101145</v>
      </c>
      <c r="AO65" s="62">
        <f t="shared" si="36"/>
        <v>262.10652147273288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5.2</v>
      </c>
      <c r="BD65" s="13">
        <f>IF('Données projet'!$A$88&gt;35,BD64+BC65-BL64,IF(A65&lt;'Données projet'!$A$88,$BA$205^A65,IF(A65='Données projet'!$A$88,'Données projet'!$B$88,BD64+BC65-BL64)))</f>
        <v>290.39999999999992</v>
      </c>
      <c r="BE65" s="14">
        <f>BD65*VLOOKUP('Données projet'!$B$11,Paramètres!$A$1:$I$89,3,0)*VLOOKUP('Données projet'!$B$11,Paramètres!$A$1:$I$89,5,0)</f>
        <v>231.04223999999994</v>
      </c>
      <c r="BF65" s="14">
        <f t="shared" si="37"/>
        <v>56.507978852931409</v>
      </c>
      <c r="BG65" s="22">
        <f t="shared" si="7"/>
        <v>500.81663116885539</v>
      </c>
      <c r="BH65" s="62">
        <f t="shared" si="8"/>
        <v>769.68024350697999</v>
      </c>
      <c r="BI65" s="62">
        <f ca="1">AVERAGE(OFFSET($BH$3,0,0,'Données projet'!$E$11+1,1))-AVERAGE(OFFSET($H$3,0,0,'Données projet'!$E$11+1,1))</f>
        <v>389.67854939311752</v>
      </c>
      <c r="BJ65" s="62">
        <f t="shared" si="38"/>
        <v>420.05189970516096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7.6040000000000019</v>
      </c>
      <c r="BY65" s="13">
        <f>IF('Données projet'!$A$114&gt;35,BY64+BX65-CG64,IF(A65&lt;'Données projet'!$A$114,$BV$205^A65,IF(A65='Données projet'!$A$114,'Données projet'!$B$114,BY64+BX65-CG64)))</f>
        <v>269.40799999999956</v>
      </c>
      <c r="BZ65" s="14">
        <f>BY65*VLOOKUP('Données projet'!$B$12,Paramètres!$A$1:$I$89,3,0)*VLOOKUP('Données projet'!$B$12,Paramètres!$A$1:$I$89,5,0)</f>
        <v>154.10137599999976</v>
      </c>
      <c r="CA65" s="14">
        <f t="shared" si="39"/>
        <v>39.509169704527721</v>
      </c>
      <c r="CB65" s="22">
        <f t="shared" si="10"/>
        <v>337.20503376871869</v>
      </c>
      <c r="CC65" s="62">
        <f t="shared" si="11"/>
        <v>606.06864610684329</v>
      </c>
      <c r="CD65" s="62">
        <f ca="1">AVERAGE(OFFSET($CC$3,0,0,'Données projet'!$E$12+1,1))-AVERAGE(OFFSET($H$3,0,0,'Données projet'!$E$12+1,1))</f>
        <v>312.16891625633968</v>
      </c>
      <c r="CE65" s="62">
        <f t="shared" si="40"/>
        <v>215.34305815516177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4.9465822932024865</v>
      </c>
      <c r="CM65" s="23">
        <f>EXP(-LN(2)/2)*CM64+(1-EXP(-LN(2)/2))/(LN(2)/2)*CG65*CJ65*VLOOKUP('Données projet'!$B$12,Paramètres!$A$1:$I$89,3,0)*0.475*44/12</f>
        <v>1.2432236551566397E-4</v>
      </c>
      <c r="CN65" s="24">
        <f t="shared" si="12"/>
        <v>4.9467066155680026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5.3846153846153868</v>
      </c>
      <c r="CT65" s="13">
        <f>IF('Données projet'!$A$140&gt;35,CT64+CS65-DB64,IF(A65&lt;'Données projet'!$A$140,$CQ$205^A65,IF(A65='Données projet'!$A$140,'Données projet'!$B$140,CT64+CS65-DB64)))</f>
        <v>265.8974358974358</v>
      </c>
      <c r="CU65" s="18">
        <f>CT65*VLOOKUP('Données projet'!$B$13,Paramètres!$A$1:$I$89,3,0)*VLOOKUP('Données projet'!$B$13,Paramètres!$A$1:$I$89,5,0)</f>
        <v>178.36399999999995</v>
      </c>
      <c r="CV65" s="14">
        <f t="shared" si="41"/>
        <v>44.958013118077915</v>
      </c>
      <c r="CW65" s="22">
        <f t="shared" si="13"/>
        <v>388.95250618065228</v>
      </c>
      <c r="CX65" s="62">
        <f t="shared" si="14"/>
        <v>657.81611851877688</v>
      </c>
      <c r="CY65" s="62">
        <f ca="1">AVERAGE(OFFSET($CX$3,0,0,'Données projet'!$E$13+1,1))-AVERAGE(OFFSET($H$3,0,0,'Données projet'!$E$13+1,1))</f>
        <v>369.04754428478793</v>
      </c>
      <c r="CZ65" s="62">
        <f t="shared" si="42"/>
        <v>277.00523259351712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8.6666666666666661</v>
      </c>
      <c r="DO65" s="13">
        <f>IF('Données projet'!$A$166&gt;35,DO64+DN65-DW64,IF(A65&lt;'Données projet'!$A$166,$DL$205^A65,IF(A65='Données projet'!$A$166,'Données projet'!$B$166,DO64+DN65-DW64)))</f>
        <v>267.33333333333331</v>
      </c>
      <c r="DP65" s="18">
        <f>DO65*VLOOKUP('Données projet'!$B$14,Paramètres!$A$1:$I$89,3,0)*VLOOKUP('Données projet'!$B$14,Paramètres!$A$1:$I$89,5,0)</f>
        <v>208.51999999999998</v>
      </c>
      <c r="DQ65" s="14">
        <f t="shared" si="43"/>
        <v>51.612035456318509</v>
      </c>
      <c r="DR65" s="22">
        <f t="shared" si="16"/>
        <v>453.06329508642131</v>
      </c>
      <c r="DS65" s="62">
        <f t="shared" si="17"/>
        <v>721.9269074245459</v>
      </c>
      <c r="DT65" s="62">
        <f ca="1">AVERAGE(OFFSET($DS$3,0,0,'Données projet'!$E$14+1,1))-AVERAGE(OFFSET($H$3,0,0,'Données projet'!$E$14+1,1))</f>
        <v>308.39181291575227</v>
      </c>
      <c r="DU65" s="62">
        <f t="shared" si="44"/>
        <v>298.58225298824334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7.2</v>
      </c>
      <c r="EJ65" s="13">
        <f>IF('Données projet'!$A$192&gt;35,EJ64+EI65-ER64,IF(A65&lt;'Données projet'!$A$192,$EG$205^A65,IF(A65='Données projet'!$A$192,'Données projet'!$B$192,EJ64+EI65-ER64)))</f>
        <v>207.39999999999995</v>
      </c>
      <c r="EK65" s="18">
        <f>EJ65*VLOOKUP('Données projet'!$B$15,Paramètres!$A$1:$I$89,3,0)*VLOOKUP('Données projet'!$B$15,Paramètres!$A$1:$I$89,5,0)</f>
        <v>200.59727999999996</v>
      </c>
      <c r="EL65" s="14">
        <f t="shared" si="45"/>
        <v>49.875409002022977</v>
      </c>
      <c r="EM65" s="22">
        <f t="shared" si="19"/>
        <v>436.23993334518991</v>
      </c>
      <c r="EN65" s="62">
        <f t="shared" si="20"/>
        <v>705.10354568331445</v>
      </c>
      <c r="EO65" s="62">
        <f ca="1">AVERAGE(OFFSET($EN$3,0,0,'Données projet'!$E$15+1,1))-AVERAGE(OFFSET($H$3,0,0,'Données projet'!$E$15+1,1))</f>
        <v>487.76433095707876</v>
      </c>
      <c r="EP65" s="62">
        <f t="shared" si="46"/>
        <v>276.24209151398361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7.2</v>
      </c>
      <c r="FE65" s="13">
        <f>IF('Données projet'!$A$218&gt;35,FE64+FD65-FM64,IF(A65&lt;'Données projet'!$A$218,$FB$205^A65,IF(A65='Données projet'!$A$218,'Données projet'!$B$218,FE64+FD65-FM64)))</f>
        <v>207.39999999999995</v>
      </c>
      <c r="FF65" s="18">
        <f>FE65*VLOOKUP('Données projet'!$B$16,Paramètres!$A$1:$I$89,3,0)*VLOOKUP('Données projet'!$B$16,Paramètres!$A$1:$I$89,5,0)</f>
        <v>223.24535999999995</v>
      </c>
      <c r="FG65" s="14">
        <f t="shared" si="47"/>
        <v>54.819646394591118</v>
      </c>
      <c r="FH65" s="22">
        <f t="shared" si="22"/>
        <v>484.29655280391279</v>
      </c>
      <c r="FI65" s="62">
        <f t="shared" si="23"/>
        <v>753.16016514203739</v>
      </c>
      <c r="FJ65" s="62">
        <f ca="1">AVERAGE(OFFSET($FI$3,0,0,'Données projet'!$E$16+1,1))-AVERAGE(OFFSET($H$3,0,0,'Données projet'!$E$16+1,1))</f>
        <v>534.33392288300456</v>
      </c>
      <c r="FK65" s="62">
        <f t="shared" si="48"/>
        <v>300.93109615735477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4.7435897435897401</v>
      </c>
      <c r="FZ65" s="13">
        <f>IF('Données projet'!$A$244&gt;35,FZ64+FY65-GH64,IF(A65&lt;'Données projet'!$A$244,$FW$205^A65,IF(A65='Données projet'!$A$244,'Données projet'!$B$244,FZ64+FY65-GH64)))</f>
        <v>208.20512820512806</v>
      </c>
      <c r="GA65" s="18">
        <f>FZ65*VLOOKUP('Données projet'!$B$17,Paramètres!$A$1:$I$89,3,0)*VLOOKUP('Données projet'!$B$17,Paramètres!$A$1:$I$89,5,0)</f>
        <v>139.6639999999999</v>
      </c>
      <c r="GB65" s="14">
        <f t="shared" si="49"/>
        <v>36.220021852088244</v>
      </c>
      <c r="GC65" s="22">
        <f t="shared" si="25"/>
        <v>306.33133805905351</v>
      </c>
      <c r="GD65" s="62">
        <f t="shared" si="26"/>
        <v>575.1949503971781</v>
      </c>
      <c r="GE65" s="62">
        <f ca="1">AVERAGE(OFFSET($GD$3,0,0,'Données projet'!$E$17+1,1))-AVERAGE(OFFSET($H$3,0,0,'Données projet'!$E$17+1,1))</f>
        <v>316.17772895535211</v>
      </c>
      <c r="GF65" s="62">
        <f t="shared" si="50"/>
        <v>251.94445589652992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63.32643972857943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3.95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14.483333333333334</v>
      </c>
      <c r="H66" s="70">
        <f t="shared" si="1"/>
        <v>198.73333333333335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8.8000000000000007</v>
      </c>
      <c r="N66" s="14">
        <f>IF('Données projet'!$A$36&gt;35,N65+M66-V65,IF(A66&lt;'Données projet'!$A$36,$K$205^A66,IF(A66='Données projet'!$A$36,'Données projet'!$B$36,N65+M66-V65)))</f>
        <v>299.39999999999998</v>
      </c>
      <c r="O66" s="14">
        <f>N66*VLOOKUP('Données projet'!$B$9,Paramètres!$A$1:$I$89,3,0)*VLOOKUP('Données projet'!$B$9,Paramètres!$A$1:$I$89,5,0)</f>
        <v>252.21455999999998</v>
      </c>
      <c r="P66" s="14">
        <f t="shared" si="33"/>
        <v>61.059911866756252</v>
      </c>
      <c r="Q66" s="22">
        <f t="shared" si="53"/>
        <v>545.61970516793383</v>
      </c>
      <c r="R66" s="62">
        <f t="shared" si="0"/>
        <v>814.90781245922471</v>
      </c>
      <c r="S66" s="62">
        <f ca="1">AVERAGE(OFFSET($R$3,0,0,'Données projet'!$E$9+1,1))-AVERAGE(OFFSET($H$3,0,0,'Données projet'!$E$9+1,1))</f>
        <v>508.93703669150443</v>
      </c>
      <c r="T66" s="62">
        <f t="shared" si="34"/>
        <v>277.04920840696707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7.2</v>
      </c>
      <c r="AI66" s="14">
        <f>IF('Données projet'!$A$62&gt;35,AI65+AH66-AQ65,IF(A66&lt;'Données projet'!$A$62,$AF$205^A66,IF(A66='Données projet'!$A$62,'Données projet'!$B$62,AI65+AH66-AQ65)))</f>
        <v>214.59999999999994</v>
      </c>
      <c r="AJ66" s="14">
        <f>AI66*VLOOKUP('Données projet'!$B$10,Paramètres!$A$1:$I$89,3,0)*VLOOKUP('Données projet'!$B$10,Paramètres!$A$1:$I$89,5,0)</f>
        <v>194.17007999999996</v>
      </c>
      <c r="AK66" s="14">
        <f t="shared" si="35"/>
        <v>48.460730182351035</v>
      </c>
      <c r="AL66" s="22">
        <f t="shared" si="4"/>
        <v>422.5819944009279</v>
      </c>
      <c r="AM66" s="62">
        <f t="shared" si="5"/>
        <v>691.87010169221867</v>
      </c>
      <c r="AN66" s="62">
        <f ca="1">AVERAGE(OFFSET($AM$3,0,0,'Données projet'!$E$10+1,1))-AVERAGE(OFFSET($H$3,0,0,'Données projet'!$E$10+1,1))</f>
        <v>461.10503306101145</v>
      </c>
      <c r="AO66" s="62">
        <f t="shared" si="36"/>
        <v>262.10652147273288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5.2</v>
      </c>
      <c r="BD66" s="13">
        <f>IF('Données projet'!$A$88&gt;35,BD65+BC66-BL65,IF(A66&lt;'Données projet'!$A$88,$BA$205^A66,IF(A66='Données projet'!$A$88,'Données projet'!$B$88,BD65+BC66-BL65)))</f>
        <v>295.59999999999991</v>
      </c>
      <c r="BE66" s="14">
        <f>BD66*VLOOKUP('Données projet'!$B$11,Paramètres!$A$1:$I$89,3,0)*VLOOKUP('Données projet'!$B$11,Paramètres!$A$1:$I$89,5,0)</f>
        <v>235.17935999999992</v>
      </c>
      <c r="BF66" s="14">
        <f t="shared" si="37"/>
        <v>57.401124668909425</v>
      </c>
      <c r="BG66" s="22">
        <f t="shared" si="7"/>
        <v>509.57767746501708</v>
      </c>
      <c r="BH66" s="62">
        <f t="shared" si="8"/>
        <v>778.8657847563079</v>
      </c>
      <c r="BI66" s="62">
        <f ca="1">AVERAGE(OFFSET($BH$3,0,0,'Données projet'!$E$11+1,1))-AVERAGE(OFFSET($H$3,0,0,'Données projet'!$E$11+1,1))</f>
        <v>389.67854939311752</v>
      </c>
      <c r="BJ66" s="62">
        <f t="shared" si="38"/>
        <v>420.05189970516096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7.6040000000000019</v>
      </c>
      <c r="BY66" s="13">
        <f>IF('Données projet'!$A$114&gt;35,BY65+BX66-CG65,IF(A66&lt;'Données projet'!$A$114,$BV$205^A66,IF(A66='Données projet'!$A$114,'Données projet'!$B$114,BY65+BX66-CG65)))</f>
        <v>277.01199999999955</v>
      </c>
      <c r="BZ66" s="14">
        <f>BY66*VLOOKUP('Données projet'!$B$12,Paramètres!$A$1:$I$89,3,0)*VLOOKUP('Données projet'!$B$12,Paramètres!$A$1:$I$89,5,0)</f>
        <v>158.45086399999974</v>
      </c>
      <c r="CA66" s="14">
        <f t="shared" si="39"/>
        <v>40.492905851661206</v>
      </c>
      <c r="CB66" s="22">
        <f t="shared" si="10"/>
        <v>346.49373249164279</v>
      </c>
      <c r="CC66" s="62">
        <f t="shared" si="11"/>
        <v>615.78183978293362</v>
      </c>
      <c r="CD66" s="62">
        <f ca="1">AVERAGE(OFFSET($CC$3,0,0,'Données projet'!$E$12+1,1))-AVERAGE(OFFSET($H$3,0,0,'Données projet'!$E$12+1,1))</f>
        <v>312.16891625633968</v>
      </c>
      <c r="CE66" s="62">
        <f t="shared" si="40"/>
        <v>215.34305815516177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4.811317740265407</v>
      </c>
      <c r="CM66" s="23">
        <f>EXP(-LN(2)/2)*CM65+(1-EXP(-LN(2)/2))/(LN(2)/2)*CG66*CJ66*VLOOKUP('Données projet'!$B$12,Paramètres!$A$1:$I$89,3,0)*0.475*44/12</f>
        <v>8.7909187709278583E-5</v>
      </c>
      <c r="CN66" s="24">
        <f t="shared" si="12"/>
        <v>4.8114056494531159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5.3846153846153868</v>
      </c>
      <c r="CT66" s="13">
        <f>IF('Données projet'!$A$140&gt;35,CT65+CS66-DB65,IF(A66&lt;'Données projet'!$A$140,$CQ$205^A66,IF(A66='Données projet'!$A$140,'Données projet'!$B$140,CT65+CS66-DB65)))</f>
        <v>271.28205128205116</v>
      </c>
      <c r="CU66" s="18">
        <f>CT66*VLOOKUP('Données projet'!$B$13,Paramètres!$A$1:$I$89,3,0)*VLOOKUP('Données projet'!$B$13,Paramètres!$A$1:$I$89,5,0)</f>
        <v>181.97599999999991</v>
      </c>
      <c r="CV66" s="14">
        <f t="shared" si="41"/>
        <v>45.761530023303195</v>
      </c>
      <c r="CW66" s="22">
        <f t="shared" si="13"/>
        <v>396.6428647905862</v>
      </c>
      <c r="CX66" s="62">
        <f t="shared" si="14"/>
        <v>665.93097208187703</v>
      </c>
      <c r="CY66" s="62">
        <f ca="1">AVERAGE(OFFSET($CX$3,0,0,'Données projet'!$E$13+1,1))-AVERAGE(OFFSET($H$3,0,0,'Données projet'!$E$13+1,1))</f>
        <v>369.04754428478793</v>
      </c>
      <c r="CZ66" s="62">
        <f t="shared" si="42"/>
        <v>277.00523259351712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8.6666666666666661</v>
      </c>
      <c r="DO66" s="13">
        <f>IF('Données projet'!$A$166&gt;35,DO65+DN66-DW65,IF(A66&lt;'Données projet'!$A$166,$DL$205^A66,IF(A66='Données projet'!$A$166,'Données projet'!$B$166,DO65+DN66-DW65)))</f>
        <v>276</v>
      </c>
      <c r="DP66" s="18">
        <f>DO66*VLOOKUP('Données projet'!$B$14,Paramètres!$A$1:$I$89,3,0)*VLOOKUP('Données projet'!$B$14,Paramètres!$A$1:$I$89,5,0)</f>
        <v>215.28</v>
      </c>
      <c r="DQ66" s="14">
        <f t="shared" si="43"/>
        <v>53.087725740853138</v>
      </c>
      <c r="DR66" s="22">
        <f t="shared" si="16"/>
        <v>467.40712233198587</v>
      </c>
      <c r="DS66" s="62">
        <f t="shared" si="17"/>
        <v>736.69522962327665</v>
      </c>
      <c r="DT66" s="62">
        <f ca="1">AVERAGE(OFFSET($DS$3,0,0,'Données projet'!$E$14+1,1))-AVERAGE(OFFSET($H$3,0,0,'Données projet'!$E$14+1,1))</f>
        <v>308.39181291575227</v>
      </c>
      <c r="DU66" s="62">
        <f t="shared" si="44"/>
        <v>298.58225298824334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7.2</v>
      </c>
      <c r="EJ66" s="13">
        <f>IF('Données projet'!$A$192&gt;35,EJ65+EI66-ER65,IF(A66&lt;'Données projet'!$A$192,$EG$205^A66,IF(A66='Données projet'!$A$192,'Données projet'!$B$192,EJ65+EI66-ER65)))</f>
        <v>214.59999999999994</v>
      </c>
      <c r="EK66" s="18">
        <f>EJ66*VLOOKUP('Données projet'!$B$15,Paramètres!$A$1:$I$89,3,0)*VLOOKUP('Données projet'!$B$15,Paramètres!$A$1:$I$89,5,0)</f>
        <v>207.56111999999996</v>
      </c>
      <c r="EL66" s="14">
        <f t="shared" si="45"/>
        <v>51.40226725537714</v>
      </c>
      <c r="EM66" s="22">
        <f t="shared" si="19"/>
        <v>451.02789946978169</v>
      </c>
      <c r="EN66" s="62">
        <f t="shared" si="20"/>
        <v>720.31600676107246</v>
      </c>
      <c r="EO66" s="62">
        <f ca="1">AVERAGE(OFFSET($EN$3,0,0,'Données projet'!$E$15+1,1))-AVERAGE(OFFSET($H$3,0,0,'Données projet'!$E$15+1,1))</f>
        <v>487.76433095707876</v>
      </c>
      <c r="EP66" s="62">
        <f t="shared" si="46"/>
        <v>276.24209151398361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7.2</v>
      </c>
      <c r="FE66" s="13">
        <f>IF('Données projet'!$A$218&gt;35,FE65+FD66-FM65,IF(A66&lt;'Données projet'!$A$218,$FB$205^A66,IF(A66='Données projet'!$A$218,'Données projet'!$B$218,FE65+FD66-FM65)))</f>
        <v>214.59999999999994</v>
      </c>
      <c r="FF66" s="18">
        <f>FE66*VLOOKUP('Données projet'!$B$16,Paramètres!$A$1:$I$89,3,0)*VLOOKUP('Données projet'!$B$16,Paramètres!$A$1:$I$89,5,0)</f>
        <v>230.99543999999995</v>
      </c>
      <c r="FG66" s="14">
        <f t="shared" si="47"/>
        <v>56.497864803589785</v>
      </c>
      <c r="FH66" s="22">
        <f t="shared" si="22"/>
        <v>500.71750586625211</v>
      </c>
      <c r="FI66" s="62">
        <f t="shared" si="23"/>
        <v>770.00561315754294</v>
      </c>
      <c r="FJ66" s="62">
        <f ca="1">AVERAGE(OFFSET($FI$3,0,0,'Données projet'!$E$16+1,1))-AVERAGE(OFFSET($H$3,0,0,'Données projet'!$E$16+1,1))</f>
        <v>534.33392288300456</v>
      </c>
      <c r="FK66" s="62">
        <f t="shared" si="48"/>
        <v>300.93109615735477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4.7435897435897401</v>
      </c>
      <c r="FZ66" s="13">
        <f>IF('Données projet'!$A$244&gt;35,FZ65+FY66-GH65,IF(A66&lt;'Données projet'!$A$244,$FW$205^A66,IF(A66='Données projet'!$A$244,'Données projet'!$B$244,FZ65+FY66-GH65)))</f>
        <v>212.94871794871781</v>
      </c>
      <c r="GA66" s="18">
        <f>FZ66*VLOOKUP('Données projet'!$B$17,Paramètres!$A$1:$I$89,3,0)*VLOOKUP('Données projet'!$B$17,Paramètres!$A$1:$I$89,5,0)</f>
        <v>142.84599999999989</v>
      </c>
      <c r="GB66" s="14">
        <f t="shared" si="49"/>
        <v>36.948218532730117</v>
      </c>
      <c r="GC66" s="22">
        <f t="shared" si="25"/>
        <v>313.14159727783806</v>
      </c>
      <c r="GD66" s="62">
        <f t="shared" si="26"/>
        <v>582.42970456912894</v>
      </c>
      <c r="GE66" s="62">
        <f ca="1">AVERAGE(OFFSET($GD$3,0,0,'Données projet'!$E$17+1,1))-AVERAGE(OFFSET($H$3,0,0,'Données projet'!$E$17+1,1))</f>
        <v>316.17772895535211</v>
      </c>
      <c r="GF66" s="62">
        <f t="shared" si="50"/>
        <v>251.94445589652992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63.442211079442956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3.95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14.483333333333334</v>
      </c>
      <c r="H67" s="70">
        <f t="shared" si="1"/>
        <v>198.73333333333335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8.8000000000000007</v>
      </c>
      <c r="N67" s="14">
        <f>IF('Données projet'!$A$36&gt;35,N66+M67-V66,IF(A67&lt;'Données projet'!$A$36,$K$205^A67,IF(A67='Données projet'!$A$36,'Données projet'!$B$36,N66+M67-V66)))</f>
        <v>308.2</v>
      </c>
      <c r="O67" s="14">
        <f>N67*VLOOKUP('Données projet'!$B$9,Paramètres!$A$1:$I$89,3,0)*VLOOKUP('Données projet'!$B$9,Paramètres!$A$1:$I$89,5,0)</f>
        <v>259.62768</v>
      </c>
      <c r="P67" s="14">
        <f t="shared" si="33"/>
        <v>62.643007760076095</v>
      </c>
      <c r="Q67" s="22">
        <f t="shared" ref="Q67:Q98" si="54">(O67+P67)*0.475*44/12</f>
        <v>561.28811451546585</v>
      </c>
      <c r="R67" s="62">
        <f t="shared" ref="R67:R130" si="55">Q67+(I67+J67)*44/12</f>
        <v>830.99335272151416</v>
      </c>
      <c r="S67" s="62">
        <f ca="1">AVERAGE(OFFSET($R$3,0,0,'Données projet'!$E$9+1,1))-AVERAGE(OFFSET($H$3,0,0,'Données projet'!$E$9+1,1))</f>
        <v>508.93703669150443</v>
      </c>
      <c r="T67" s="62">
        <f t="shared" si="34"/>
        <v>277.04920840696707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7.2</v>
      </c>
      <c r="AI67" s="14">
        <f>IF('Données projet'!$A$62&gt;35,AI66+AH67-AQ66,IF(A67&lt;'Données projet'!$A$62,$AF$205^A67,IF(A67='Données projet'!$A$62,'Données projet'!$B$62,AI66+AH67-AQ66)))</f>
        <v>221.79999999999993</v>
      </c>
      <c r="AJ67" s="14">
        <f>AI67*VLOOKUP('Données projet'!$B$10,Paramètres!$A$1:$I$89,3,0)*VLOOKUP('Données projet'!$B$10,Paramètres!$A$1:$I$89,5,0)</f>
        <v>200.68463999999992</v>
      </c>
      <c r="AK67" s="14">
        <f t="shared" si="35"/>
        <v>49.894600936700193</v>
      </c>
      <c r="AL67" s="22">
        <f t="shared" si="4"/>
        <v>436.42551129808606</v>
      </c>
      <c r="AM67" s="62">
        <f t="shared" si="5"/>
        <v>706.13074950413431</v>
      </c>
      <c r="AN67" s="62">
        <f ca="1">AVERAGE(OFFSET($AM$3,0,0,'Données projet'!$E$10+1,1))-AVERAGE(OFFSET($H$3,0,0,'Données projet'!$E$10+1,1))</f>
        <v>461.10503306101145</v>
      </c>
      <c r="AO67" s="62">
        <f t="shared" si="36"/>
        <v>262.10652147273288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5.2</v>
      </c>
      <c r="BD67" s="13">
        <f>IF('Données projet'!$A$88&gt;35,BD66+BC67-BL66,IF(A67&lt;'Données projet'!$A$88,$BA$205^A67,IF(A67='Données projet'!$A$88,'Données projet'!$B$88,BD66+BC67-BL66)))</f>
        <v>300.7999999999999</v>
      </c>
      <c r="BE67" s="14">
        <f>BD67*VLOOKUP('Données projet'!$B$11,Paramètres!$A$1:$I$89,3,0)*VLOOKUP('Données projet'!$B$11,Paramètres!$A$1:$I$89,5,0)</f>
        <v>239.31647999999996</v>
      </c>
      <c r="BF67" s="14">
        <f t="shared" si="37"/>
        <v>58.292443422481945</v>
      </c>
      <c r="BG67" s="22">
        <f t="shared" si="7"/>
        <v>518.33554162748931</v>
      </c>
      <c r="BH67" s="62">
        <f t="shared" si="8"/>
        <v>788.0407798335375</v>
      </c>
      <c r="BI67" s="62">
        <f ca="1">AVERAGE(OFFSET($BH$3,0,0,'Données projet'!$E$11+1,1))-AVERAGE(OFFSET($H$3,0,0,'Données projet'!$E$11+1,1))</f>
        <v>389.67854939311752</v>
      </c>
      <c r="BJ67" s="62">
        <f t="shared" si="38"/>
        <v>420.05189970516096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7.6040000000000019</v>
      </c>
      <c r="BY67" s="13">
        <f>IF('Données projet'!$A$114&gt;35,BY66+BX67-CG66,IF(A67&lt;'Données projet'!$A$114,$BV$205^A67,IF(A67='Données projet'!$A$114,'Données projet'!$B$114,BY66+BX67-CG66)))</f>
        <v>284.61599999999953</v>
      </c>
      <c r="BZ67" s="14">
        <f>BY67*VLOOKUP('Données projet'!$B$12,Paramètres!$A$1:$I$89,3,0)*VLOOKUP('Données projet'!$B$12,Paramètres!$A$1:$I$89,5,0)</f>
        <v>162.80035199999975</v>
      </c>
      <c r="CA67" s="14">
        <f t="shared" si="39"/>
        <v>41.473503375954834</v>
      </c>
      <c r="CB67" s="22">
        <f t="shared" si="10"/>
        <v>355.77696477978753</v>
      </c>
      <c r="CC67" s="62">
        <f t="shared" si="11"/>
        <v>625.48220298583578</v>
      </c>
      <c r="CD67" s="62">
        <f ca="1">AVERAGE(OFFSET($CC$3,0,0,'Données projet'!$E$12+1,1))-AVERAGE(OFFSET($H$3,0,0,'Données projet'!$E$12+1,1))</f>
        <v>312.16891625633968</v>
      </c>
      <c r="CE67" s="62">
        <f t="shared" si="40"/>
        <v>215.34305815516177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4.6797520036416458</v>
      </c>
      <c r="CM67" s="23">
        <f>EXP(-LN(2)/2)*CM66+(1-EXP(-LN(2)/2))/(LN(2)/2)*CG67*CJ67*VLOOKUP('Données projet'!$B$12,Paramètres!$A$1:$I$89,3,0)*0.475*44/12</f>
        <v>6.2161182757831983E-5</v>
      </c>
      <c r="CN67" s="24">
        <f t="shared" si="12"/>
        <v>4.6798141648244034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5.3846153846153868</v>
      </c>
      <c r="CT67" s="13">
        <f>IF('Données projet'!$A$140&gt;35,CT66+CS67-DB66,IF(A67&lt;'Données projet'!$A$140,$CQ$205^A67,IF(A67='Données projet'!$A$140,'Données projet'!$B$140,CT66+CS67-DB66)))</f>
        <v>276.66666666666652</v>
      </c>
      <c r="CU67" s="18">
        <f>CT67*VLOOKUP('Données projet'!$B$13,Paramètres!$A$1:$I$89,3,0)*VLOOKUP('Données projet'!$B$13,Paramètres!$A$1:$I$89,5,0)</f>
        <v>185.58799999999991</v>
      </c>
      <c r="CV67" s="14">
        <f t="shared" si="41"/>
        <v>46.563192499694225</v>
      </c>
      <c r="CW67" s="22">
        <f t="shared" si="13"/>
        <v>404.32999360363391</v>
      </c>
      <c r="CX67" s="62">
        <f t="shared" si="14"/>
        <v>674.03523180968216</v>
      </c>
      <c r="CY67" s="62">
        <f ca="1">AVERAGE(OFFSET($CX$3,0,0,'Données projet'!$E$13+1,1))-AVERAGE(OFFSET($H$3,0,0,'Données projet'!$E$13+1,1))</f>
        <v>369.04754428478793</v>
      </c>
      <c r="CZ67" s="62">
        <f t="shared" si="42"/>
        <v>277.00523259351712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8.6666666666666661</v>
      </c>
      <c r="DO67" s="13">
        <f>IF('Données projet'!$A$166&gt;35,DO66+DN67-DW66,IF(A67&lt;'Données projet'!$A$166,$DL$205^A67,IF(A67='Données projet'!$A$166,'Données projet'!$B$166,DO66+DN67-DW66)))</f>
        <v>284.66666666666669</v>
      </c>
      <c r="DP67" s="18">
        <f>DO67*VLOOKUP('Données projet'!$B$14,Paramètres!$A$1:$I$89,3,0)*VLOOKUP('Données projet'!$B$14,Paramètres!$A$1:$I$89,5,0)</f>
        <v>222.04000000000002</v>
      </c>
      <c r="DQ67" s="14">
        <f t="shared" si="43"/>
        <v>54.558031180803596</v>
      </c>
      <c r="DR67" s="22">
        <f t="shared" si="16"/>
        <v>481.74157097323291</v>
      </c>
      <c r="DS67" s="62">
        <f t="shared" si="17"/>
        <v>751.44680917928122</v>
      </c>
      <c r="DT67" s="62">
        <f ca="1">AVERAGE(OFFSET($DS$3,0,0,'Données projet'!$E$14+1,1))-AVERAGE(OFFSET($H$3,0,0,'Données projet'!$E$14+1,1))</f>
        <v>308.39181291575227</v>
      </c>
      <c r="DU67" s="62">
        <f t="shared" si="44"/>
        <v>298.58225298824334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7.2</v>
      </c>
      <c r="EJ67" s="13">
        <f>IF('Données projet'!$A$192&gt;35,EJ66+EI67-ER66,IF(A67&lt;'Données projet'!$A$192,$EG$205^A67,IF(A67='Données projet'!$A$192,'Données projet'!$B$192,EJ66+EI67-ER66)))</f>
        <v>221.79999999999993</v>
      </c>
      <c r="EK67" s="18">
        <f>EJ67*VLOOKUP('Données projet'!$B$15,Paramètres!$A$1:$I$89,3,0)*VLOOKUP('Données projet'!$B$15,Paramètres!$A$1:$I$89,5,0)</f>
        <v>214.52495999999994</v>
      </c>
      <c r="EL67" s="14">
        <f t="shared" si="45"/>
        <v>52.923173099085716</v>
      </c>
      <c r="EM67" s="22">
        <f t="shared" si="19"/>
        <v>465.80549848090754</v>
      </c>
      <c r="EN67" s="62">
        <f t="shared" si="20"/>
        <v>735.51073668695585</v>
      </c>
      <c r="EO67" s="62">
        <f ca="1">AVERAGE(OFFSET($EN$3,0,0,'Données projet'!$E$15+1,1))-AVERAGE(OFFSET($H$3,0,0,'Données projet'!$E$15+1,1))</f>
        <v>487.76433095707876</v>
      </c>
      <c r="EP67" s="62">
        <f t="shared" si="46"/>
        <v>276.24209151398361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7.2</v>
      </c>
      <c r="FE67" s="13">
        <f>IF('Données projet'!$A$218&gt;35,FE66+FD67-FM66,IF(A67&lt;'Données projet'!$A$218,$FB$205^A67,IF(A67='Données projet'!$A$218,'Données projet'!$B$218,FE66+FD67-FM66)))</f>
        <v>221.79999999999993</v>
      </c>
      <c r="FF67" s="18">
        <f>FE67*VLOOKUP('Données projet'!$B$16,Paramètres!$A$1:$I$89,3,0)*VLOOKUP('Données projet'!$B$16,Paramètres!$A$1:$I$89,5,0)</f>
        <v>238.74551999999991</v>
      </c>
      <c r="FG67" s="14">
        <f t="shared" si="47"/>
        <v>58.169540730060781</v>
      </c>
      <c r="FH67" s="22">
        <f t="shared" si="22"/>
        <v>517.12706410485578</v>
      </c>
      <c r="FI67" s="62">
        <f t="shared" si="23"/>
        <v>786.83230231090397</v>
      </c>
      <c r="FJ67" s="62">
        <f ca="1">AVERAGE(OFFSET($FI$3,0,0,'Données projet'!$E$16+1,1))-AVERAGE(OFFSET($H$3,0,0,'Données projet'!$E$16+1,1))</f>
        <v>534.33392288300456</v>
      </c>
      <c r="FK67" s="62">
        <f t="shared" si="48"/>
        <v>300.93109615735477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4.7435897435897401</v>
      </c>
      <c r="FZ67" s="13">
        <f>IF('Données projet'!$A$244&gt;35,FZ66+FY67-GH66,IF(A67&lt;'Données projet'!$A$244,$FW$205^A67,IF(A67='Données projet'!$A$244,'Données projet'!$B$244,FZ66+FY67-GH66)))</f>
        <v>217.69230769230757</v>
      </c>
      <c r="GA67" s="18">
        <f>FZ67*VLOOKUP('Données projet'!$B$17,Paramètres!$A$1:$I$89,3,0)*VLOOKUP('Données projet'!$B$17,Paramètres!$A$1:$I$89,5,0)</f>
        <v>146.02799999999991</v>
      </c>
      <c r="GB67" s="14">
        <f t="shared" si="49"/>
        <v>37.674529356136155</v>
      </c>
      <c r="GC67" s="22">
        <f t="shared" si="25"/>
        <v>319.94857196193698</v>
      </c>
      <c r="GD67" s="62">
        <f t="shared" si="26"/>
        <v>589.65381016798528</v>
      </c>
      <c r="GE67" s="62">
        <f ca="1">AVERAGE(OFFSET($GD$3,0,0,'Données projet'!$E$17+1,1))-AVERAGE(OFFSET($H$3,0,0,'Données projet'!$E$17+1,1))</f>
        <v>316.17772895535211</v>
      </c>
      <c r="GF67" s="62">
        <f t="shared" si="50"/>
        <v>251.94445589652992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63.55597405619497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3.95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14.483333333333334</v>
      </c>
      <c r="H68" s="70">
        <f t="shared" ref="H68:H131" si="56">(B68+E68+F68)*44/12+(C68+D68)*0.475*44/12</f>
        <v>198.73333333333335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317</v>
      </c>
      <c r="L68" s="13">
        <f>VLOOKUP(A68,'Données projet'!$A$35:$I$55,9,0)</f>
        <v>8.8000000000000007</v>
      </c>
      <c r="M68" s="13">
        <f t="array" ref="M68">INDEX(L:L,MIN(IF(ISNUMBER(L68:L264),ROW(L68:L264),"")))</f>
        <v>8.8000000000000007</v>
      </c>
      <c r="N68" s="14">
        <f>IF('Données projet'!$A$36&gt;35,N67+M68-V67,IF(A68&lt;'Données projet'!$A$36,$K$205^A68,IF(A68='Données projet'!$A$36,'Données projet'!$B$36,N67+M68-V67)))</f>
        <v>317</v>
      </c>
      <c r="O68" s="14">
        <f>N68*VLOOKUP('Données projet'!$B$9,Paramètres!$A$1:$I$89,3,0)*VLOOKUP('Données projet'!$B$9,Paramètres!$A$1:$I$89,5,0)</f>
        <v>267.04080000000005</v>
      </c>
      <c r="P68" s="14">
        <f t="shared" si="33"/>
        <v>64.220850124833518</v>
      </c>
      <c r="Q68" s="22">
        <f t="shared" si="54"/>
        <v>576.94737396741846</v>
      </c>
      <c r="R68" s="62">
        <f t="shared" si="55"/>
        <v>847.06250679941809</v>
      </c>
      <c r="S68" s="62">
        <f ca="1">AVERAGE(OFFSET($R$3,0,0,'Données projet'!$E$9+1,1))-AVERAGE(OFFSET($H$3,0,0,'Données projet'!$E$9+1,1))</f>
        <v>508.93703669150443</v>
      </c>
      <c r="T68" s="62">
        <f t="shared" si="34"/>
        <v>277.04920840696707</v>
      </c>
      <c r="U68" s="16">
        <f>IF(ISNA(VLOOKUP(A68,'Données projet'!$A$35:$I$55,3,0)),0,VLOOKUP(A68,'Données projet'!$A$35:$I$55,3,0))</f>
        <v>5</v>
      </c>
      <c r="V68" s="16">
        <f>IF(ISNA(VLOOKUP(A68,'Données projet'!$A$35:$I$55,4,0)),0,VLOOKUP(A68,'Données projet'!$A$35:$I$55,4,0))</f>
        <v>56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229</v>
      </c>
      <c r="AG68" s="13">
        <f>VLOOKUP(A68,'Données projet'!$A$61:$I$81,9,0)</f>
        <v>7.2</v>
      </c>
      <c r="AH68" s="13">
        <f t="array" ref="AH68">INDEX(AG:AG,MIN(IF(ISNUMBER(AG68:AG264),ROW(AG68:AG264),"")))</f>
        <v>7.2</v>
      </c>
      <c r="AI68" s="14">
        <f>IF('Données projet'!$A$62&gt;35,AI67+AH68-AQ67,IF(A68&lt;'Données projet'!$A$62,$AF$205^A68,IF(A68='Données projet'!$A$62,'Données projet'!$B$62,AI67+AH68-AQ67)))</f>
        <v>228.99999999999991</v>
      </c>
      <c r="AJ68" s="14">
        <f>AI68*VLOOKUP('Données projet'!$B$10,Paramètres!$A$1:$I$89,3,0)*VLOOKUP('Données projet'!$B$10,Paramètres!$A$1:$I$89,5,0)</f>
        <v>207.19919999999991</v>
      </c>
      <c r="AK68" s="14">
        <f t="shared" si="35"/>
        <v>51.3230629736655</v>
      </c>
      <c r="AL68" s="22">
        <f t="shared" ref="AL68:AL131" si="58">(AJ68+AK68)*0.475*44/12</f>
        <v>450.25960801246725</v>
      </c>
      <c r="AM68" s="62">
        <f t="shared" ref="AM68:AM131" si="59">AL68+(AD68+AE68)*44/12</f>
        <v>720.37474084446683</v>
      </c>
      <c r="AN68" s="62">
        <f ca="1">AVERAGE(OFFSET($AM$3,0,0,'Données projet'!$E$10+1,1))-AVERAGE(OFFSET($H$3,0,0,'Données projet'!$E$10+1,1))</f>
        <v>461.10503306101145</v>
      </c>
      <c r="AO68" s="62">
        <f t="shared" si="36"/>
        <v>262.10652147273288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306</v>
      </c>
      <c r="BB68" s="13">
        <f>VLOOKUP(A68,'Données projet'!$A$87:$I$107,9,0)</f>
        <v>5.2</v>
      </c>
      <c r="BC68" s="13">
        <f t="array" ref="BC68">INDEX(BB:BB,MIN(IF(ISNUMBER(BB68:BB264),ROW(BB68:BB264),"")))</f>
        <v>5.2</v>
      </c>
      <c r="BD68" s="13">
        <f>IF('Données projet'!$A$88&gt;35,BD67+BC68-BL67,IF(A68&lt;'Données projet'!$A$88,$BA$205^A68,IF(A68='Données projet'!$A$88,'Données projet'!$B$88,BD67+BC68-BL67)))</f>
        <v>305.99999999999989</v>
      </c>
      <c r="BE68" s="14">
        <f>BD68*VLOOKUP('Données projet'!$B$11,Paramètres!$A$1:$I$89,3,0)*VLOOKUP('Données projet'!$B$11,Paramètres!$A$1:$I$89,5,0)</f>
        <v>243.45359999999991</v>
      </c>
      <c r="BF68" s="14">
        <f t="shared" si="37"/>
        <v>59.181970343065267</v>
      </c>
      <c r="BG68" s="22">
        <f t="shared" ref="BG68:BG131" si="61">(BE68+BF68)*0.475*44/12</f>
        <v>527.09028501417185</v>
      </c>
      <c r="BH68" s="62">
        <f t="shared" ref="BH68:BH131" si="62">BG68+(AY68+AZ68)*44/12</f>
        <v>797.20541784617149</v>
      </c>
      <c r="BI68" s="62">
        <f ca="1">AVERAGE(OFFSET($BH$3,0,0,'Données projet'!$E$11+1,1))-AVERAGE(OFFSET($H$3,0,0,'Données projet'!$E$11+1,1))</f>
        <v>389.67854939311752</v>
      </c>
      <c r="BJ68" s="62">
        <f t="shared" si="38"/>
        <v>420.05189970516096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7.6040000000000019</v>
      </c>
      <c r="BY68" s="13">
        <f>IF('Données projet'!$A$114&gt;35,BY67+BX68-CG67,IF(A68&lt;'Données projet'!$A$114,$BV$205^A68,IF(A68='Données projet'!$A$114,'Données projet'!$B$114,BY67+BX68-CG67)))</f>
        <v>292.21999999999952</v>
      </c>
      <c r="BZ68" s="14">
        <f>BY68*VLOOKUP('Données projet'!$B$12,Paramètres!$A$1:$I$89,3,0)*VLOOKUP('Données projet'!$B$12,Paramètres!$A$1:$I$89,5,0)</f>
        <v>167.14983999999973</v>
      </c>
      <c r="CA68" s="14">
        <f t="shared" si="39"/>
        <v>42.451055768721623</v>
      </c>
      <c r="CB68" s="22">
        <f t="shared" ref="CB68:CB131" si="64">(BZ68+CA68)*0.475*44/12</f>
        <v>365.05489346385633</v>
      </c>
      <c r="CC68" s="62">
        <f t="shared" ref="CC68:CC131" si="65">CB68+(BT68+BU68)*44/12</f>
        <v>635.17002629585591</v>
      </c>
      <c r="CD68" s="62">
        <f ca="1">AVERAGE(OFFSET($CC$3,0,0,'Données projet'!$E$12+1,1))-AVERAGE(OFFSET($H$3,0,0,'Données projet'!$E$12+1,1))</f>
        <v>312.16891625633968</v>
      </c>
      <c r="CE68" s="62">
        <f t="shared" si="40"/>
        <v>215.34305815516177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4.5517839390046024</v>
      </c>
      <c r="CM68" s="23">
        <f>EXP(-LN(2)/2)*CM67+(1-EXP(-LN(2)/2))/(LN(2)/2)*CG68*CJ68*VLOOKUP('Données projet'!$B$12,Paramètres!$A$1:$I$89,3,0)*0.475*44/12</f>
        <v>4.3954593854639291E-5</v>
      </c>
      <c r="CN68" s="24">
        <f t="shared" ref="CN68:CN131" si="66">SUM(CK68:CM68)</f>
        <v>4.5518278935984569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282.05128205128204</v>
      </c>
      <c r="CR68" s="13">
        <f>VLOOKUP(A68,'Données projet'!$A$139:$I$159,9,0)</f>
        <v>5.3846153846153868</v>
      </c>
      <c r="CS68" s="13">
        <f t="array" ref="CS68">INDEX(CR:CR,MIN(IF(ISNUMBER(CR68:CR264),ROW(CR68:CR264),"")))</f>
        <v>5.3846153846153868</v>
      </c>
      <c r="CT68" s="13">
        <f>IF('Données projet'!$A$140&gt;35,CT67+CS68-DB67,IF(A68&lt;'Données projet'!$A$140,$CQ$205^A68,IF(A68='Données projet'!$A$140,'Données projet'!$B$140,CT67+CS68-DB67)))</f>
        <v>282.05128205128187</v>
      </c>
      <c r="CU68" s="18">
        <f>CT68*VLOOKUP('Données projet'!$B$13,Paramètres!$A$1:$I$89,3,0)*VLOOKUP('Données projet'!$B$13,Paramètres!$A$1:$I$89,5,0)</f>
        <v>189.19999999999987</v>
      </c>
      <c r="CV68" s="14">
        <f t="shared" si="41"/>
        <v>47.363040799609699</v>
      </c>
      <c r="CW68" s="22">
        <f t="shared" ref="CW68:CW131" si="67">(CU68+CV68)*0.475*44/12</f>
        <v>412.01396272598663</v>
      </c>
      <c r="CX68" s="62">
        <f t="shared" ref="CX68:CX131" si="68">CW68+(CO68+CP68)*44/12</f>
        <v>682.12909555798615</v>
      </c>
      <c r="CY68" s="62">
        <f ca="1">AVERAGE(OFFSET($CX$3,0,0,'Données projet'!$E$13+1,1))-AVERAGE(OFFSET($H$3,0,0,'Données projet'!$E$13+1,1))</f>
        <v>369.04754428478793</v>
      </c>
      <c r="CZ68" s="62">
        <f t="shared" si="42"/>
        <v>277.00523259351712</v>
      </c>
      <c r="DA68" s="16">
        <f>IF(ISNA(VLOOKUP(A68,'Données projet'!$A$139:$I$159,3,0)),0,VLOOKUP(A68,'Données projet'!$A$139:$I$159,3,0))</f>
        <v>6</v>
      </c>
      <c r="DB68" s="16">
        <f>IF(ISNA(VLOOKUP(A68,'Données projet'!$A$139:$I$159,4,0)),0,VLOOKUP(A68,'Données projet'!$A$139:$I$159,4,0))</f>
        <v>31.410256410256409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8.6666666666666661</v>
      </c>
      <c r="DO68" s="13">
        <f>IF('Données projet'!$A$166&gt;35,DO67+DN68-DW67,IF(A68&lt;'Données projet'!$A$166,$DL$205^A68,IF(A68='Données projet'!$A$166,'Données projet'!$B$166,DO67+DN68-DW67)))</f>
        <v>293.33333333333337</v>
      </c>
      <c r="DP68" s="18">
        <f>DO68*VLOOKUP('Données projet'!$B$14,Paramètres!$A$1:$I$89,3,0)*VLOOKUP('Données projet'!$B$14,Paramètres!$A$1:$I$89,5,0)</f>
        <v>228.80000000000004</v>
      </c>
      <c r="DQ68" s="14">
        <f t="shared" si="43"/>
        <v>56.023134533701196</v>
      </c>
      <c r="DR68" s="22">
        <f t="shared" ref="DR68:DR131" si="70">(DP68+DQ68)*0.475*44/12</f>
        <v>496.06695931286299</v>
      </c>
      <c r="DS68" s="62">
        <f t="shared" ref="DS68:DS131" si="71">DR68+(DJ68+DK68)*44/12</f>
        <v>766.18209214486251</v>
      </c>
      <c r="DT68" s="62">
        <f ca="1">AVERAGE(OFFSET($DS$3,0,0,'Données projet'!$E$14+1,1))-AVERAGE(OFFSET($H$3,0,0,'Données projet'!$E$14+1,1))</f>
        <v>308.39181291575227</v>
      </c>
      <c r="DU68" s="62">
        <f t="shared" si="44"/>
        <v>298.58225298824334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229</v>
      </c>
      <c r="EH68" s="13">
        <f>VLOOKUP(A68,'Données projet'!$A$191:$I$211,9,0)</f>
        <v>7.2</v>
      </c>
      <c r="EI68" s="13">
        <f t="array" ref="EI68">INDEX(EH:EH,MIN(IF(ISNUMBER(EH68:EH264),ROW(EH68:EH264),"")))</f>
        <v>7.2</v>
      </c>
      <c r="EJ68" s="13">
        <f>IF('Données projet'!$A$192&gt;35,EJ67+EI68-ER67,IF(A68&lt;'Données projet'!$A$192,$EG$205^A68,IF(A68='Données projet'!$A$192,'Données projet'!$B$192,EJ67+EI68-ER67)))</f>
        <v>228.99999999999991</v>
      </c>
      <c r="EK68" s="18">
        <f>EJ68*VLOOKUP('Données projet'!$B$15,Paramètres!$A$1:$I$89,3,0)*VLOOKUP('Données projet'!$B$15,Paramètres!$A$1:$I$89,5,0)</f>
        <v>221.48879999999991</v>
      </c>
      <c r="EL68" s="14">
        <f t="shared" si="45"/>
        <v>54.43834191952984</v>
      </c>
      <c r="EM68" s="22">
        <f t="shared" ref="EM68:EM131" si="73">(EK68+EL68)*0.475*44/12</f>
        <v>480.57310550984766</v>
      </c>
      <c r="EN68" s="62">
        <f t="shared" ref="EN68:EN131" si="74">EM68+(EE68+EF68)*44/12</f>
        <v>750.68823834184718</v>
      </c>
      <c r="EO68" s="62">
        <f ca="1">AVERAGE(OFFSET($EN$3,0,0,'Données projet'!$E$15+1,1))-AVERAGE(OFFSET($H$3,0,0,'Données projet'!$E$15+1,1))</f>
        <v>487.76433095707876</v>
      </c>
      <c r="EP68" s="62">
        <f t="shared" si="46"/>
        <v>276.24209151398361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projet'!$A$217:$I$237,2,0)</f>
        <v>229</v>
      </c>
      <c r="FC68" s="13">
        <f>VLOOKUP(A68,'Données projet'!$A$217:$I$237,9,0)</f>
        <v>7.2</v>
      </c>
      <c r="FD68" s="13">
        <f t="array" ref="FD68">INDEX(FC:FC,MIN(IF(ISNUMBER(FC68:FC264),ROW(FC68:FC264),"")))</f>
        <v>7.2</v>
      </c>
      <c r="FE68" s="13">
        <f>IF('Données projet'!$A$218&gt;35,FE67+FD68-FM67,IF(A68&lt;'Données projet'!$A$218,$FB$205^A68,IF(A68='Données projet'!$A$218,'Données projet'!$B$218,FE67+FD68-FM67)))</f>
        <v>228.99999999999991</v>
      </c>
      <c r="FF68" s="18">
        <f>FE68*VLOOKUP('Données projet'!$B$16,Paramètres!$A$1:$I$89,3,0)*VLOOKUP('Données projet'!$B$16,Paramètres!$A$1:$I$89,5,0)</f>
        <v>246.49559999999991</v>
      </c>
      <c r="FG68" s="14">
        <f t="shared" si="47"/>
        <v>59.834910912017278</v>
      </c>
      <c r="FH68" s="22">
        <f t="shared" ref="FH68:FH131" si="76">(FF68+FG68)*0.475*44/12</f>
        <v>533.52563983842992</v>
      </c>
      <c r="FI68" s="62">
        <f t="shared" ref="FI68:FI131" si="77">FH68+(EZ68+FA68)*44/12</f>
        <v>803.64077267042944</v>
      </c>
      <c r="FJ68" s="62">
        <f ca="1">AVERAGE(OFFSET($FI$3,0,0,'Données projet'!$E$16+1,1))-AVERAGE(OFFSET($H$3,0,0,'Données projet'!$E$16+1,1))</f>
        <v>534.33392288300456</v>
      </c>
      <c r="FK68" s="62">
        <f t="shared" si="48"/>
        <v>300.93109615735477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>
        <f>VLOOKUP(A68,'Données projet'!$A$243:$I$263,2,0)</f>
        <v>222.43589743589743</v>
      </c>
      <c r="FX68" s="13">
        <f>VLOOKUP(A68,'Données projet'!$A$243:$I$263,9,0)</f>
        <v>4.7435897435897401</v>
      </c>
      <c r="FY68" s="13">
        <f t="array" ref="FY68">INDEX(FX:FX,MIN(IF(ISNUMBER(FX68:FX264),ROW(FX68:FX264),"")))</f>
        <v>4.7435897435897401</v>
      </c>
      <c r="FZ68" s="13">
        <f>IF('Données projet'!$A$244&gt;35,FZ67+FY68-GH67,IF(A68&lt;'Données projet'!$A$244,$FW$205^A68,IF(A68='Données projet'!$A$244,'Données projet'!$B$244,FZ67+FY68-GH67)))</f>
        <v>222.43589743589732</v>
      </c>
      <c r="GA68" s="18">
        <f>FZ68*VLOOKUP('Données projet'!$B$17,Paramètres!$A$1:$I$89,3,0)*VLOOKUP('Données projet'!$B$17,Paramètres!$A$1:$I$89,5,0)</f>
        <v>149.20999999999992</v>
      </c>
      <c r="GB68" s="14">
        <f t="shared" si="49"/>
        <v>38.399000148253691</v>
      </c>
      <c r="GC68" s="22">
        <f t="shared" ref="GC68:GC131" si="79">(GA68+GB68)*0.475*44/12</f>
        <v>326.752341924875</v>
      </c>
      <c r="GD68" s="62">
        <f t="shared" ref="GD68:GD131" si="80">GC68+(FU68+FV68)*44/12</f>
        <v>596.86747475687457</v>
      </c>
      <c r="GE68" s="62">
        <f ca="1">AVERAGE(OFFSET($GD$3,0,0,'Données projet'!$E$17+1,1))-AVERAGE(OFFSET($H$3,0,0,'Données projet'!$E$17+1,1))</f>
        <v>316.17772895535211</v>
      </c>
      <c r="GF68" s="62">
        <f t="shared" si="50"/>
        <v>251.94445589652992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63.667763499636251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3.95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14.483333333333334</v>
      </c>
      <c r="H69" s="70">
        <f t="shared" si="56"/>
        <v>198.73333333333335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8.1999999999999993</v>
      </c>
      <c r="N69" s="14">
        <f>IF('Données projet'!$A$36&gt;35,N68+M69-V68,IF(A69&lt;'Données projet'!$A$36,$K$205^A69,IF(A69='Données projet'!$A$36,'Données projet'!$B$36,N68+M69-V68)))</f>
        <v>269.2</v>
      </c>
      <c r="O69" s="14">
        <f>N69*VLOOKUP('Données projet'!$B$9,Paramètres!$A$1:$I$89,3,0)*VLOOKUP('Données projet'!$B$9,Paramètres!$A$1:$I$89,5,0)</f>
        <v>226.77408</v>
      </c>
      <c r="P69" s="14">
        <f t="shared" ref="P69:P132" si="87">EXP(-1.0587+0.8836*LN(O69)+0.284)</f>
        <v>55.584589827360034</v>
      </c>
      <c r="Q69" s="22">
        <f t="shared" si="54"/>
        <v>491.77468328265195</v>
      </c>
      <c r="R69" s="62">
        <f t="shared" si="55"/>
        <v>762.2925999852298</v>
      </c>
      <c r="S69" s="62">
        <f ca="1">AVERAGE(OFFSET($R$3,0,0,'Données projet'!$E$9+1,1))-AVERAGE(OFFSET($H$3,0,0,'Données projet'!$E$9+1,1))</f>
        <v>508.93703669150443</v>
      </c>
      <c r="T69" s="62">
        <f t="shared" ref="T69:T132" si="88">$T$3</f>
        <v>277.04920840696707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6.8</v>
      </c>
      <c r="AI69" s="14">
        <f>IF('Données projet'!$A$62&gt;35,AI68+AH69-AQ68,IF(A69&lt;'Données projet'!$A$62,$AF$205^A69,IF(A69='Données projet'!$A$62,'Données projet'!$B$62,AI68+AH69-AQ68)))</f>
        <v>235.79999999999993</v>
      </c>
      <c r="AJ69" s="14">
        <f>AI69*VLOOKUP('Données projet'!$B$10,Paramètres!$A$1:$I$89,3,0)*VLOOKUP('Données projet'!$B$10,Paramètres!$A$1:$I$89,5,0)</f>
        <v>213.35183999999992</v>
      </c>
      <c r="AK69" s="14">
        <f t="shared" ref="AK69:AK132" si="89">EXP(-1.0587+0.8836*LN(AJ69)+0.284)</f>
        <v>52.667370665417188</v>
      </c>
      <c r="AL69" s="22">
        <f t="shared" si="58"/>
        <v>463.31679190893482</v>
      </c>
      <c r="AM69" s="62">
        <f t="shared" si="59"/>
        <v>733.83470861151272</v>
      </c>
      <c r="AN69" s="62">
        <f ca="1">AVERAGE(OFFSET($AM$3,0,0,'Données projet'!$E$10+1,1))-AVERAGE(OFFSET($H$3,0,0,'Données projet'!$E$10+1,1))</f>
        <v>461.10503306101145</v>
      </c>
      <c r="AO69" s="62">
        <f t="shared" ref="AO69:AO132" si="90">$AO$3</f>
        <v>262.10652147273288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4.4000000000000004</v>
      </c>
      <c r="BD69" s="13">
        <f>IF('Données projet'!$A$88&gt;35,BD68+BC69-BL68,IF(A69&lt;'Données projet'!$A$88,$BA$205^A69,IF(A69='Données projet'!$A$88,'Données projet'!$B$88,BD68+BC69-BL68)))</f>
        <v>310.39999999999986</v>
      </c>
      <c r="BE69" s="14">
        <f>BD69*VLOOKUP('Données projet'!$B$11,Paramètres!$A$1:$I$89,3,0)*VLOOKUP('Données projet'!$B$11,Paramètres!$A$1:$I$89,5,0)</f>
        <v>246.95423999999991</v>
      </c>
      <c r="BF69" s="14">
        <f t="shared" ref="BF69:BF132" si="91">EXP(-1.0587+0.8836*LN(BE69)+0.284)</f>
        <v>59.933272631878893</v>
      </c>
      <c r="BG69" s="22">
        <f t="shared" si="61"/>
        <v>534.49575116718881</v>
      </c>
      <c r="BH69" s="62">
        <f t="shared" si="62"/>
        <v>805.01366786976666</v>
      </c>
      <c r="BI69" s="62">
        <f ca="1">AVERAGE(OFFSET($BH$3,0,0,'Données projet'!$E$11+1,1))-AVERAGE(OFFSET($H$3,0,0,'Données projet'!$E$11+1,1))</f>
        <v>389.67854939311752</v>
      </c>
      <c r="BJ69" s="62">
        <f t="shared" ref="BJ69:BJ132" si="92">$BJ$3</f>
        <v>420.05189970516096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7.6040000000000019</v>
      </c>
      <c r="BY69" s="13">
        <f>IF('Données projet'!$A$114&gt;35,BY68+BX69-CG68,IF(A69&lt;'Données projet'!$A$114,$BV$205^A69,IF(A69='Données projet'!$A$114,'Données projet'!$B$114,BY68+BX69-CG68)))</f>
        <v>299.8239999999995</v>
      </c>
      <c r="BZ69" s="14">
        <f>BY69*VLOOKUP('Données projet'!$B$12,Paramètres!$A$1:$I$89,3,0)*VLOOKUP('Données projet'!$B$12,Paramètres!$A$1:$I$89,5,0)</f>
        <v>171.49932799999971</v>
      </c>
      <c r="CA69" s="14">
        <f t="shared" ref="CA69:CA132" si="93">EXP(-1.0587+0.8836*LN(BZ69)+0.284)</f>
        <v>43.425651378570215</v>
      </c>
      <c r="CB69" s="22">
        <f t="shared" si="64"/>
        <v>374.32767241767596</v>
      </c>
      <c r="CC69" s="62">
        <f t="shared" si="65"/>
        <v>644.84558912025386</v>
      </c>
      <c r="CD69" s="62">
        <f ca="1">AVERAGE(OFFSET($CC$3,0,0,'Données projet'!$E$12+1,1))-AVERAGE(OFFSET($H$3,0,0,'Données projet'!$E$12+1,1))</f>
        <v>312.16891625633968</v>
      </c>
      <c r="CE69" s="62">
        <f t="shared" ref="CE69:CE132" si="94">$CE$3</f>
        <v>215.34305815516177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4.4273151678246077</v>
      </c>
      <c r="CM69" s="23">
        <f>EXP(-LN(2)/2)*CM68+(1-EXP(-LN(2)/2))/(LN(2)/2)*CG69*CJ69*VLOOKUP('Données projet'!$B$12,Paramètres!$A$1:$I$89,3,0)*0.475*44/12</f>
        <v>3.1080591378915992E-5</v>
      </c>
      <c r="CN69" s="24">
        <f t="shared" si="66"/>
        <v>4.4273462484159865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5.1282051282051269</v>
      </c>
      <c r="CT69" s="13">
        <f>IF('Données projet'!$A$140&gt;35,CT68+CS69-DB68,IF(A69&lt;'Données projet'!$A$140,$CQ$205^A69,IF(A69='Données projet'!$A$140,'Données projet'!$B$140,CT68+CS69-DB68)))</f>
        <v>255.7692307692306</v>
      </c>
      <c r="CU69" s="18">
        <f>CT69*VLOOKUP('Données projet'!$B$13,Paramètres!$A$1:$I$89,3,0)*VLOOKUP('Données projet'!$B$13,Paramètres!$A$1:$I$89,5,0)</f>
        <v>171.56999999999988</v>
      </c>
      <c r="CV69" s="14">
        <f t="shared" ref="CV69:CV132" si="95">EXP(-1.0587+0.8836*LN(CU69)+0.284)</f>
        <v>43.441463006771166</v>
      </c>
      <c r="CW69" s="22">
        <f t="shared" si="67"/>
        <v>374.47829807012619</v>
      </c>
      <c r="CX69" s="62">
        <f t="shared" si="68"/>
        <v>644.99621477270398</v>
      </c>
      <c r="CY69" s="62">
        <f ca="1">AVERAGE(OFFSET($CX$3,0,0,'Données projet'!$E$13+1,1))-AVERAGE(OFFSET($H$3,0,0,'Données projet'!$E$13+1,1))</f>
        <v>369.04754428478793</v>
      </c>
      <c r="CZ69" s="62">
        <f t="shared" ref="CZ69:CZ132" si="96">$CZ$3</f>
        <v>277.00523259351712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8.6666666666666661</v>
      </c>
      <c r="DO69" s="13">
        <f>IF('Données projet'!$A$166&gt;35,DO68+DN69-DW68,IF(A69&lt;'Données projet'!$A$166,$DL$205^A69,IF(A69='Données projet'!$A$166,'Données projet'!$B$166,DO68+DN69-DW68)))</f>
        <v>302.00000000000006</v>
      </c>
      <c r="DP69" s="18">
        <f>DO69*VLOOKUP('Données projet'!$B$14,Paramètres!$A$1:$I$89,3,0)*VLOOKUP('Données projet'!$B$14,Paramètres!$A$1:$I$89,5,0)</f>
        <v>235.56000000000006</v>
      </c>
      <c r="DQ69" s="14">
        <f t="shared" ref="DQ69:DQ132" si="97">EXP(-1.0587+0.8836*LN(DP69)+0.284)</f>
        <v>57.483207143847771</v>
      </c>
      <c r="DR69" s="22">
        <f t="shared" si="70"/>
        <v>510.38358577553487</v>
      </c>
      <c r="DS69" s="62">
        <f t="shared" si="71"/>
        <v>780.90150247811266</v>
      </c>
      <c r="DT69" s="62">
        <f ca="1">AVERAGE(OFFSET($DS$3,0,0,'Données projet'!$E$14+1,1))-AVERAGE(OFFSET($H$3,0,0,'Données projet'!$E$14+1,1))</f>
        <v>308.39181291575227</v>
      </c>
      <c r="DU69" s="62">
        <f t="shared" ref="DU69:DU132" si="98">$DU$3</f>
        <v>298.58225298824334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6.8</v>
      </c>
      <c r="EJ69" s="13">
        <f>IF('Données projet'!$A$192&gt;35,EJ68+EI69-ER68,IF(A69&lt;'Données projet'!$A$192,$EG$205^A69,IF(A69='Données projet'!$A$192,'Données projet'!$B$192,EJ68+EI69-ER68)))</f>
        <v>235.79999999999993</v>
      </c>
      <c r="EK69" s="18">
        <f>EJ69*VLOOKUP('Données projet'!$B$15,Paramètres!$A$1:$I$89,3,0)*VLOOKUP('Données projet'!$B$15,Paramètres!$A$1:$I$89,5,0)</f>
        <v>228.06575999999993</v>
      </c>
      <c r="EL69" s="14">
        <f t="shared" ref="EL69:EL132" si="99">EXP(-1.0587+0.8836*LN(EK69)+0.284)</f>
        <v>55.864248276798108</v>
      </c>
      <c r="EM69" s="22">
        <f t="shared" si="73"/>
        <v>494.51143108208981</v>
      </c>
      <c r="EN69" s="62">
        <f t="shared" si="74"/>
        <v>765.02934778466761</v>
      </c>
      <c r="EO69" s="62">
        <f ca="1">AVERAGE(OFFSET($EN$3,0,0,'Données projet'!$E$15+1,1))-AVERAGE(OFFSET($H$3,0,0,'Données projet'!$E$15+1,1))</f>
        <v>487.76433095707876</v>
      </c>
      <c r="EP69" s="62">
        <f t="shared" ref="EP69:EP132" si="100">$EP$3</f>
        <v>276.24209151398361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6.8</v>
      </c>
      <c r="FE69" s="13">
        <f>IF('Données projet'!$A$218&gt;35,FE68+FD69-FM68,IF(A69&lt;'Données projet'!$A$218,$FB$205^A69,IF(A69='Données projet'!$A$218,'Données projet'!$B$218,FE68+FD69-FM68)))</f>
        <v>235.79999999999993</v>
      </c>
      <c r="FF69" s="18">
        <f>FE69*VLOOKUP('Données projet'!$B$16,Paramètres!$A$1:$I$89,3,0)*VLOOKUP('Données projet'!$B$16,Paramètres!$A$1:$I$89,5,0)</f>
        <v>253.81511999999992</v>
      </c>
      <c r="FG69" s="14">
        <f t="shared" ref="FG69:FG132" si="101">EXP(-1.0587+0.8836*LN(FF69)+0.284)</f>
        <v>61.402169885153235</v>
      </c>
      <c r="FH69" s="22">
        <f t="shared" si="76"/>
        <v>549.00344654997514</v>
      </c>
      <c r="FI69" s="62">
        <f t="shared" si="77"/>
        <v>819.52136325255299</v>
      </c>
      <c r="FJ69" s="62">
        <f ca="1">AVERAGE(OFFSET($FI$3,0,0,'Données projet'!$E$16+1,1))-AVERAGE(OFFSET($H$3,0,0,'Données projet'!$E$16+1,1))</f>
        <v>534.33392288300456</v>
      </c>
      <c r="FK69" s="62">
        <f t="shared" ref="FK69:FK132" si="102">$FK$3</f>
        <v>300.93109615735477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4.6153846153846132</v>
      </c>
      <c r="FZ69" s="13">
        <f>IF('Données projet'!$A$244&gt;35,FZ68+FY69-GH68,IF(A69&lt;'Données projet'!$A$244,$FW$205^A69,IF(A69='Données projet'!$A$244,'Données projet'!$B$244,FZ68+FY69-GH68)))</f>
        <v>227.05128205128193</v>
      </c>
      <c r="GA69" s="18">
        <f>FZ69*VLOOKUP('Données projet'!$B$17,Paramètres!$A$1:$I$89,3,0)*VLOOKUP('Données projet'!$B$17,Paramètres!$A$1:$I$89,5,0)</f>
        <v>152.3059999999999</v>
      </c>
      <c r="GB69" s="14">
        <f t="shared" ref="GB69:GB132" si="103">EXP(-1.0587+0.8836*LN(GA69)+0.284)</f>
        <v>39.102166177111755</v>
      </c>
      <c r="GC69" s="22">
        <f t="shared" si="79"/>
        <v>333.36922275846945</v>
      </c>
      <c r="GD69" s="62">
        <f t="shared" si="80"/>
        <v>603.88713946104735</v>
      </c>
      <c r="GE69" s="62">
        <f ca="1">AVERAGE(OFFSET($GD$3,0,0,'Données projet'!$E$17+1,1))-AVERAGE(OFFSET($H$3,0,0,'Données projet'!$E$17+1,1))</f>
        <v>316.17772895535211</v>
      </c>
      <c r="GF69" s="62">
        <f t="shared" ref="GF69:GF132" si="104">$GF$3</f>
        <v>251.94445589652992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63.77761364615759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3.95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14.483333333333334</v>
      </c>
      <c r="H70" s="70">
        <f t="shared" si="56"/>
        <v>198.73333333333335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8.1999999999999993</v>
      </c>
      <c r="N70" s="14">
        <f>IF('Données projet'!$A$36&gt;35,N69+M70-V69,IF(A70&lt;'Données projet'!$A$36,$K$205^A70,IF(A70='Données projet'!$A$36,'Données projet'!$B$36,N69+M70-V69)))</f>
        <v>277.39999999999998</v>
      </c>
      <c r="O70" s="14">
        <f>N70*VLOOKUP('Données projet'!$B$9,Paramètres!$A$1:$I$89,3,0)*VLOOKUP('Données projet'!$B$9,Paramètres!$A$1:$I$89,5,0)</f>
        <v>233.68176</v>
      </c>
      <c r="P70" s="14">
        <f t="shared" si="87"/>
        <v>57.078026837098335</v>
      </c>
      <c r="Q70" s="22">
        <f t="shared" si="54"/>
        <v>506.40662874127952</v>
      </c>
      <c r="R70" s="62">
        <f t="shared" si="55"/>
        <v>777.32034191477078</v>
      </c>
      <c r="S70" s="62">
        <f ca="1">AVERAGE(OFFSET($R$3,0,0,'Données projet'!$E$9+1,1))-AVERAGE(OFFSET($H$3,0,0,'Données projet'!$E$9+1,1))</f>
        <v>508.93703669150443</v>
      </c>
      <c r="T70" s="62">
        <f t="shared" si="88"/>
        <v>277.04920840696707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6.8</v>
      </c>
      <c r="AI70" s="14">
        <f>IF('Données projet'!$A$62&gt;35,AI69+AH70-AQ69,IF(A70&lt;'Données projet'!$A$62,$AF$205^A70,IF(A70='Données projet'!$A$62,'Données projet'!$B$62,AI69+AH70-AQ69)))</f>
        <v>242.59999999999994</v>
      </c>
      <c r="AJ70" s="14">
        <f>AI70*VLOOKUP('Données projet'!$B$10,Paramètres!$A$1:$I$89,3,0)*VLOOKUP('Données projet'!$B$10,Paramètres!$A$1:$I$89,5,0)</f>
        <v>219.50447999999992</v>
      </c>
      <c r="AK70" s="14">
        <f t="shared" si="89"/>
        <v>54.007172767040167</v>
      </c>
      <c r="AL70" s="22">
        <f t="shared" si="58"/>
        <v>476.36612856926143</v>
      </c>
      <c r="AM70" s="62">
        <f t="shared" si="59"/>
        <v>747.27984174275275</v>
      </c>
      <c r="AN70" s="62">
        <f ca="1">AVERAGE(OFFSET($AM$3,0,0,'Données projet'!$E$10+1,1))-AVERAGE(OFFSET($H$3,0,0,'Données projet'!$E$10+1,1))</f>
        <v>461.10503306101145</v>
      </c>
      <c r="AO70" s="62">
        <f t="shared" si="90"/>
        <v>262.10652147273288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4.4000000000000004</v>
      </c>
      <c r="BD70" s="13">
        <f>IF('Données projet'!$A$88&gt;35,BD69+BC70-BL69,IF(A70&lt;'Données projet'!$A$88,$BA$205^A70,IF(A70='Données projet'!$A$88,'Données projet'!$B$88,BD69+BC70-BL69)))</f>
        <v>314.79999999999984</v>
      </c>
      <c r="BE70" s="14">
        <f>BD70*VLOOKUP('Données projet'!$B$11,Paramètres!$A$1:$I$89,3,0)*VLOOKUP('Données projet'!$B$11,Paramètres!$A$1:$I$89,5,0)</f>
        <v>250.45487999999989</v>
      </c>
      <c r="BF70" s="14">
        <f t="shared" si="91"/>
        <v>60.683336250201052</v>
      </c>
      <c r="BG70" s="22">
        <f t="shared" si="61"/>
        <v>541.89905996909988</v>
      </c>
      <c r="BH70" s="62">
        <f t="shared" si="62"/>
        <v>812.81277314259114</v>
      </c>
      <c r="BI70" s="62">
        <f ca="1">AVERAGE(OFFSET($BH$3,0,0,'Données projet'!$E$11+1,1))-AVERAGE(OFFSET($H$3,0,0,'Données projet'!$E$11+1,1))</f>
        <v>389.67854939311752</v>
      </c>
      <c r="BJ70" s="62">
        <f t="shared" si="92"/>
        <v>420.05189970516096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7.6040000000000019</v>
      </c>
      <c r="BY70" s="13">
        <f>IF('Données projet'!$A$114&gt;35,BY69+BX70-CG69,IF(A70&lt;'Données projet'!$A$114,$BV$205^A70,IF(A70='Données projet'!$A$114,'Données projet'!$B$114,BY69+BX70-CG69)))</f>
        <v>307.42799999999949</v>
      </c>
      <c r="BZ70" s="14">
        <f>BY70*VLOOKUP('Données projet'!$B$12,Paramètres!$A$1:$I$89,3,0)*VLOOKUP('Données projet'!$B$12,Paramètres!$A$1:$I$89,5,0)</f>
        <v>175.84881599999969</v>
      </c>
      <c r="CA70" s="14">
        <f t="shared" si="93"/>
        <v>44.397373817443587</v>
      </c>
      <c r="CB70" s="22">
        <f t="shared" si="64"/>
        <v>383.5954472653803</v>
      </c>
      <c r="CC70" s="62">
        <f t="shared" si="65"/>
        <v>654.50916043887162</v>
      </c>
      <c r="CD70" s="62">
        <f ca="1">AVERAGE(OFFSET($CC$3,0,0,'Données projet'!$E$12+1,1))-AVERAGE(OFFSET($H$3,0,0,'Données projet'!$E$12+1,1))</f>
        <v>312.16891625633968</v>
      </c>
      <c r="CE70" s="62">
        <f t="shared" si="94"/>
        <v>215.34305815516177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4.3062500017380581</v>
      </c>
      <c r="CM70" s="23">
        <f>EXP(-LN(2)/2)*CM69+(1-EXP(-LN(2)/2))/(LN(2)/2)*CG70*CJ70*VLOOKUP('Données projet'!$B$12,Paramètres!$A$1:$I$89,3,0)*0.475*44/12</f>
        <v>2.1977296927319646E-5</v>
      </c>
      <c r="CN70" s="24">
        <f t="shared" si="66"/>
        <v>4.3062719790349853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5.1282051282051269</v>
      </c>
      <c r="CT70" s="13">
        <f>IF('Données projet'!$A$140&gt;35,CT69+CS70-DB69,IF(A70&lt;'Données projet'!$A$140,$CQ$205^A70,IF(A70='Données projet'!$A$140,'Données projet'!$B$140,CT69+CS70-DB69)))</f>
        <v>260.89743589743574</v>
      </c>
      <c r="CU70" s="18">
        <f>CT70*VLOOKUP('Données projet'!$B$13,Paramètres!$A$1:$I$89,3,0)*VLOOKUP('Données projet'!$B$13,Paramètres!$A$1:$I$89,5,0)</f>
        <v>175.00999999999991</v>
      </c>
      <c r="CV70" s="14">
        <f t="shared" si="95"/>
        <v>44.210193140944149</v>
      </c>
      <c r="CW70" s="22">
        <f t="shared" si="67"/>
        <v>381.80850305381085</v>
      </c>
      <c r="CX70" s="62">
        <f t="shared" si="68"/>
        <v>652.72221622730217</v>
      </c>
      <c r="CY70" s="62">
        <f ca="1">AVERAGE(OFFSET($CX$3,0,0,'Données projet'!$E$13+1,1))-AVERAGE(OFFSET($H$3,0,0,'Données projet'!$E$13+1,1))</f>
        <v>369.04754428478793</v>
      </c>
      <c r="CZ70" s="62">
        <f t="shared" si="96"/>
        <v>277.00523259351712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8.6666666666666661</v>
      </c>
      <c r="DO70" s="13">
        <f>IF('Données projet'!$A$166&gt;35,DO69+DN70-DW69,IF(A70&lt;'Données projet'!$A$166,$DL$205^A70,IF(A70='Données projet'!$A$166,'Données projet'!$B$166,DO69+DN70-DW69)))</f>
        <v>310.66666666666674</v>
      </c>
      <c r="DP70" s="18">
        <f>DO70*VLOOKUP('Données projet'!$B$14,Paramètres!$A$1:$I$89,3,0)*VLOOKUP('Données projet'!$B$14,Paramètres!$A$1:$I$89,5,0)</f>
        <v>242.32000000000008</v>
      </c>
      <c r="DQ70" s="14">
        <f t="shared" si="97"/>
        <v>58.938409961900909</v>
      </c>
      <c r="DR70" s="22">
        <f t="shared" si="70"/>
        <v>524.69173068364421</v>
      </c>
      <c r="DS70" s="62">
        <f t="shared" si="71"/>
        <v>795.60544385713547</v>
      </c>
      <c r="DT70" s="62">
        <f ca="1">AVERAGE(OFFSET($DS$3,0,0,'Données projet'!$E$14+1,1))-AVERAGE(OFFSET($H$3,0,0,'Données projet'!$E$14+1,1))</f>
        <v>308.39181291575227</v>
      </c>
      <c r="DU70" s="62">
        <f t="shared" si="98"/>
        <v>298.58225298824334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6.8</v>
      </c>
      <c r="EJ70" s="13">
        <f>IF('Données projet'!$A$192&gt;35,EJ69+EI70-ER69,IF(A70&lt;'Données projet'!$A$192,$EG$205^A70,IF(A70='Données projet'!$A$192,'Données projet'!$B$192,EJ69+EI70-ER69)))</f>
        <v>242.59999999999994</v>
      </c>
      <c r="EK70" s="18">
        <f>EJ70*VLOOKUP('Données projet'!$B$15,Paramètres!$A$1:$I$89,3,0)*VLOOKUP('Données projet'!$B$15,Paramètres!$A$1:$I$89,5,0)</f>
        <v>234.64271999999994</v>
      </c>
      <c r="EL70" s="14">
        <f t="shared" si="99"/>
        <v>57.285375557336316</v>
      </c>
      <c r="EM70" s="22">
        <f t="shared" si="73"/>
        <v>508.44143309569387</v>
      </c>
      <c r="EN70" s="62">
        <f t="shared" si="74"/>
        <v>779.35514626918518</v>
      </c>
      <c r="EO70" s="62">
        <f ca="1">AVERAGE(OFFSET($EN$3,0,0,'Données projet'!$E$15+1,1))-AVERAGE(OFFSET($H$3,0,0,'Données projet'!$E$15+1,1))</f>
        <v>487.76433095707876</v>
      </c>
      <c r="EP70" s="62">
        <f t="shared" si="100"/>
        <v>276.24209151398361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6.8</v>
      </c>
      <c r="FE70" s="13">
        <f>IF('Données projet'!$A$218&gt;35,FE69+FD70-FM69,IF(A70&lt;'Données projet'!$A$218,$FB$205^A70,IF(A70='Données projet'!$A$218,'Données projet'!$B$218,FE69+FD70-FM69)))</f>
        <v>242.59999999999994</v>
      </c>
      <c r="FF70" s="18">
        <f>FE70*VLOOKUP('Données projet'!$B$16,Paramètres!$A$1:$I$89,3,0)*VLOOKUP('Données projet'!$B$16,Paramètres!$A$1:$I$89,5,0)</f>
        <v>261.13463999999993</v>
      </c>
      <c r="FG70" s="14">
        <f t="shared" si="101"/>
        <v>62.964176023241265</v>
      </c>
      <c r="FH70" s="22">
        <f t="shared" si="76"/>
        <v>564.47210457381163</v>
      </c>
      <c r="FI70" s="62">
        <f t="shared" si="77"/>
        <v>835.38581774730301</v>
      </c>
      <c r="FJ70" s="62">
        <f ca="1">AVERAGE(OFFSET($FI$3,0,0,'Données projet'!$E$16+1,1))-AVERAGE(OFFSET($H$3,0,0,'Données projet'!$E$16+1,1))</f>
        <v>534.33392288300456</v>
      </c>
      <c r="FK70" s="62">
        <f t="shared" si="102"/>
        <v>300.93109615735477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4.6153846153846132</v>
      </c>
      <c r="FZ70" s="13">
        <f>IF('Données projet'!$A$244&gt;35,FZ69+FY70-GH69,IF(A70&lt;'Données projet'!$A$244,$FW$205^A70,IF(A70='Données projet'!$A$244,'Données projet'!$B$244,FZ69+FY70-GH69)))</f>
        <v>231.66666666666654</v>
      </c>
      <c r="GA70" s="18">
        <f>FZ70*VLOOKUP('Données projet'!$B$17,Paramètres!$A$1:$I$89,3,0)*VLOOKUP('Données projet'!$B$17,Paramètres!$A$1:$I$89,5,0)</f>
        <v>155.40199999999993</v>
      </c>
      <c r="GB70" s="14">
        <f t="shared" si="103"/>
        <v>39.8036702759901</v>
      </c>
      <c r="GC70" s="22">
        <f t="shared" si="79"/>
        <v>339.98320906401597</v>
      </c>
      <c r="GD70" s="62">
        <f t="shared" si="80"/>
        <v>610.89692223750728</v>
      </c>
      <c r="GE70" s="62">
        <f ca="1">AVERAGE(OFFSET($GD$3,0,0,'Données projet'!$E$17+1,1))-AVERAGE(OFFSET($H$3,0,0,'Données projet'!$E$17+1,1))</f>
        <v>316.17772895535211</v>
      </c>
      <c r="GF70" s="62">
        <f t="shared" si="104"/>
        <v>251.94445589652992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63.885558138224908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3.95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14.483333333333334</v>
      </c>
      <c r="H71" s="70">
        <f t="shared" si="56"/>
        <v>198.73333333333335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8.1999999999999993</v>
      </c>
      <c r="N71" s="14">
        <f>IF('Données projet'!$A$36&gt;35,N70+M71-V70,IF(A71&lt;'Données projet'!$A$36,$K$205^A71,IF(A71='Données projet'!$A$36,'Données projet'!$B$36,N70+M71-V70)))</f>
        <v>285.59999999999997</v>
      </c>
      <c r="O71" s="14">
        <f>N71*VLOOKUP('Données projet'!$B$9,Paramètres!$A$1:$I$89,3,0)*VLOOKUP('Données projet'!$B$9,Paramètres!$A$1:$I$89,5,0)</f>
        <v>240.58944</v>
      </c>
      <c r="P71" s="14">
        <f t="shared" si="87"/>
        <v>58.56633325847811</v>
      </c>
      <c r="Q71" s="22">
        <f t="shared" si="54"/>
        <v>521.02963842518272</v>
      </c>
      <c r="R71" s="62">
        <f t="shared" si="55"/>
        <v>792.33228188568557</v>
      </c>
      <c r="S71" s="62">
        <f ca="1">AVERAGE(OFFSET($R$3,0,0,'Données projet'!$E$9+1,1))-AVERAGE(OFFSET($H$3,0,0,'Données projet'!$E$9+1,1))</f>
        <v>508.93703669150443</v>
      </c>
      <c r="T71" s="62">
        <f t="shared" si="88"/>
        <v>277.04920840696707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6.8</v>
      </c>
      <c r="AI71" s="14">
        <f>IF('Données projet'!$A$62&gt;35,AI70+AH71-AQ70,IF(A71&lt;'Données projet'!$A$62,$AF$205^A71,IF(A71='Données projet'!$A$62,'Données projet'!$B$62,AI70+AH71-AQ70)))</f>
        <v>249.39999999999995</v>
      </c>
      <c r="AJ71" s="14">
        <f>AI71*VLOOKUP('Données projet'!$B$10,Paramètres!$A$1:$I$89,3,0)*VLOOKUP('Données projet'!$B$10,Paramètres!$A$1:$I$89,5,0)</f>
        <v>225.65711999999994</v>
      </c>
      <c r="AK71" s="14">
        <f t="shared" si="89"/>
        <v>55.342610076561513</v>
      </c>
      <c r="AL71" s="22">
        <f t="shared" si="58"/>
        <v>489.40786321667775</v>
      </c>
      <c r="AM71" s="62">
        <f t="shared" si="59"/>
        <v>760.71050667718055</v>
      </c>
      <c r="AN71" s="62">
        <f ca="1">AVERAGE(OFFSET($AM$3,0,0,'Données projet'!$E$10+1,1))-AVERAGE(OFFSET($H$3,0,0,'Données projet'!$E$10+1,1))</f>
        <v>461.10503306101145</v>
      </c>
      <c r="AO71" s="62">
        <f t="shared" si="90"/>
        <v>262.10652147273288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4.4000000000000004</v>
      </c>
      <c r="BD71" s="13">
        <f>IF('Données projet'!$A$88&gt;35,BD70+BC71-BL70,IF(A71&lt;'Données projet'!$A$88,$BA$205^A71,IF(A71='Données projet'!$A$88,'Données projet'!$B$88,BD70+BC71-BL70)))</f>
        <v>319.19999999999982</v>
      </c>
      <c r="BE71" s="14">
        <f>BD71*VLOOKUP('Données projet'!$B$11,Paramètres!$A$1:$I$89,3,0)*VLOOKUP('Données projet'!$B$11,Paramètres!$A$1:$I$89,5,0)</f>
        <v>253.95551999999986</v>
      </c>
      <c r="BF71" s="14">
        <f t="shared" si="91"/>
        <v>61.432180511879253</v>
      </c>
      <c r="BG71" s="22">
        <f t="shared" si="61"/>
        <v>549.30024505818949</v>
      </c>
      <c r="BH71" s="62">
        <f t="shared" si="62"/>
        <v>820.60288851869234</v>
      </c>
      <c r="BI71" s="62">
        <f ca="1">AVERAGE(OFFSET($BH$3,0,0,'Données projet'!$E$11+1,1))-AVERAGE(OFFSET($H$3,0,0,'Données projet'!$E$11+1,1))</f>
        <v>389.67854939311752</v>
      </c>
      <c r="BJ71" s="62">
        <f t="shared" si="92"/>
        <v>420.05189970516096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7.6040000000000019</v>
      </c>
      <c r="BY71" s="13">
        <f>IF('Données projet'!$A$114&gt;35,BY70+BX71-CG70,IF(A71&lt;'Données projet'!$A$114,$BV$205^A71,IF(A71='Données projet'!$A$114,'Données projet'!$B$114,BY70+BX71-CG70)))</f>
        <v>315.03199999999947</v>
      </c>
      <c r="BZ71" s="14">
        <f>BY71*VLOOKUP('Données projet'!$B$12,Paramètres!$A$1:$I$89,3,0)*VLOOKUP('Données projet'!$B$12,Paramètres!$A$1:$I$89,5,0)</f>
        <v>180.19830399999972</v>
      </c>
      <c r="CA71" s="14">
        <f t="shared" si="93"/>
        <v>45.366302325354525</v>
      </c>
      <c r="CB71" s="22">
        <f t="shared" si="64"/>
        <v>392.85835601665866</v>
      </c>
      <c r="CC71" s="62">
        <f t="shared" si="65"/>
        <v>664.16099947716157</v>
      </c>
      <c r="CD71" s="62">
        <f ca="1">AVERAGE(OFFSET($CC$3,0,0,'Données projet'!$E$12+1,1))-AVERAGE(OFFSET($H$3,0,0,'Données projet'!$E$12+1,1))</f>
        <v>312.16891625633968</v>
      </c>
      <c r="CE71" s="62">
        <f t="shared" si="94"/>
        <v>215.34305815516177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4.1884953689846851</v>
      </c>
      <c r="CM71" s="23">
        <f>EXP(-LN(2)/2)*CM70+(1-EXP(-LN(2)/2))/(LN(2)/2)*CG71*CJ71*VLOOKUP('Données projet'!$B$12,Paramètres!$A$1:$I$89,3,0)*0.475*44/12</f>
        <v>1.5540295689457996E-5</v>
      </c>
      <c r="CN71" s="24">
        <f t="shared" si="66"/>
        <v>4.1885109092803745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5.1282051282051269</v>
      </c>
      <c r="CT71" s="13">
        <f>IF('Données projet'!$A$140&gt;35,CT70+CS71-DB70,IF(A71&lt;'Données projet'!$A$140,$CQ$205^A71,IF(A71='Données projet'!$A$140,'Données projet'!$B$140,CT70+CS71-DB70)))</f>
        <v>266.02564102564088</v>
      </c>
      <c r="CU71" s="18">
        <f>CT71*VLOOKUP('Données projet'!$B$13,Paramètres!$A$1:$I$89,3,0)*VLOOKUP('Données projet'!$B$13,Paramètres!$A$1:$I$89,5,0)</f>
        <v>178.4499999999999</v>
      </c>
      <c r="CV71" s="14">
        <f t="shared" si="95"/>
        <v>44.9771663417241</v>
      </c>
      <c r="CW71" s="22">
        <f t="shared" si="67"/>
        <v>389.13564804516926</v>
      </c>
      <c r="CX71" s="62">
        <f t="shared" si="68"/>
        <v>660.43829150567217</v>
      </c>
      <c r="CY71" s="62">
        <f ca="1">AVERAGE(OFFSET($CX$3,0,0,'Données projet'!$E$13+1,1))-AVERAGE(OFFSET($H$3,0,0,'Données projet'!$E$13+1,1))</f>
        <v>369.04754428478793</v>
      </c>
      <c r="CZ71" s="62">
        <f t="shared" si="96"/>
        <v>277.00523259351712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8.6666666666666661</v>
      </c>
      <c r="DO71" s="13">
        <f>IF('Données projet'!$A$166&gt;35,DO70+DN71-DW70,IF(A71&lt;'Données projet'!$A$166,$DL$205^A71,IF(A71='Données projet'!$A$166,'Données projet'!$B$166,DO70+DN71-DW70)))</f>
        <v>319.33333333333343</v>
      </c>
      <c r="DP71" s="18">
        <f>DO71*VLOOKUP('Données projet'!$B$14,Paramètres!$A$1:$I$89,3,0)*VLOOKUP('Données projet'!$B$14,Paramètres!$A$1:$I$89,5,0)</f>
        <v>249.08000000000007</v>
      </c>
      <c r="DQ71" s="14">
        <f t="shared" si="97"/>
        <v>60.388894447487807</v>
      </c>
      <c r="DR71" s="22">
        <f t="shared" si="70"/>
        <v>538.99165782937473</v>
      </c>
      <c r="DS71" s="62">
        <f t="shared" si="71"/>
        <v>810.29430128987758</v>
      </c>
      <c r="DT71" s="62">
        <f ca="1">AVERAGE(OFFSET($DS$3,0,0,'Données projet'!$E$14+1,1))-AVERAGE(OFFSET($H$3,0,0,'Données projet'!$E$14+1,1))</f>
        <v>308.39181291575227</v>
      </c>
      <c r="DU71" s="62">
        <f t="shared" si="98"/>
        <v>298.58225298824334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6.8</v>
      </c>
      <c r="EJ71" s="13">
        <f>IF('Données projet'!$A$192&gt;35,EJ70+EI71-ER70,IF(A71&lt;'Données projet'!$A$192,$EG$205^A71,IF(A71='Données projet'!$A$192,'Données projet'!$B$192,EJ70+EI71-ER70)))</f>
        <v>249.39999999999995</v>
      </c>
      <c r="EK71" s="18">
        <f>EJ71*VLOOKUP('Données projet'!$B$15,Paramètres!$A$1:$I$89,3,0)*VLOOKUP('Données projet'!$B$15,Paramètres!$A$1:$I$89,5,0)</f>
        <v>241.21967999999995</v>
      </c>
      <c r="EL71" s="14">
        <f t="shared" si="99"/>
        <v>58.701873105526744</v>
      </c>
      <c r="EM71" s="22">
        <f t="shared" si="73"/>
        <v>522.36337165879229</v>
      </c>
      <c r="EN71" s="62">
        <f t="shared" si="74"/>
        <v>793.66601511929514</v>
      </c>
      <c r="EO71" s="62">
        <f ca="1">AVERAGE(OFFSET($EN$3,0,0,'Données projet'!$E$15+1,1))-AVERAGE(OFFSET($H$3,0,0,'Données projet'!$E$15+1,1))</f>
        <v>487.76433095707876</v>
      </c>
      <c r="EP71" s="62">
        <f t="shared" si="100"/>
        <v>276.24209151398361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6.8</v>
      </c>
      <c r="FE71" s="13">
        <f>IF('Données projet'!$A$218&gt;35,FE70+FD71-FM70,IF(A71&lt;'Données projet'!$A$218,$FB$205^A71,IF(A71='Données projet'!$A$218,'Données projet'!$B$218,FE70+FD71-FM70)))</f>
        <v>249.39999999999995</v>
      </c>
      <c r="FF71" s="18">
        <f>FE71*VLOOKUP('Données projet'!$B$16,Paramètres!$A$1:$I$89,3,0)*VLOOKUP('Données projet'!$B$16,Paramètres!$A$1:$I$89,5,0)</f>
        <v>268.45415999999994</v>
      </c>
      <c r="FG71" s="14">
        <f t="shared" si="101"/>
        <v>64.521093475436089</v>
      </c>
      <c r="FH71" s="22">
        <f t="shared" si="76"/>
        <v>579.93189980305101</v>
      </c>
      <c r="FI71" s="62">
        <f t="shared" si="77"/>
        <v>851.23454326355386</v>
      </c>
      <c r="FJ71" s="62">
        <f ca="1">AVERAGE(OFFSET($FI$3,0,0,'Données projet'!$E$16+1,1))-AVERAGE(OFFSET($H$3,0,0,'Données projet'!$E$16+1,1))</f>
        <v>534.33392288300456</v>
      </c>
      <c r="FK71" s="62">
        <f t="shared" si="102"/>
        <v>300.93109615735477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4.6153846153846132</v>
      </c>
      <c r="FZ71" s="13">
        <f>IF('Données projet'!$A$244&gt;35,FZ70+FY71-GH70,IF(A71&lt;'Données projet'!$A$244,$FW$205^A71,IF(A71='Données projet'!$A$244,'Données projet'!$B$244,FZ70+FY71-GH70)))</f>
        <v>236.28205128205116</v>
      </c>
      <c r="GA71" s="18">
        <f>FZ71*VLOOKUP('Données projet'!$B$17,Paramètres!$A$1:$I$89,3,0)*VLOOKUP('Données projet'!$B$17,Paramètres!$A$1:$I$89,5,0)</f>
        <v>158.49799999999993</v>
      </c>
      <c r="GB71" s="14">
        <f t="shared" si="103"/>
        <v>40.503549370816764</v>
      </c>
      <c r="GC71" s="22">
        <f t="shared" si="79"/>
        <v>346.59436515417241</v>
      </c>
      <c r="GD71" s="62">
        <f t="shared" si="80"/>
        <v>617.89700861467531</v>
      </c>
      <c r="GE71" s="62">
        <f ca="1">AVERAGE(OFFSET($GD$3,0,0,'Données projet'!$E$17+1,1))-AVERAGE(OFFSET($H$3,0,0,'Données projet'!$E$17+1,1))</f>
        <v>316.17772895535211</v>
      </c>
      <c r="GF71" s="62">
        <f t="shared" si="104"/>
        <v>251.94445589652992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63.991630034682601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3.95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14.483333333333334</v>
      </c>
      <c r="H72" s="70">
        <f t="shared" si="56"/>
        <v>198.73333333333335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8.1999999999999993</v>
      </c>
      <c r="N72" s="14">
        <f>IF('Données projet'!$A$36&gt;35,N71+M72-V71,IF(A72&lt;'Données projet'!$A$36,$K$205^A72,IF(A72='Données projet'!$A$36,'Données projet'!$B$36,N71+M72-V71)))</f>
        <v>293.79999999999995</v>
      </c>
      <c r="O72" s="14">
        <f>N72*VLOOKUP('Données projet'!$B$9,Paramètres!$A$1:$I$89,3,0)*VLOOKUP('Données projet'!$B$9,Paramètres!$A$1:$I$89,5,0)</f>
        <v>247.49712</v>
      </c>
      <c r="P72" s="14">
        <f t="shared" si="87"/>
        <v>60.049673316050104</v>
      </c>
      <c r="Q72" s="22">
        <f t="shared" si="54"/>
        <v>535.64399835878714</v>
      </c>
      <c r="R72" s="62">
        <f t="shared" si="55"/>
        <v>807.32882503533972</v>
      </c>
      <c r="S72" s="62">
        <f ca="1">AVERAGE(OFFSET($R$3,0,0,'Données projet'!$E$9+1,1))-AVERAGE(OFFSET($H$3,0,0,'Données projet'!$E$9+1,1))</f>
        <v>508.93703669150443</v>
      </c>
      <c r="T72" s="62">
        <f t="shared" si="88"/>
        <v>277.04920840696707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6.8</v>
      </c>
      <c r="AI72" s="14">
        <f>IF('Données projet'!$A$62&gt;35,AI71+AH72-AQ71,IF(A72&lt;'Données projet'!$A$62,$AF$205^A72,IF(A72='Données projet'!$A$62,'Données projet'!$B$62,AI71+AH72-AQ71)))</f>
        <v>256.19999999999993</v>
      </c>
      <c r="AJ72" s="14">
        <f>AI72*VLOOKUP('Données projet'!$B$10,Paramètres!$A$1:$I$89,3,0)*VLOOKUP('Données projet'!$B$10,Paramètres!$A$1:$I$89,5,0)</f>
        <v>231.80975999999993</v>
      </c>
      <c r="AK72" s="14">
        <f t="shared" si="89"/>
        <v>56.673815277159328</v>
      </c>
      <c r="AL72" s="22">
        <f t="shared" si="58"/>
        <v>502.44222694105241</v>
      </c>
      <c r="AM72" s="62">
        <f t="shared" si="59"/>
        <v>774.12705361760504</v>
      </c>
      <c r="AN72" s="62">
        <f ca="1">AVERAGE(OFFSET($AM$3,0,0,'Données projet'!$E$10+1,1))-AVERAGE(OFFSET($H$3,0,0,'Données projet'!$E$10+1,1))</f>
        <v>461.10503306101145</v>
      </c>
      <c r="AO72" s="62">
        <f t="shared" si="90"/>
        <v>262.10652147273288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4.4000000000000004</v>
      </c>
      <c r="BD72" s="13">
        <f>IF('Données projet'!$A$88&gt;35,BD71+BC72-BL71,IF(A72&lt;'Données projet'!$A$88,$BA$205^A72,IF(A72='Données projet'!$A$88,'Données projet'!$B$88,BD71+BC72-BL71)))</f>
        <v>323.5999999999998</v>
      </c>
      <c r="BE72" s="14">
        <f>BD72*VLOOKUP('Données projet'!$B$11,Paramètres!$A$1:$I$89,3,0)*VLOOKUP('Données projet'!$B$11,Paramètres!$A$1:$I$89,5,0)</f>
        <v>257.45615999999984</v>
      </c>
      <c r="BF72" s="14">
        <f t="shared" si="91"/>
        <v>62.179824167708126</v>
      </c>
      <c r="BG72" s="22">
        <f t="shared" si="61"/>
        <v>556.69933909209135</v>
      </c>
      <c r="BH72" s="62">
        <f t="shared" si="62"/>
        <v>828.38416576864392</v>
      </c>
      <c r="BI72" s="62">
        <f ca="1">AVERAGE(OFFSET($BH$3,0,0,'Données projet'!$E$11+1,1))-AVERAGE(OFFSET($H$3,0,0,'Données projet'!$E$11+1,1))</f>
        <v>389.67854939311752</v>
      </c>
      <c r="BJ72" s="62">
        <f t="shared" si="92"/>
        <v>420.05189970516096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7.6040000000000019</v>
      </c>
      <c r="BY72" s="13">
        <f>IF('Données projet'!$A$114&gt;35,BY71+BX72-CG71,IF(A72&lt;'Données projet'!$A$114,$BV$205^A72,IF(A72='Données projet'!$A$114,'Données projet'!$B$114,BY71+BX72-CG71)))</f>
        <v>322.63599999999946</v>
      </c>
      <c r="BZ72" s="14">
        <f>BY72*VLOOKUP('Données projet'!$B$12,Paramètres!$A$1:$I$89,3,0)*VLOOKUP('Données projet'!$B$12,Paramètres!$A$1:$I$89,5,0)</f>
        <v>184.5477919999997</v>
      </c>
      <c r="CA72" s="14">
        <f t="shared" si="93"/>
        <v>46.332512098914862</v>
      </c>
      <c r="CB72" s="22">
        <f t="shared" si="64"/>
        <v>402.11652963894284</v>
      </c>
      <c r="CC72" s="62">
        <f t="shared" si="65"/>
        <v>673.80135631549547</v>
      </c>
      <c r="CD72" s="62">
        <f ca="1">AVERAGE(OFFSET($CC$3,0,0,'Données projet'!$E$12+1,1))-AVERAGE(OFFSET($H$3,0,0,'Données projet'!$E$12+1,1))</f>
        <v>312.16891625633968</v>
      </c>
      <c r="CE72" s="62">
        <f t="shared" si="94"/>
        <v>215.34305815516177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4.0739607428564</v>
      </c>
      <c r="CM72" s="23">
        <f>EXP(-LN(2)/2)*CM71+(1-EXP(-LN(2)/2))/(LN(2)/2)*CG72*CJ72*VLOOKUP('Données projet'!$B$12,Paramètres!$A$1:$I$89,3,0)*0.475*44/12</f>
        <v>1.0988648463659823E-5</v>
      </c>
      <c r="CN72" s="24">
        <f t="shared" si="66"/>
        <v>4.073971731504864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5.1282051282051269</v>
      </c>
      <c r="CT72" s="13">
        <f>IF('Données projet'!$A$140&gt;35,CT71+CS72-DB71,IF(A72&lt;'Données projet'!$A$140,$CQ$205^A72,IF(A72='Données projet'!$A$140,'Données projet'!$B$140,CT71+CS72-DB71)))</f>
        <v>271.15384615384602</v>
      </c>
      <c r="CU72" s="18">
        <f>CT72*VLOOKUP('Données projet'!$B$13,Paramètres!$A$1:$I$89,3,0)*VLOOKUP('Données projet'!$B$13,Paramètres!$A$1:$I$89,5,0)</f>
        <v>181.8899999999999</v>
      </c>
      <c r="CV72" s="14">
        <f t="shared" si="95"/>
        <v>45.742420382341599</v>
      </c>
      <c r="CW72" s="22">
        <f t="shared" si="67"/>
        <v>396.45979883257809</v>
      </c>
      <c r="CX72" s="62">
        <f t="shared" si="68"/>
        <v>668.14462550913072</v>
      </c>
      <c r="CY72" s="62">
        <f ca="1">AVERAGE(OFFSET($CX$3,0,0,'Données projet'!$E$13+1,1))-AVERAGE(OFFSET($H$3,0,0,'Données projet'!$E$13+1,1))</f>
        <v>369.04754428478793</v>
      </c>
      <c r="CZ72" s="62">
        <f t="shared" si="96"/>
        <v>277.00523259351712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>
        <f>VLOOKUP(A72,'Données projet'!$A$165:$I$185,2,0)</f>
        <v>328</v>
      </c>
      <c r="DM72" s="13">
        <f>VLOOKUP(A72,'Données projet'!$A$165:$I$185,9,0)</f>
        <v>8.6666666666666661</v>
      </c>
      <c r="DN72" s="13">
        <f t="array" ref="DN72">INDEX(DM:DM,MIN(IF(ISNUMBER(DM72:DM268),ROW(DM72:DM268),"")))</f>
        <v>8.6666666666666661</v>
      </c>
      <c r="DO72" s="13">
        <f>IF('Données projet'!$A$166&gt;35,DO71+DN72-DW71,IF(A72&lt;'Données projet'!$A$166,$DL$205^A72,IF(A72='Données projet'!$A$166,'Données projet'!$B$166,DO71+DN72-DW71)))</f>
        <v>328.00000000000011</v>
      </c>
      <c r="DP72" s="18">
        <f>DO72*VLOOKUP('Données projet'!$B$14,Paramètres!$A$1:$I$89,3,0)*VLOOKUP('Données projet'!$B$14,Paramètres!$A$1:$I$89,5,0)</f>
        <v>255.84000000000009</v>
      </c>
      <c r="DQ72" s="14">
        <f t="shared" si="97"/>
        <v>61.834803371075836</v>
      </c>
      <c r="DR72" s="22">
        <f t="shared" si="70"/>
        <v>553.28361587129064</v>
      </c>
      <c r="DS72" s="62">
        <f t="shared" si="71"/>
        <v>824.96844254784321</v>
      </c>
      <c r="DT72" s="62">
        <f ca="1">AVERAGE(OFFSET($DS$3,0,0,'Données projet'!$E$14+1,1))-AVERAGE(OFFSET($H$3,0,0,'Données projet'!$E$14+1,1))</f>
        <v>308.39181291575227</v>
      </c>
      <c r="DU72" s="62">
        <f t="shared" si="98"/>
        <v>298.58225298824334</v>
      </c>
      <c r="DV72" s="16">
        <f>IF(ISNA(VLOOKUP(A72,'Données projet'!$A$165:$I$185,3,0)),0,VLOOKUP(A72,'Données projet'!$A$165:$I$185,3,0))</f>
        <v>7</v>
      </c>
      <c r="DW72" s="16">
        <f>IF(ISNA(VLOOKUP(A72,'Données projet'!$A$165:$I$185,4,0)),0,VLOOKUP(A72,'Données projet'!$A$165:$I$185,4,0))</f>
        <v>328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6.8</v>
      </c>
      <c r="EJ72" s="13">
        <f>IF('Données projet'!$A$192&gt;35,EJ71+EI72-ER71,IF(A72&lt;'Données projet'!$A$192,$EG$205^A72,IF(A72='Données projet'!$A$192,'Données projet'!$B$192,EJ71+EI72-ER71)))</f>
        <v>256.19999999999993</v>
      </c>
      <c r="EK72" s="18">
        <f>EJ72*VLOOKUP('Données projet'!$B$15,Paramètres!$A$1:$I$89,3,0)*VLOOKUP('Données projet'!$B$15,Paramètres!$A$1:$I$89,5,0)</f>
        <v>247.79663999999997</v>
      </c>
      <c r="EL72" s="14">
        <f t="shared" si="99"/>
        <v>60.113881658336368</v>
      </c>
      <c r="EM72" s="22">
        <f t="shared" si="73"/>
        <v>536.27749188826908</v>
      </c>
      <c r="EN72" s="62">
        <f t="shared" si="74"/>
        <v>807.96231856482166</v>
      </c>
      <c r="EO72" s="62">
        <f ca="1">AVERAGE(OFFSET($EN$3,0,0,'Données projet'!$E$15+1,1))-AVERAGE(OFFSET($H$3,0,0,'Données projet'!$E$15+1,1))</f>
        <v>487.76433095707876</v>
      </c>
      <c r="EP72" s="62">
        <f t="shared" si="100"/>
        <v>276.24209151398361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6.8</v>
      </c>
      <c r="FE72" s="13">
        <f>IF('Données projet'!$A$218&gt;35,FE71+FD72-FM71,IF(A72&lt;'Données projet'!$A$218,$FB$205^A72,IF(A72='Données projet'!$A$218,'Données projet'!$B$218,FE71+FD72-FM71)))</f>
        <v>256.19999999999993</v>
      </c>
      <c r="FF72" s="18">
        <f>FE72*VLOOKUP('Données projet'!$B$16,Paramètres!$A$1:$I$89,3,0)*VLOOKUP('Données projet'!$B$16,Paramètres!$A$1:$I$89,5,0)</f>
        <v>275.7736799999999</v>
      </c>
      <c r="FG72" s="14">
        <f t="shared" si="101"/>
        <v>66.073076930208813</v>
      </c>
      <c r="FH72" s="22">
        <f t="shared" si="76"/>
        <v>595.38310165344672</v>
      </c>
      <c r="FI72" s="62">
        <f t="shared" si="77"/>
        <v>867.06792832999929</v>
      </c>
      <c r="FJ72" s="62">
        <f ca="1">AVERAGE(OFFSET($FI$3,0,0,'Données projet'!$E$16+1,1))-AVERAGE(OFFSET($H$3,0,0,'Données projet'!$E$16+1,1))</f>
        <v>534.33392288300456</v>
      </c>
      <c r="FK72" s="62">
        <f t="shared" si="102"/>
        <v>300.93109615735477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4.6153846153846132</v>
      </c>
      <c r="FZ72" s="13">
        <f>IF('Données projet'!$A$244&gt;35,FZ71+FY72-GH71,IF(A72&lt;'Données projet'!$A$244,$FW$205^A72,IF(A72='Données projet'!$A$244,'Données projet'!$B$244,FZ71+FY72-GH71)))</f>
        <v>240.89743589743577</v>
      </c>
      <c r="GA72" s="18">
        <f>FZ72*VLOOKUP('Données projet'!$B$17,Paramètres!$A$1:$I$89,3,0)*VLOOKUP('Données projet'!$B$17,Paramètres!$A$1:$I$89,5,0)</f>
        <v>161.59399999999991</v>
      </c>
      <c r="GB72" s="14">
        <f t="shared" si="103"/>
        <v>41.201838862429668</v>
      </c>
      <c r="GC72" s="22">
        <f t="shared" si="79"/>
        <v>353.20275268539814</v>
      </c>
      <c r="GD72" s="62">
        <f t="shared" si="80"/>
        <v>624.88757936195066</v>
      </c>
      <c r="GE72" s="62">
        <f ca="1">AVERAGE(OFFSET($GD$3,0,0,'Données projet'!$E$17+1,1))-AVERAGE(OFFSET($H$3,0,0,'Données projet'!$E$17+1,1))</f>
        <v>316.17772895535211</v>
      </c>
      <c r="GF72" s="62">
        <f t="shared" si="104"/>
        <v>251.94445589652992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64.095861820877971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3.95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14.483333333333334</v>
      </c>
      <c r="H73" s="70">
        <f t="shared" si="56"/>
        <v>198.73333333333335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302</v>
      </c>
      <c r="L73" s="13">
        <f>VLOOKUP(A73,'Données projet'!$A$35:$I$55,9,0)</f>
        <v>8.1999999999999993</v>
      </c>
      <c r="M73" s="13">
        <f t="array" ref="M73">INDEX(L:L,MIN(IF(ISNUMBER(L73:L269),ROW(L73:L269),"")))</f>
        <v>8.1999999999999993</v>
      </c>
      <c r="N73" s="14">
        <f>IF('Données projet'!$A$36&gt;35,N72+M73-V72,IF(A73&lt;'Données projet'!$A$36,$K$205^A73,IF(A73='Données projet'!$A$36,'Données projet'!$B$36,N72+M73-V72)))</f>
        <v>301.99999999999994</v>
      </c>
      <c r="O73" s="14">
        <f>N73*VLOOKUP('Données projet'!$B$9,Paramètres!$A$1:$I$89,3,0)*VLOOKUP('Données projet'!$B$9,Paramètres!$A$1:$I$89,5,0)</f>
        <v>254.40479999999999</v>
      </c>
      <c r="P73" s="14">
        <f t="shared" si="87"/>
        <v>61.52820154571765</v>
      </c>
      <c r="Q73" s="22">
        <f t="shared" si="54"/>
        <v>550.24997769212484</v>
      </c>
      <c r="R73" s="62">
        <f t="shared" si="55"/>
        <v>822.31035756036226</v>
      </c>
      <c r="S73" s="62">
        <f ca="1">AVERAGE(OFFSET($R$3,0,0,'Données projet'!$E$9+1,1))-AVERAGE(OFFSET($H$3,0,0,'Données projet'!$E$9+1,1))</f>
        <v>508.93703669150443</v>
      </c>
      <c r="T73" s="62">
        <f t="shared" si="88"/>
        <v>277.04920840696707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263</v>
      </c>
      <c r="AG73" s="13">
        <f>VLOOKUP(A73,'Données projet'!$A$61:$I$81,9,0)</f>
        <v>6.8</v>
      </c>
      <c r="AH73" s="13">
        <f t="array" ref="AH73">INDEX(AG:AG,MIN(IF(ISNUMBER(AG73:AG269),ROW(AG73:AG269),"")))</f>
        <v>6.8</v>
      </c>
      <c r="AI73" s="14">
        <f>IF('Données projet'!$A$62&gt;35,AI72+AH73-AQ72,IF(A73&lt;'Données projet'!$A$62,$AF$205^A73,IF(A73='Données projet'!$A$62,'Données projet'!$B$62,AI72+AH73-AQ72)))</f>
        <v>262.99999999999994</v>
      </c>
      <c r="AJ73" s="14">
        <f>AI73*VLOOKUP('Données projet'!$B$10,Paramètres!$A$1:$I$89,3,0)*VLOOKUP('Données projet'!$B$10,Paramètres!$A$1:$I$89,5,0)</f>
        <v>237.96239999999995</v>
      </c>
      <c r="AK73" s="14">
        <f t="shared" si="89"/>
        <v>58.00091360766335</v>
      </c>
      <c r="AL73" s="22">
        <f t="shared" si="58"/>
        <v>515.4694378666801</v>
      </c>
      <c r="AM73" s="62">
        <f t="shared" si="59"/>
        <v>787.52981773491751</v>
      </c>
      <c r="AN73" s="62">
        <f ca="1">AVERAGE(OFFSET($AM$3,0,0,'Données projet'!$E$10+1,1))-AVERAGE(OFFSET($H$3,0,0,'Données projet'!$E$10+1,1))</f>
        <v>461.10503306101145</v>
      </c>
      <c r="AO73" s="62">
        <f t="shared" si="90"/>
        <v>262.10652147273288</v>
      </c>
      <c r="AP73" s="16">
        <f>IF(ISNA(VLOOKUP(A73,'Données projet'!$A$61:$I$81,3,0)),0,VLOOKUP(A73,'Données projet'!$A$61:$I$81,3,0))</f>
        <v>5</v>
      </c>
      <c r="AQ73" s="16">
        <f>IF(ISNA(VLOOKUP(A73,'Données projet'!$A$61:$I$81,4,0)),0,VLOOKUP(A73,'Données projet'!$A$61:$I$81,4,0))</f>
        <v>42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328</v>
      </c>
      <c r="BB73" s="13">
        <f>VLOOKUP(A73,'Données projet'!$A$87:$I$107,9,0)</f>
        <v>4.4000000000000004</v>
      </c>
      <c r="BC73" s="13">
        <f t="array" ref="BC73">INDEX(BB:BB,MIN(IF(ISNUMBER(BB73:BB269),ROW(BB73:BB269),"")))</f>
        <v>4.4000000000000004</v>
      </c>
      <c r="BD73" s="13">
        <f>IF('Données projet'!$A$88&gt;35,BD72+BC73-BL72,IF(A73&lt;'Données projet'!$A$88,$BA$205^A73,IF(A73='Données projet'!$A$88,'Données projet'!$B$88,BD72+BC73-BL72)))</f>
        <v>327.99999999999977</v>
      </c>
      <c r="BE73" s="14">
        <f>BD73*VLOOKUP('Données projet'!$B$11,Paramètres!$A$1:$I$89,3,0)*VLOOKUP('Données projet'!$B$11,Paramètres!$A$1:$I$89,5,0)</f>
        <v>260.95679999999982</v>
      </c>
      <c r="BF73" s="14">
        <f t="shared" si="91"/>
        <v>62.926285429272689</v>
      </c>
      <c r="BG73" s="22">
        <f t="shared" si="61"/>
        <v>564.09637378931632</v>
      </c>
      <c r="BH73" s="62">
        <f t="shared" si="62"/>
        <v>836.15675365755374</v>
      </c>
      <c r="BI73" s="62">
        <f ca="1">AVERAGE(OFFSET($BH$3,0,0,'Données projet'!$E$11+1,1))-AVERAGE(OFFSET($H$3,0,0,'Données projet'!$E$11+1,1))</f>
        <v>389.67854939311752</v>
      </c>
      <c r="BJ73" s="62">
        <f t="shared" si="92"/>
        <v>420.05189970516096</v>
      </c>
      <c r="BK73" s="16">
        <f>IF(ISNA(VLOOKUP(A73,'Données projet'!$A$87:$I$107,3,0)),0,VLOOKUP(A73,'Données projet'!$A$87:$I$107,3,0))</f>
        <v>6</v>
      </c>
      <c r="BL73" s="16">
        <f>IF(ISNA(VLOOKUP(A73,'Données projet'!$A$87:$I$107,4,0)),0,VLOOKUP(A73,'Données projet'!$A$87:$I$107,4,0))</f>
        <v>26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330.24</v>
      </c>
      <c r="BW73" s="13">
        <f>VLOOKUP(A73,'Données projet'!$A$113:$I$133,9,0)</f>
        <v>7.6040000000000019</v>
      </c>
      <c r="BX73" s="13">
        <f t="array" ref="BX73">INDEX(BW:BW,MIN(IF(ISNUMBER(BW73:BW269),ROW(BW73:BW269),"")))</f>
        <v>7.6040000000000019</v>
      </c>
      <c r="BY73" s="13">
        <f>IF('Données projet'!$A$114&gt;35,BY72+BX73-CG72,IF(A73&lt;'Données projet'!$A$114,$BV$205^A73,IF(A73='Données projet'!$A$114,'Données projet'!$B$114,BY72+BX73-CG72)))</f>
        <v>330.23999999999944</v>
      </c>
      <c r="BZ73" s="14">
        <f>BY73*VLOOKUP('Données projet'!$B$12,Paramètres!$A$1:$I$89,3,0)*VLOOKUP('Données projet'!$B$12,Paramètres!$A$1:$I$89,5,0)</f>
        <v>188.89727999999968</v>
      </c>
      <c r="CA73" s="14">
        <f t="shared" si="93"/>
        <v>47.296074588020424</v>
      </c>
      <c r="CB73" s="22">
        <f t="shared" si="64"/>
        <v>411.37009257413501</v>
      </c>
      <c r="CC73" s="62">
        <f t="shared" si="65"/>
        <v>683.43047244237255</v>
      </c>
      <c r="CD73" s="62">
        <f ca="1">AVERAGE(OFFSET($CC$3,0,0,'Données projet'!$E$12+1,1))-AVERAGE(OFFSET($H$3,0,0,'Données projet'!$E$12+1,1))</f>
        <v>312.16891625633968</v>
      </c>
      <c r="CE73" s="62">
        <f t="shared" si="94"/>
        <v>215.34305815516177</v>
      </c>
      <c r="CF73" s="16">
        <f>IF(ISNA(VLOOKUP(A73,'Données projet'!$A$113:$I$133,3,0)),0,VLOOKUP(A73,'Données projet'!$A$113:$I$133,3,0))</f>
        <v>7</v>
      </c>
      <c r="CG73" s="16">
        <f>IF(ISNA(VLOOKUP(A73,'Données projet'!$A$113:$I$133,4,0)),0,VLOOKUP(A73,'Données projet'!$A$113:$I$133,4,0))</f>
        <v>50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3.9625580721027074</v>
      </c>
      <c r="CM73" s="23">
        <f>EXP(-LN(2)/2)*CM72+(1-EXP(-LN(2)/2))/(LN(2)/2)*CG73*CJ73*VLOOKUP('Données projet'!$B$12,Paramètres!$A$1:$I$89,3,0)*0.475*44/12</f>
        <v>7.7701478447289979E-6</v>
      </c>
      <c r="CN73" s="24">
        <f t="shared" si="66"/>
        <v>3.9625658422505521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276.28205128205127</v>
      </c>
      <c r="CR73" s="13">
        <f>VLOOKUP(A73,'Données projet'!$A$139:$I$159,9,0)</f>
        <v>5.1282051282051269</v>
      </c>
      <c r="CS73" s="13">
        <f t="array" ref="CS73">INDEX(CR:CR,MIN(IF(ISNUMBER(CR73:CR269),ROW(CR73:CR269),"")))</f>
        <v>5.1282051282051269</v>
      </c>
      <c r="CT73" s="13">
        <f>IF('Données projet'!$A$140&gt;35,CT72+CS73-DB72,IF(A73&lt;'Données projet'!$A$140,$CQ$205^A73,IF(A73='Données projet'!$A$140,'Données projet'!$B$140,CT72+CS73-DB72)))</f>
        <v>276.28205128205116</v>
      </c>
      <c r="CU73" s="18">
        <f>CT73*VLOOKUP('Données projet'!$B$13,Paramètres!$A$1:$I$89,3,0)*VLOOKUP('Données projet'!$B$13,Paramètres!$A$1:$I$89,5,0)</f>
        <v>185.32999999999993</v>
      </c>
      <c r="CV73" s="14">
        <f t="shared" si="95"/>
        <v>46.505991525491268</v>
      </c>
      <c r="CW73" s="22">
        <f t="shared" si="67"/>
        <v>403.78101857356381</v>
      </c>
      <c r="CX73" s="62">
        <f t="shared" si="68"/>
        <v>675.84139844180129</v>
      </c>
      <c r="CY73" s="62">
        <f ca="1">AVERAGE(OFFSET($CX$3,0,0,'Données projet'!$E$13+1,1))-AVERAGE(OFFSET($H$3,0,0,'Données projet'!$E$13+1,1))</f>
        <v>369.04754428478793</v>
      </c>
      <c r="CZ73" s="62">
        <f t="shared" si="96"/>
        <v>277.00523259351712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1.1368683772161603E-13</v>
      </c>
      <c r="DP73" s="18">
        <f>DO73*VLOOKUP('Données projet'!$B$14,Paramètres!$A$1:$I$89,3,0)*VLOOKUP('Données projet'!$B$14,Paramètres!$A$1:$I$89,5,0)</f>
        <v>8.8675733422860506E-14</v>
      </c>
      <c r="DQ73" s="14">
        <f t="shared" si="97"/>
        <v>1.3509285393066301E-12</v>
      </c>
      <c r="DR73" s="22">
        <f t="shared" si="70"/>
        <v>2.5073107750038623E-12</v>
      </c>
      <c r="DS73" s="62">
        <f t="shared" si="71"/>
        <v>272.06037986823998</v>
      </c>
      <c r="DT73" s="62">
        <f ca="1">AVERAGE(OFFSET($DS$3,0,0,'Données projet'!$E$14+1,1))-AVERAGE(OFFSET($H$3,0,0,'Données projet'!$E$14+1,1))</f>
        <v>308.39181291575227</v>
      </c>
      <c r="DU73" s="62">
        <f t="shared" si="98"/>
        <v>298.58225298824334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263</v>
      </c>
      <c r="EH73" s="13">
        <f>VLOOKUP(A73,'Données projet'!$A$191:$I$211,9,0)</f>
        <v>6.8</v>
      </c>
      <c r="EI73" s="13">
        <f t="array" ref="EI73">INDEX(EH:EH,MIN(IF(ISNUMBER(EH73:EH269),ROW(EH73:EH269),"")))</f>
        <v>6.8</v>
      </c>
      <c r="EJ73" s="13">
        <f>IF('Données projet'!$A$192&gt;35,EJ72+EI73-ER72,IF(A73&lt;'Données projet'!$A$192,$EG$205^A73,IF(A73='Données projet'!$A$192,'Données projet'!$B$192,EJ72+EI73-ER72)))</f>
        <v>262.99999999999994</v>
      </c>
      <c r="EK73" s="18">
        <f>EJ73*VLOOKUP('Données projet'!$B$15,Paramètres!$A$1:$I$89,3,0)*VLOOKUP('Données projet'!$B$15,Paramètres!$A$1:$I$89,5,0)</f>
        <v>254.37359999999998</v>
      </c>
      <c r="EL73" s="14">
        <f t="shared" si="99"/>
        <v>61.521534056516209</v>
      </c>
      <c r="EM73" s="22">
        <f t="shared" si="73"/>
        <v>550.1840251484324</v>
      </c>
      <c r="EN73" s="62">
        <f t="shared" si="74"/>
        <v>822.24440501666982</v>
      </c>
      <c r="EO73" s="62">
        <f ca="1">AVERAGE(OFFSET($EN$3,0,0,'Données projet'!$E$15+1,1))-AVERAGE(OFFSET($H$3,0,0,'Données projet'!$E$15+1,1))</f>
        <v>487.76433095707876</v>
      </c>
      <c r="EP73" s="62">
        <f t="shared" si="100"/>
        <v>276.24209151398361</v>
      </c>
      <c r="EQ73" s="16">
        <f>IF(ISNA(VLOOKUP(A73,'Données projet'!$A$191:$I$211,3,0)),0,VLOOKUP(A73,'Données projet'!$A$191:$I$211,3,0))</f>
        <v>5</v>
      </c>
      <c r="ER73" s="16">
        <f>IF(ISNA(VLOOKUP(A73,'Données projet'!$A$191:$I$211,4,0)),0,VLOOKUP(A73,'Données projet'!$A$191:$I$211,4,0))</f>
        <v>42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projet'!$A$217:$I$237,2,0)</f>
        <v>263</v>
      </c>
      <c r="FC73" s="13">
        <f>VLOOKUP(A73,'Données projet'!$A$217:$I$237,9,0)</f>
        <v>6.8</v>
      </c>
      <c r="FD73" s="13">
        <f t="array" ref="FD73">INDEX(FC:FC,MIN(IF(ISNUMBER(FC73:FC269),ROW(FC73:FC269),"")))</f>
        <v>6.8</v>
      </c>
      <c r="FE73" s="13">
        <f>IF('Données projet'!$A$218&gt;35,FE72+FD73-FM72,IF(A73&lt;'Données projet'!$A$218,$FB$205^A73,IF(A73='Données projet'!$A$218,'Données projet'!$B$218,FE72+FD73-FM72)))</f>
        <v>262.99999999999994</v>
      </c>
      <c r="FF73" s="18">
        <f>FE73*VLOOKUP('Données projet'!$B$16,Paramètres!$A$1:$I$89,3,0)*VLOOKUP('Données projet'!$B$16,Paramètres!$A$1:$I$89,5,0)</f>
        <v>283.09319999999991</v>
      </c>
      <c r="FG73" s="14">
        <f t="shared" si="101"/>
        <v>67.620272397048666</v>
      </c>
      <c r="FH73" s="22">
        <f t="shared" si="76"/>
        <v>610.82596442485954</v>
      </c>
      <c r="FI73" s="62">
        <f t="shared" si="77"/>
        <v>882.88634429309695</v>
      </c>
      <c r="FJ73" s="62">
        <f ca="1">AVERAGE(OFFSET($FI$3,0,0,'Données projet'!$E$16+1,1))-AVERAGE(OFFSET($H$3,0,0,'Données projet'!$E$16+1,1))</f>
        <v>534.33392288300456</v>
      </c>
      <c r="FK73" s="62">
        <f t="shared" si="102"/>
        <v>300.93109615735477</v>
      </c>
      <c r="FL73" s="16">
        <f>IF(ISNA(VLOOKUP(A73,'Données projet'!$A$217:$I$237,3,0)),0,VLOOKUP(A73,'Données projet'!$A$217:$I$237,3,0))</f>
        <v>5</v>
      </c>
      <c r="FM73" s="16">
        <f>IF(ISNA(VLOOKUP(A73,'Données projet'!$A$217:$I$237,4,0)),0,VLOOKUP(A73,'Données projet'!$A$217:$I$237,4,0))</f>
        <v>42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>
        <f>VLOOKUP(A73,'Données projet'!$A$243:$I$263,2,0)</f>
        <v>245.5128205128205</v>
      </c>
      <c r="FX73" s="13">
        <f>VLOOKUP(A73,'Données projet'!$A$243:$I$263,9,0)</f>
        <v>4.6153846153846132</v>
      </c>
      <c r="FY73" s="13">
        <f t="array" ref="FY73">INDEX(FX:FX,MIN(IF(ISNUMBER(FX73:FX269),ROW(FX73:FX269),"")))</f>
        <v>4.6153846153846132</v>
      </c>
      <c r="FZ73" s="13">
        <f>IF('Données projet'!$A$244&gt;35,FZ72+FY73-GH72,IF(A73&lt;'Données projet'!$A$244,$FW$205^A73,IF(A73='Données projet'!$A$244,'Données projet'!$B$244,FZ72+FY73-GH72)))</f>
        <v>245.51282051282038</v>
      </c>
      <c r="GA73" s="18">
        <f>FZ73*VLOOKUP('Données projet'!$B$17,Paramètres!$A$1:$I$89,3,0)*VLOOKUP('Données projet'!$B$17,Paramètres!$A$1:$I$89,5,0)</f>
        <v>164.68999999999991</v>
      </c>
      <c r="GB73" s="14">
        <f t="shared" si="103"/>
        <v>41.898572717556682</v>
      </c>
      <c r="GC73" s="22">
        <f t="shared" si="79"/>
        <v>359.80843081641109</v>
      </c>
      <c r="GD73" s="62">
        <f t="shared" si="80"/>
        <v>631.86881068464857</v>
      </c>
      <c r="GE73" s="62">
        <f ca="1">AVERAGE(OFFSET($GD$3,0,0,'Données projet'!$E$17+1,1))-AVERAGE(OFFSET($H$3,0,0,'Données projet'!$E$17+1,1))</f>
        <v>316.17772895535211</v>
      </c>
      <c r="GF73" s="62">
        <f t="shared" si="104"/>
        <v>251.94445589652992</v>
      </c>
      <c r="GG73" s="16">
        <f>IF(ISNA(VLOOKUP(A73,'Données projet'!$A$243:$I$263,3,0)),0,VLOOKUP(A73,'Données projet'!$A$243:$I$263,3,0))</f>
        <v>6</v>
      </c>
      <c r="GH73" s="16">
        <f>IF(ISNA(VLOOKUP(A73,'Données projet'!$A$243:$I$263,4,0)),0,VLOOKUP(A73,'Données projet'!$A$243:$I$263,4,0))</f>
        <v>26.282051282051281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64.198285418610226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3.95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14.483333333333334</v>
      </c>
      <c r="H74" s="70">
        <f t="shared" si="56"/>
        <v>198.73333333333335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7.6</v>
      </c>
      <c r="N74" s="14">
        <f>IF('Données projet'!$A$36&gt;35,N73+M74-V73,IF(A74&lt;'Données projet'!$A$36,$K$205^A74,IF(A74='Données projet'!$A$36,'Données projet'!$B$36,N73+M74-V73)))</f>
        <v>309.59999999999997</v>
      </c>
      <c r="O74" s="14">
        <f>N74*VLOOKUP('Données projet'!$B$9,Paramètres!$A$1:$I$89,3,0)*VLOOKUP('Données projet'!$B$9,Paramètres!$A$1:$I$89,5,0)</f>
        <v>260.80704000000003</v>
      </c>
      <c r="P74" s="14">
        <f t="shared" si="87"/>
        <v>62.89437522937974</v>
      </c>
      <c r="Q74" s="22">
        <f t="shared" si="54"/>
        <v>563.77996485783649</v>
      </c>
      <c r="R74" s="62">
        <f t="shared" si="55"/>
        <v>836.20938290949425</v>
      </c>
      <c r="S74" s="62">
        <f ca="1">AVERAGE(OFFSET($R$3,0,0,'Données projet'!$E$9+1,1))-AVERAGE(OFFSET($H$3,0,0,'Données projet'!$E$9+1,1))</f>
        <v>508.93703669150443</v>
      </c>
      <c r="T74" s="62">
        <f t="shared" si="88"/>
        <v>277.04920840696707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6.2</v>
      </c>
      <c r="AI74" s="14">
        <f>IF('Données projet'!$A$62&gt;35,AI73+AH74-AQ73,IF(A74&lt;'Données projet'!$A$62,$AF$205^A74,IF(A74='Données projet'!$A$62,'Données projet'!$B$62,AI73+AH74-AQ73)))</f>
        <v>227.19999999999993</v>
      </c>
      <c r="AJ74" s="14">
        <f>AI74*VLOOKUP('Données projet'!$B$10,Paramètres!$A$1:$I$89,3,0)*VLOOKUP('Données projet'!$B$10,Paramètres!$A$1:$I$89,5,0)</f>
        <v>205.57055999999994</v>
      </c>
      <c r="AK74" s="14">
        <f t="shared" si="89"/>
        <v>50.966443946767392</v>
      </c>
      <c r="AL74" s="22">
        <f t="shared" si="58"/>
        <v>446.80194854061978</v>
      </c>
      <c r="AM74" s="62">
        <f t="shared" si="59"/>
        <v>719.2313665922776</v>
      </c>
      <c r="AN74" s="62">
        <f ca="1">AVERAGE(OFFSET($AM$3,0,0,'Données projet'!$E$10+1,1))-AVERAGE(OFFSET($H$3,0,0,'Données projet'!$E$10+1,1))</f>
        <v>461.10503306101145</v>
      </c>
      <c r="AO74" s="62">
        <f t="shared" si="90"/>
        <v>262.10652147273288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4.4000000000000004</v>
      </c>
      <c r="BD74" s="13">
        <f>IF('Données projet'!$A$88&gt;35,BD73+BC74-BL73,IF(A74&lt;'Données projet'!$A$88,$BA$205^A74,IF(A74='Données projet'!$A$88,'Données projet'!$B$88,BD73+BC74-BL73)))</f>
        <v>306.39999999999975</v>
      </c>
      <c r="BE74" s="14">
        <f>BD74*VLOOKUP('Données projet'!$B$11,Paramètres!$A$1:$I$89,3,0)*VLOOKUP('Données projet'!$B$11,Paramètres!$A$1:$I$89,5,0)</f>
        <v>243.7718399999998</v>
      </c>
      <c r="BF74" s="14">
        <f t="shared" si="91"/>
        <v>59.250322254889134</v>
      </c>
      <c r="BG74" s="22">
        <f t="shared" si="61"/>
        <v>527.7635992605982</v>
      </c>
      <c r="BH74" s="62">
        <f t="shared" si="62"/>
        <v>800.19301731225596</v>
      </c>
      <c r="BI74" s="62">
        <f ca="1">AVERAGE(OFFSET($BH$3,0,0,'Données projet'!$E$11+1,1))-AVERAGE(OFFSET($H$3,0,0,'Données projet'!$E$11+1,1))</f>
        <v>389.67854939311752</v>
      </c>
      <c r="BJ74" s="62">
        <f t="shared" si="92"/>
        <v>420.05189970516096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6.5490000000000013</v>
      </c>
      <c r="BY74" s="13">
        <f>IF('Données projet'!$A$114&gt;35,BY73+BX74-CG73,IF(A74&lt;'Données projet'!$A$114,$BV$205^A74,IF(A74='Données projet'!$A$114,'Données projet'!$B$114,BY73+BX74-CG73)))</f>
        <v>286.78899999999942</v>
      </c>
      <c r="BZ74" s="14">
        <f>BY74*VLOOKUP('Données projet'!$B$12,Paramètres!$A$1:$I$89,3,0)*VLOOKUP('Données projet'!$B$12,Paramètres!$A$1:$I$89,5,0)</f>
        <v>164.04330799999968</v>
      </c>
      <c r="CA74" s="14">
        <f t="shared" si="93"/>
        <v>41.753165963203386</v>
      </c>
      <c r="CB74" s="22">
        <f t="shared" si="64"/>
        <v>358.42885881924531</v>
      </c>
      <c r="CC74" s="62">
        <f t="shared" si="65"/>
        <v>630.85827687090318</v>
      </c>
      <c r="CD74" s="62">
        <f ca="1">AVERAGE(OFFSET($CC$3,0,0,'Données projet'!$E$12+1,1))-AVERAGE(OFFSET($H$3,0,0,'Données projet'!$E$12+1,1))</f>
        <v>312.16891625633968</v>
      </c>
      <c r="CE74" s="62">
        <f t="shared" si="94"/>
        <v>215.34305815516177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3.8542017132391866</v>
      </c>
      <c r="CM74" s="23">
        <f>EXP(-LN(2)/2)*CM73+(1-EXP(-LN(2)/2))/(LN(2)/2)*CG74*CJ74*VLOOKUP('Données projet'!$B$12,Paramètres!$A$1:$I$89,3,0)*0.475*44/12</f>
        <v>5.4943242318299114E-6</v>
      </c>
      <c r="CN74" s="24">
        <f t="shared" si="66"/>
        <v>3.8542072075634186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4.8717948717948731</v>
      </c>
      <c r="CT74" s="13">
        <f>IF('Données projet'!$A$140&gt;35,CT73+CS74-DB73,IF(A74&lt;'Données projet'!$A$140,$CQ$205^A74,IF(A74='Données projet'!$A$140,'Données projet'!$B$140,CT73+CS74-DB73)))</f>
        <v>281.15384615384602</v>
      </c>
      <c r="CU74" s="18">
        <f>CT74*VLOOKUP('Données projet'!$B$13,Paramètres!$A$1:$I$89,3,0)*VLOOKUP('Données projet'!$B$13,Paramètres!$A$1:$I$89,5,0)</f>
        <v>188.5979999999999</v>
      </c>
      <c r="CV74" s="14">
        <f t="shared" si="95"/>
        <v>47.229857075388068</v>
      </c>
      <c r="CW74" s="22">
        <f t="shared" si="67"/>
        <v>410.73351773963401</v>
      </c>
      <c r="CX74" s="62">
        <f t="shared" si="68"/>
        <v>683.16293579129183</v>
      </c>
      <c r="CY74" s="62">
        <f ca="1">AVERAGE(OFFSET($CX$3,0,0,'Données projet'!$E$13+1,1))-AVERAGE(OFFSET($H$3,0,0,'Données projet'!$E$13+1,1))</f>
        <v>369.04754428478793</v>
      </c>
      <c r="CZ74" s="62">
        <f t="shared" si="96"/>
        <v>277.00523259351712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1.1368683772161603E-13</v>
      </c>
      <c r="DP74" s="18">
        <f>DO74*VLOOKUP('Données projet'!$B$14,Paramètres!$A$1:$I$89,3,0)*VLOOKUP('Données projet'!$B$14,Paramètres!$A$1:$I$89,5,0)</f>
        <v>8.8675733422860506E-14</v>
      </c>
      <c r="DQ74" s="14">
        <f t="shared" si="97"/>
        <v>1.3509285393066301E-12</v>
      </c>
      <c r="DR74" s="22">
        <f t="shared" si="70"/>
        <v>2.5073107750038623E-12</v>
      </c>
      <c r="DS74" s="62">
        <f t="shared" si="71"/>
        <v>272.42941805166032</v>
      </c>
      <c r="DT74" s="62">
        <f ca="1">AVERAGE(OFFSET($DS$3,0,0,'Données projet'!$E$14+1,1))-AVERAGE(OFFSET($H$3,0,0,'Données projet'!$E$14+1,1))</f>
        <v>308.39181291575227</v>
      </c>
      <c r="DU74" s="62">
        <f t="shared" si="98"/>
        <v>298.58225298824334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6.2</v>
      </c>
      <c r="EJ74" s="13">
        <f>IF('Données projet'!$A$192&gt;35,EJ73+EI74-ER73,IF(A74&lt;'Données projet'!$A$192,$EG$205^A74,IF(A74='Données projet'!$A$192,'Données projet'!$B$192,EJ73+EI74-ER73)))</f>
        <v>227.19999999999993</v>
      </c>
      <c r="EK74" s="18">
        <f>EJ74*VLOOKUP('Données projet'!$B$15,Paramètres!$A$1:$I$89,3,0)*VLOOKUP('Données projet'!$B$15,Paramètres!$A$1:$I$89,5,0)</f>
        <v>219.74783999999994</v>
      </c>
      <c r="EL74" s="14">
        <f t="shared" si="99"/>
        <v>54.060076332940561</v>
      </c>
      <c r="EM74" s="22">
        <f t="shared" si="73"/>
        <v>476.88212094653812</v>
      </c>
      <c r="EN74" s="62">
        <f t="shared" si="74"/>
        <v>749.31153899819594</v>
      </c>
      <c r="EO74" s="62">
        <f ca="1">AVERAGE(OFFSET($EN$3,0,0,'Données projet'!$E$15+1,1))-AVERAGE(OFFSET($H$3,0,0,'Données projet'!$E$15+1,1))</f>
        <v>487.76433095707876</v>
      </c>
      <c r="EP74" s="62">
        <f t="shared" si="100"/>
        <v>276.24209151398361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6.2</v>
      </c>
      <c r="FE74" s="13">
        <f>IF('Données projet'!$A$218&gt;35,FE73+FD74-FM73,IF(A74&lt;'Données projet'!$A$218,$FB$205^A74,IF(A74='Données projet'!$A$218,'Données projet'!$B$218,FE73+FD74-FM73)))</f>
        <v>227.19999999999993</v>
      </c>
      <c r="FF74" s="18">
        <f>FE74*VLOOKUP('Données projet'!$B$16,Paramètres!$A$1:$I$89,3,0)*VLOOKUP('Données projet'!$B$16,Paramètres!$A$1:$I$89,5,0)</f>
        <v>244.55807999999993</v>
      </c>
      <c r="FG74" s="14">
        <f t="shared" si="101"/>
        <v>59.419147189674156</v>
      </c>
      <c r="FH74" s="22">
        <f t="shared" si="76"/>
        <v>529.42700402201569</v>
      </c>
      <c r="FI74" s="62">
        <f t="shared" si="77"/>
        <v>801.85642207367346</v>
      </c>
      <c r="FJ74" s="62">
        <f ca="1">AVERAGE(OFFSET($FI$3,0,0,'Données projet'!$E$16+1,1))-AVERAGE(OFFSET($H$3,0,0,'Données projet'!$E$16+1,1))</f>
        <v>534.33392288300456</v>
      </c>
      <c r="FK74" s="62">
        <f t="shared" si="102"/>
        <v>300.93109615735477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4.2307692307692317</v>
      </c>
      <c r="FZ74" s="13">
        <f>IF('Données projet'!$A$244&gt;35,FZ73+FY74-GH73,IF(A74&lt;'Données projet'!$A$244,$FW$205^A74,IF(A74='Données projet'!$A$244,'Données projet'!$B$244,FZ73+FY74-GH73)))</f>
        <v>223.46153846153834</v>
      </c>
      <c r="GA74" s="18">
        <f>FZ74*VLOOKUP('Données projet'!$B$17,Paramètres!$A$1:$I$89,3,0)*VLOOKUP('Données projet'!$B$17,Paramètres!$A$1:$I$89,5,0)</f>
        <v>149.89799999999994</v>
      </c>
      <c r="GB74" s="14">
        <f t="shared" si="103"/>
        <v>38.555404837241944</v>
      </c>
      <c r="GC74" s="22">
        <f t="shared" si="79"/>
        <v>328.22301342486293</v>
      </c>
      <c r="GD74" s="62">
        <f t="shared" si="80"/>
        <v>600.65243147652075</v>
      </c>
      <c r="GE74" s="62">
        <f ca="1">AVERAGE(OFFSET($GD$3,0,0,'Données projet'!$E$17+1,1))-AVERAGE(OFFSET($H$3,0,0,'Données projet'!$E$17+1,1))</f>
        <v>316.17772895535211</v>
      </c>
      <c r="GF74" s="62">
        <f t="shared" si="104"/>
        <v>251.94445589652992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64.298932195906687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3.95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14.483333333333334</v>
      </c>
      <c r="H75" s="70">
        <f t="shared" si="56"/>
        <v>198.73333333333335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7.6</v>
      </c>
      <c r="N75" s="14">
        <f>IF('Données projet'!$A$36&gt;35,N74+M75-V74,IF(A75&lt;'Données projet'!$A$36,$K$205^A75,IF(A75='Données projet'!$A$36,'Données projet'!$B$36,N74+M75-V74)))</f>
        <v>317.2</v>
      </c>
      <c r="O75" s="14">
        <f>N75*VLOOKUP('Données projet'!$B$9,Paramètres!$A$1:$I$89,3,0)*VLOOKUP('Données projet'!$B$9,Paramètres!$A$1:$I$89,5,0)</f>
        <v>267.20928000000004</v>
      </c>
      <c r="P75" s="14">
        <f t="shared" si="87"/>
        <v>64.256650415058076</v>
      </c>
      <c r="Q75" s="22">
        <f t="shared" si="54"/>
        <v>577.3031621395595</v>
      </c>
      <c r="R75" s="62">
        <f t="shared" si="55"/>
        <v>850.09521638720116</v>
      </c>
      <c r="S75" s="62">
        <f ca="1">AVERAGE(OFFSET($R$3,0,0,'Données projet'!$E$9+1,1))-AVERAGE(OFFSET($H$3,0,0,'Données projet'!$E$9+1,1))</f>
        <v>508.93703669150443</v>
      </c>
      <c r="T75" s="62">
        <f t="shared" si="88"/>
        <v>277.04920840696707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6.2</v>
      </c>
      <c r="AI75" s="14">
        <f>IF('Données projet'!$A$62&gt;35,AI74+AH75-AQ74,IF(A75&lt;'Données projet'!$A$62,$AF$205^A75,IF(A75='Données projet'!$A$62,'Données projet'!$B$62,AI74+AH75-AQ74)))</f>
        <v>233.39999999999992</v>
      </c>
      <c r="AJ75" s="14">
        <f>AI75*VLOOKUP('Données projet'!$B$10,Paramètres!$A$1:$I$89,3,0)*VLOOKUP('Données projet'!$B$10,Paramètres!$A$1:$I$89,5,0)</f>
        <v>211.18031999999994</v>
      </c>
      <c r="AK75" s="14">
        <f t="shared" si="89"/>
        <v>52.193431117443019</v>
      </c>
      <c r="AL75" s="22">
        <f t="shared" si="58"/>
        <v>458.70928319621316</v>
      </c>
      <c r="AM75" s="62">
        <f t="shared" si="59"/>
        <v>731.50133744385482</v>
      </c>
      <c r="AN75" s="62">
        <f ca="1">AVERAGE(OFFSET($AM$3,0,0,'Données projet'!$E$10+1,1))-AVERAGE(OFFSET($H$3,0,0,'Données projet'!$E$10+1,1))</f>
        <v>461.10503306101145</v>
      </c>
      <c r="AO75" s="62">
        <f t="shared" si="90"/>
        <v>262.10652147273288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4.4000000000000004</v>
      </c>
      <c r="BD75" s="13">
        <f>IF('Données projet'!$A$88&gt;35,BD74+BC75-BL74,IF(A75&lt;'Données projet'!$A$88,$BA$205^A75,IF(A75='Données projet'!$A$88,'Données projet'!$B$88,BD74+BC75-BL74)))</f>
        <v>310.79999999999973</v>
      </c>
      <c r="BE75" s="14">
        <f>BD75*VLOOKUP('Données projet'!$B$11,Paramètres!$A$1:$I$89,3,0)*VLOOKUP('Données projet'!$B$11,Paramètres!$A$1:$I$89,5,0)</f>
        <v>247.2724799999998</v>
      </c>
      <c r="BF75" s="14">
        <f t="shared" si="91"/>
        <v>60.00151112391876</v>
      </c>
      <c r="BG75" s="22">
        <f t="shared" si="61"/>
        <v>535.16886787415808</v>
      </c>
      <c r="BH75" s="62">
        <f t="shared" si="62"/>
        <v>807.96092212179974</v>
      </c>
      <c r="BI75" s="62">
        <f ca="1">AVERAGE(OFFSET($BH$3,0,0,'Données projet'!$E$11+1,1))-AVERAGE(OFFSET($H$3,0,0,'Données projet'!$E$11+1,1))</f>
        <v>389.67854939311752</v>
      </c>
      <c r="BJ75" s="62">
        <f t="shared" si="92"/>
        <v>420.05189970516096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6.5490000000000013</v>
      </c>
      <c r="BY75" s="13">
        <f>IF('Données projet'!$A$114&gt;35,BY74+BX75-CG74,IF(A75&lt;'Données projet'!$A$114,$BV$205^A75,IF(A75='Données projet'!$A$114,'Données projet'!$B$114,BY74+BX75-CG74)))</f>
        <v>293.3379999999994</v>
      </c>
      <c r="BZ75" s="14">
        <f>BY75*VLOOKUP('Données projet'!$B$12,Paramètres!$A$1:$I$89,3,0)*VLOOKUP('Données projet'!$B$12,Paramètres!$A$1:$I$89,5,0)</f>
        <v>167.78933599999965</v>
      </c>
      <c r="CA75" s="14">
        <f t="shared" si="93"/>
        <v>42.594531845869454</v>
      </c>
      <c r="CB75" s="22">
        <f t="shared" si="64"/>
        <v>366.41856983155532</v>
      </c>
      <c r="CC75" s="62">
        <f t="shared" si="65"/>
        <v>639.21062407919703</v>
      </c>
      <c r="CD75" s="62">
        <f ca="1">AVERAGE(OFFSET($CC$3,0,0,'Données projet'!$E$12+1,1))-AVERAGE(OFFSET($H$3,0,0,'Données projet'!$E$12+1,1))</f>
        <v>312.16891625633968</v>
      </c>
      <c r="CE75" s="62">
        <f t="shared" si="94"/>
        <v>215.34305815516177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3.7488083647070019</v>
      </c>
      <c r="CM75" s="23">
        <f>EXP(-LN(2)/2)*CM74+(1-EXP(-LN(2)/2))/(LN(2)/2)*CG75*CJ75*VLOOKUP('Données projet'!$B$12,Paramètres!$A$1:$I$89,3,0)*0.475*44/12</f>
        <v>3.885073922364499E-6</v>
      </c>
      <c r="CN75" s="24">
        <f t="shared" si="66"/>
        <v>3.7488122497809244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4.8717948717948731</v>
      </c>
      <c r="CT75" s="13">
        <f>IF('Données projet'!$A$140&gt;35,CT74+CS75-DB74,IF(A75&lt;'Données projet'!$A$140,$CQ$205^A75,IF(A75='Données projet'!$A$140,'Données projet'!$B$140,CT74+CS75-DB74)))</f>
        <v>286.02564102564088</v>
      </c>
      <c r="CU75" s="18">
        <f>CT75*VLOOKUP('Données projet'!$B$13,Paramètres!$A$1:$I$89,3,0)*VLOOKUP('Données projet'!$B$13,Paramètres!$A$1:$I$89,5,0)</f>
        <v>191.8659999999999</v>
      </c>
      <c r="CV75" s="14">
        <f t="shared" si="95"/>
        <v>47.952264009442324</v>
      </c>
      <c r="CW75" s="22">
        <f t="shared" si="67"/>
        <v>417.68347648311186</v>
      </c>
      <c r="CX75" s="62">
        <f t="shared" si="68"/>
        <v>690.47553073075346</v>
      </c>
      <c r="CY75" s="62">
        <f ca="1">AVERAGE(OFFSET($CX$3,0,0,'Données projet'!$E$13+1,1))-AVERAGE(OFFSET($H$3,0,0,'Données projet'!$E$13+1,1))</f>
        <v>369.04754428478793</v>
      </c>
      <c r="CZ75" s="62">
        <f t="shared" si="96"/>
        <v>277.00523259351712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1.1368683772161603E-13</v>
      </c>
      <c r="DP75" s="18">
        <f>DO75*VLOOKUP('Données projet'!$B$14,Paramètres!$A$1:$I$89,3,0)*VLOOKUP('Données projet'!$B$14,Paramètres!$A$1:$I$89,5,0)</f>
        <v>8.8675733422860506E-14</v>
      </c>
      <c r="DQ75" s="14">
        <f t="shared" si="97"/>
        <v>1.3509285393066301E-12</v>
      </c>
      <c r="DR75" s="22">
        <f t="shared" si="70"/>
        <v>2.5073107750038623E-12</v>
      </c>
      <c r="DS75" s="62">
        <f t="shared" si="71"/>
        <v>272.79205424764416</v>
      </c>
      <c r="DT75" s="62">
        <f ca="1">AVERAGE(OFFSET($DS$3,0,0,'Données projet'!$E$14+1,1))-AVERAGE(OFFSET($H$3,0,0,'Données projet'!$E$14+1,1))</f>
        <v>308.39181291575227</v>
      </c>
      <c r="DU75" s="62">
        <f t="shared" si="98"/>
        <v>298.58225298824334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6.2</v>
      </c>
      <c r="EJ75" s="13">
        <f>IF('Données projet'!$A$192&gt;35,EJ74+EI75-ER74,IF(A75&lt;'Données projet'!$A$192,$EG$205^A75,IF(A75='Données projet'!$A$192,'Données projet'!$B$192,EJ74+EI75-ER74)))</f>
        <v>233.39999999999992</v>
      </c>
      <c r="EK75" s="18">
        <f>EJ75*VLOOKUP('Données projet'!$B$15,Paramètres!$A$1:$I$89,3,0)*VLOOKUP('Données projet'!$B$15,Paramètres!$A$1:$I$89,5,0)</f>
        <v>225.74447999999992</v>
      </c>
      <c r="EL75" s="14">
        <f t="shared" si="99"/>
        <v>55.36154088431374</v>
      </c>
      <c r="EM75" s="22">
        <f t="shared" si="73"/>
        <v>489.59298637351299</v>
      </c>
      <c r="EN75" s="62">
        <f t="shared" si="74"/>
        <v>762.38504062115464</v>
      </c>
      <c r="EO75" s="62">
        <f ca="1">AVERAGE(OFFSET($EN$3,0,0,'Données projet'!$E$15+1,1))-AVERAGE(OFFSET($H$3,0,0,'Données projet'!$E$15+1,1))</f>
        <v>487.76433095707876</v>
      </c>
      <c r="EP75" s="62">
        <f t="shared" si="100"/>
        <v>276.24209151398361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6.2</v>
      </c>
      <c r="FE75" s="13">
        <f>IF('Données projet'!$A$218&gt;35,FE74+FD75-FM74,IF(A75&lt;'Données projet'!$A$218,$FB$205^A75,IF(A75='Données projet'!$A$218,'Données projet'!$B$218,FE74+FD75-FM74)))</f>
        <v>233.39999999999992</v>
      </c>
      <c r="FF75" s="18">
        <f>FE75*VLOOKUP('Données projet'!$B$16,Paramètres!$A$1:$I$89,3,0)*VLOOKUP('Données projet'!$B$16,Paramètres!$A$1:$I$89,5,0)</f>
        <v>251.23175999999989</v>
      </c>
      <c r="FG75" s="14">
        <f t="shared" si="101"/>
        <v>60.849628220886878</v>
      </c>
      <c r="FH75" s="22">
        <f t="shared" si="76"/>
        <v>543.54175115137775</v>
      </c>
      <c r="FI75" s="62">
        <f t="shared" si="77"/>
        <v>816.33380539901941</v>
      </c>
      <c r="FJ75" s="62">
        <f ca="1">AVERAGE(OFFSET($FI$3,0,0,'Données projet'!$E$16+1,1))-AVERAGE(OFFSET($H$3,0,0,'Données projet'!$E$16+1,1))</f>
        <v>534.33392288300456</v>
      </c>
      <c r="FK75" s="62">
        <f t="shared" si="102"/>
        <v>300.93109615735477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4.2307692307692317</v>
      </c>
      <c r="FZ75" s="13">
        <f>IF('Données projet'!$A$244&gt;35,FZ74+FY75-GH74,IF(A75&lt;'Données projet'!$A$244,$FW$205^A75,IF(A75='Données projet'!$A$244,'Données projet'!$B$244,FZ74+FY75-GH74)))</f>
        <v>227.69230769230757</v>
      </c>
      <c r="GA75" s="18">
        <f>FZ75*VLOOKUP('Données projet'!$B$17,Paramètres!$A$1:$I$89,3,0)*VLOOKUP('Données projet'!$B$17,Paramètres!$A$1:$I$89,5,0)</f>
        <v>152.73599999999993</v>
      </c>
      <c r="GB75" s="14">
        <f t="shared" si="103"/>
        <v>39.199695829376566</v>
      </c>
      <c r="GC75" s="22">
        <f t="shared" si="79"/>
        <v>334.28800356949745</v>
      </c>
      <c r="GD75" s="62">
        <f t="shared" si="80"/>
        <v>607.08005781713905</v>
      </c>
      <c r="GE75" s="62">
        <f ca="1">AVERAGE(OFFSET($GD$3,0,0,'Données projet'!$E$17+1,1))-AVERAGE(OFFSET($H$3,0,0,'Données projet'!$E$17+1,1))</f>
        <v>316.17772895535211</v>
      </c>
      <c r="GF75" s="62">
        <f t="shared" si="104"/>
        <v>251.94445589652992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64.397832976629545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3.95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14.483333333333334</v>
      </c>
      <c r="H76" s="70">
        <f t="shared" si="56"/>
        <v>198.73333333333335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7.6</v>
      </c>
      <c r="N76" s="14">
        <f>IF('Données projet'!$A$36&gt;35,N75+M76-V75,IF(A76&lt;'Données projet'!$A$36,$K$205^A76,IF(A76='Données projet'!$A$36,'Données projet'!$B$36,N75+M76-V75)))</f>
        <v>324.8</v>
      </c>
      <c r="O76" s="14">
        <f>N76*VLOOKUP('Données projet'!$B$9,Paramètres!$A$1:$I$89,3,0)*VLOOKUP('Données projet'!$B$9,Paramètres!$A$1:$I$89,5,0)</f>
        <v>273.61152000000004</v>
      </c>
      <c r="P76" s="14">
        <f t="shared" si="87"/>
        <v>65.615131256792893</v>
      </c>
      <c r="Q76" s="22">
        <f t="shared" si="54"/>
        <v>590.81975093891435</v>
      </c>
      <c r="R76" s="62">
        <f t="shared" si="55"/>
        <v>863.96815045527251</v>
      </c>
      <c r="S76" s="62">
        <f ca="1">AVERAGE(OFFSET($R$3,0,0,'Données projet'!$E$9+1,1))-AVERAGE(OFFSET($H$3,0,0,'Données projet'!$E$9+1,1))</f>
        <v>508.93703669150443</v>
      </c>
      <c r="T76" s="62">
        <f t="shared" si="88"/>
        <v>277.04920840696707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6.2</v>
      </c>
      <c r="AI76" s="14">
        <f>IF('Données projet'!$A$62&gt;35,AI75+AH76-AQ75,IF(A76&lt;'Données projet'!$A$62,$AF$205^A76,IF(A76='Données projet'!$A$62,'Données projet'!$B$62,AI75+AH76-AQ75)))</f>
        <v>239.59999999999991</v>
      </c>
      <c r="AJ76" s="14">
        <f>AI76*VLOOKUP('Données projet'!$B$10,Paramètres!$A$1:$I$89,3,0)*VLOOKUP('Données projet'!$B$10,Paramètres!$A$1:$I$89,5,0)</f>
        <v>216.7900799999999</v>
      </c>
      <c r="AK76" s="14">
        <f t="shared" si="89"/>
        <v>53.416629794462551</v>
      </c>
      <c r="AL76" s="22">
        <f t="shared" si="58"/>
        <v>470.61001955868869</v>
      </c>
      <c r="AM76" s="62">
        <f t="shared" si="59"/>
        <v>743.75841907504696</v>
      </c>
      <c r="AN76" s="62">
        <f ca="1">AVERAGE(OFFSET($AM$3,0,0,'Données projet'!$E$10+1,1))-AVERAGE(OFFSET($H$3,0,0,'Données projet'!$E$10+1,1))</f>
        <v>461.10503306101145</v>
      </c>
      <c r="AO76" s="62">
        <f t="shared" si="90"/>
        <v>262.10652147273288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4.4000000000000004</v>
      </c>
      <c r="BD76" s="13">
        <f>IF('Données projet'!$A$88&gt;35,BD75+BC76-BL75,IF(A76&lt;'Données projet'!$A$88,$BA$205^A76,IF(A76='Données projet'!$A$88,'Données projet'!$B$88,BD75+BC76-BL75)))</f>
        <v>315.1999999999997</v>
      </c>
      <c r="BE76" s="14">
        <f>BD76*VLOOKUP('Données projet'!$B$11,Paramètres!$A$1:$I$89,3,0)*VLOOKUP('Données projet'!$B$11,Paramètres!$A$1:$I$89,5,0)</f>
        <v>250.77311999999975</v>
      </c>
      <c r="BF76" s="14">
        <f t="shared" si="91"/>
        <v>60.75146310218134</v>
      </c>
      <c r="BG76" s="22">
        <f t="shared" si="61"/>
        <v>542.57198223629882</v>
      </c>
      <c r="BH76" s="62">
        <f t="shared" si="62"/>
        <v>815.72038175265698</v>
      </c>
      <c r="BI76" s="62">
        <f ca="1">AVERAGE(OFFSET($BH$3,0,0,'Données projet'!$E$11+1,1))-AVERAGE(OFFSET($H$3,0,0,'Données projet'!$E$11+1,1))</f>
        <v>389.67854939311752</v>
      </c>
      <c r="BJ76" s="62">
        <f t="shared" si="92"/>
        <v>420.05189970516096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6.5490000000000013</v>
      </c>
      <c r="BY76" s="13">
        <f>IF('Données projet'!$A$114&gt;35,BY75+BX76-CG75,IF(A76&lt;'Données projet'!$A$114,$BV$205^A76,IF(A76='Données projet'!$A$114,'Données projet'!$B$114,BY75+BX76-CG75)))</f>
        <v>299.88699999999938</v>
      </c>
      <c r="BZ76" s="14">
        <f>BY76*VLOOKUP('Données projet'!$B$12,Paramètres!$A$1:$I$89,3,0)*VLOOKUP('Données projet'!$B$12,Paramètres!$A$1:$I$89,5,0)</f>
        <v>171.53536399999967</v>
      </c>
      <c r="CA76" s="14">
        <f t="shared" si="93"/>
        <v>43.433713900216496</v>
      </c>
      <c r="CB76" s="22">
        <f t="shared" si="64"/>
        <v>374.40447734287653</v>
      </c>
      <c r="CC76" s="62">
        <f t="shared" si="65"/>
        <v>647.55287685923474</v>
      </c>
      <c r="CD76" s="62">
        <f ca="1">AVERAGE(OFFSET($CC$3,0,0,'Données projet'!$E$12+1,1))-AVERAGE(OFFSET($H$3,0,0,'Données projet'!$E$12+1,1))</f>
        <v>312.16891625633968</v>
      </c>
      <c r="CE76" s="62">
        <f t="shared" si="94"/>
        <v>215.34305815516177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3.6462970028328252</v>
      </c>
      <c r="CM76" s="23">
        <f>EXP(-LN(2)/2)*CM75+(1-EXP(-LN(2)/2))/(LN(2)/2)*CG76*CJ76*VLOOKUP('Données projet'!$B$12,Paramètres!$A$1:$I$89,3,0)*0.475*44/12</f>
        <v>2.7471621159149557E-6</v>
      </c>
      <c r="CN76" s="24">
        <f t="shared" si="66"/>
        <v>3.6462997499949412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4.8717948717948731</v>
      </c>
      <c r="CT76" s="13">
        <f>IF('Données projet'!$A$140&gt;35,CT75+CS76-DB75,IF(A76&lt;'Données projet'!$A$140,$CQ$205^A76,IF(A76='Données projet'!$A$140,'Données projet'!$B$140,CT75+CS76-DB75)))</f>
        <v>290.89743589743574</v>
      </c>
      <c r="CU76" s="18">
        <f>CT76*VLOOKUP('Données projet'!$B$13,Paramètres!$A$1:$I$89,3,0)*VLOOKUP('Données projet'!$B$13,Paramètres!$A$1:$I$89,5,0)</f>
        <v>195.1339999999999</v>
      </c>
      <c r="CV76" s="14">
        <f t="shared" si="95"/>
        <v>48.673240038938658</v>
      </c>
      <c r="CW76" s="22">
        <f t="shared" si="67"/>
        <v>424.63094306781801</v>
      </c>
      <c r="CX76" s="62">
        <f t="shared" si="68"/>
        <v>697.77934258417622</v>
      </c>
      <c r="CY76" s="62">
        <f ca="1">AVERAGE(OFFSET($CX$3,0,0,'Données projet'!$E$13+1,1))-AVERAGE(OFFSET($H$3,0,0,'Données projet'!$E$13+1,1))</f>
        <v>369.04754428478793</v>
      </c>
      <c r="CZ76" s="62">
        <f t="shared" si="96"/>
        <v>277.00523259351712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1.1368683772161603E-13</v>
      </c>
      <c r="DP76" s="18">
        <f>DO76*VLOOKUP('Données projet'!$B$14,Paramètres!$A$1:$I$89,3,0)*VLOOKUP('Données projet'!$B$14,Paramètres!$A$1:$I$89,5,0)</f>
        <v>8.8675733422860506E-14</v>
      </c>
      <c r="DQ76" s="14">
        <f t="shared" si="97"/>
        <v>1.3509285393066301E-12</v>
      </c>
      <c r="DR76" s="22">
        <f t="shared" si="70"/>
        <v>2.5073107750038623E-12</v>
      </c>
      <c r="DS76" s="62">
        <f t="shared" si="71"/>
        <v>273.14839951636071</v>
      </c>
      <c r="DT76" s="62">
        <f ca="1">AVERAGE(OFFSET($DS$3,0,0,'Données projet'!$E$14+1,1))-AVERAGE(OFFSET($H$3,0,0,'Données projet'!$E$14+1,1))</f>
        <v>308.39181291575227</v>
      </c>
      <c r="DU76" s="62">
        <f t="shared" si="98"/>
        <v>298.58225298824334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6.2</v>
      </c>
      <c r="EJ76" s="13">
        <f>IF('Données projet'!$A$192&gt;35,EJ75+EI76-ER75,IF(A76&lt;'Données projet'!$A$192,$EG$205^A76,IF(A76='Données projet'!$A$192,'Données projet'!$B$192,EJ75+EI76-ER75)))</f>
        <v>239.59999999999991</v>
      </c>
      <c r="EK76" s="18">
        <f>EJ76*VLOOKUP('Données projet'!$B$15,Paramètres!$A$1:$I$89,3,0)*VLOOKUP('Données projet'!$B$15,Paramètres!$A$1:$I$89,5,0)</f>
        <v>231.74111999999991</v>
      </c>
      <c r="EL76" s="14">
        <f t="shared" si="99"/>
        <v>56.658986982752438</v>
      </c>
      <c r="EM76" s="22">
        <f t="shared" si="73"/>
        <v>502.29685299496032</v>
      </c>
      <c r="EN76" s="62">
        <f t="shared" si="74"/>
        <v>775.44525251131859</v>
      </c>
      <c r="EO76" s="62">
        <f ca="1">AVERAGE(OFFSET($EN$3,0,0,'Données projet'!$E$15+1,1))-AVERAGE(OFFSET($H$3,0,0,'Données projet'!$E$15+1,1))</f>
        <v>487.76433095707876</v>
      </c>
      <c r="EP76" s="62">
        <f t="shared" si="100"/>
        <v>276.24209151398361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6.2</v>
      </c>
      <c r="FE76" s="13">
        <f>IF('Données projet'!$A$218&gt;35,FE75+FD76-FM75,IF(A76&lt;'Données projet'!$A$218,$FB$205^A76,IF(A76='Données projet'!$A$218,'Données projet'!$B$218,FE75+FD76-FM75)))</f>
        <v>239.59999999999991</v>
      </c>
      <c r="FF76" s="18">
        <f>FE76*VLOOKUP('Données projet'!$B$16,Paramètres!$A$1:$I$89,3,0)*VLOOKUP('Données projet'!$B$16,Paramètres!$A$1:$I$89,5,0)</f>
        <v>257.90543999999989</v>
      </c>
      <c r="FG76" s="14">
        <f t="shared" si="101"/>
        <v>62.275692442827719</v>
      </c>
      <c r="FH76" s="22">
        <f t="shared" si="76"/>
        <v>557.64880567125817</v>
      </c>
      <c r="FI76" s="62">
        <f t="shared" si="77"/>
        <v>830.79720518761633</v>
      </c>
      <c r="FJ76" s="62">
        <f ca="1">AVERAGE(OFFSET($FI$3,0,0,'Données projet'!$E$16+1,1))-AVERAGE(OFFSET($H$3,0,0,'Données projet'!$E$16+1,1))</f>
        <v>534.33392288300456</v>
      </c>
      <c r="FK76" s="62">
        <f t="shared" si="102"/>
        <v>300.93109615735477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4.2307692307692317</v>
      </c>
      <c r="FZ76" s="13">
        <f>IF('Données projet'!$A$244&gt;35,FZ75+FY76-GH75,IF(A76&lt;'Données projet'!$A$244,$FW$205^A76,IF(A76='Données projet'!$A$244,'Données projet'!$B$244,FZ75+FY76-GH75)))</f>
        <v>231.92307692307679</v>
      </c>
      <c r="GA76" s="18">
        <f>FZ76*VLOOKUP('Données projet'!$B$17,Paramètres!$A$1:$I$89,3,0)*VLOOKUP('Données projet'!$B$17,Paramètres!$A$1:$I$89,5,0)</f>
        <v>155.5739999999999</v>
      </c>
      <c r="GB76" s="14">
        <f t="shared" si="103"/>
        <v>39.842594745761488</v>
      </c>
      <c r="GC76" s="22">
        <f t="shared" si="79"/>
        <v>340.35056918220107</v>
      </c>
      <c r="GD76" s="62">
        <f t="shared" si="80"/>
        <v>613.49896869855934</v>
      </c>
      <c r="GE76" s="62">
        <f ca="1">AVERAGE(OFFSET($GD$3,0,0,'Données projet'!$E$17+1,1))-AVERAGE(OFFSET($H$3,0,0,'Données projet'!$E$17+1,1))</f>
        <v>316.17772895535211</v>
      </c>
      <c r="GF76" s="62">
        <f t="shared" si="104"/>
        <v>251.94445589652992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64.495018049915871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3.95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14.483333333333334</v>
      </c>
      <c r="H77" s="70">
        <f t="shared" si="56"/>
        <v>198.73333333333335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7.6</v>
      </c>
      <c r="N77" s="14">
        <f>IF('Données projet'!$A$36&gt;35,N76+M77-V76,IF(A77&lt;'Données projet'!$A$36,$K$205^A77,IF(A77='Données projet'!$A$36,'Données projet'!$B$36,N76+M77-V76)))</f>
        <v>332.40000000000003</v>
      </c>
      <c r="O77" s="14">
        <f>N77*VLOOKUP('Données projet'!$B$9,Paramètres!$A$1:$I$89,3,0)*VLOOKUP('Données projet'!$B$9,Paramètres!$A$1:$I$89,5,0)</f>
        <v>280.01376000000005</v>
      </c>
      <c r="P77" s="14">
        <f t="shared" si="87"/>
        <v>66.969916756344503</v>
      </c>
      <c r="Q77" s="22">
        <f t="shared" si="54"/>
        <v>604.32990368396679</v>
      </c>
      <c r="R77" s="62">
        <f t="shared" si="55"/>
        <v>877.82846667529793</v>
      </c>
      <c r="S77" s="62">
        <f ca="1">AVERAGE(OFFSET($R$3,0,0,'Données projet'!$E$9+1,1))-AVERAGE(OFFSET($H$3,0,0,'Données projet'!$E$9+1,1))</f>
        <v>508.93703669150443</v>
      </c>
      <c r="T77" s="62">
        <f t="shared" si="88"/>
        <v>277.04920840696707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6.2</v>
      </c>
      <c r="AI77" s="14">
        <f>IF('Données projet'!$A$62&gt;35,AI76+AH77-AQ76,IF(A77&lt;'Données projet'!$A$62,$AF$205^A77,IF(A77='Données projet'!$A$62,'Données projet'!$B$62,AI76+AH77-AQ76)))</f>
        <v>245.7999999999999</v>
      </c>
      <c r="AJ77" s="14">
        <f>AI77*VLOOKUP('Données projet'!$B$10,Paramètres!$A$1:$I$89,3,0)*VLOOKUP('Données projet'!$B$10,Paramètres!$A$1:$I$89,5,0)</f>
        <v>222.3998399999999</v>
      </c>
      <c r="AK77" s="14">
        <f t="shared" si="89"/>
        <v>54.636149281681448</v>
      </c>
      <c r="AL77" s="22">
        <f t="shared" si="58"/>
        <v>482.50434799892832</v>
      </c>
      <c r="AM77" s="62">
        <f t="shared" si="59"/>
        <v>756.00291099025958</v>
      </c>
      <c r="AN77" s="62">
        <f ca="1">AVERAGE(OFFSET($AM$3,0,0,'Données projet'!$E$10+1,1))-AVERAGE(OFFSET($H$3,0,0,'Données projet'!$E$10+1,1))</f>
        <v>461.10503306101145</v>
      </c>
      <c r="AO77" s="62">
        <f t="shared" si="90"/>
        <v>262.10652147273288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4.4000000000000004</v>
      </c>
      <c r="BD77" s="13">
        <f>IF('Données projet'!$A$88&gt;35,BD76+BC77-BL76,IF(A77&lt;'Données projet'!$A$88,$BA$205^A77,IF(A77='Données projet'!$A$88,'Données projet'!$B$88,BD76+BC77-BL76)))</f>
        <v>319.59999999999968</v>
      </c>
      <c r="BE77" s="14">
        <f>BD77*VLOOKUP('Données projet'!$B$11,Paramètres!$A$1:$I$89,3,0)*VLOOKUP('Données projet'!$B$11,Paramètres!$A$1:$I$89,5,0)</f>
        <v>254.27375999999975</v>
      </c>
      <c r="BF77" s="14">
        <f t="shared" si="91"/>
        <v>61.500197451316261</v>
      </c>
      <c r="BG77" s="22">
        <f t="shared" si="61"/>
        <v>549.97297589437528</v>
      </c>
      <c r="BH77" s="62">
        <f t="shared" si="62"/>
        <v>823.47153888570642</v>
      </c>
      <c r="BI77" s="62">
        <f ca="1">AVERAGE(OFFSET($BH$3,0,0,'Données projet'!$E$11+1,1))-AVERAGE(OFFSET($H$3,0,0,'Données projet'!$E$11+1,1))</f>
        <v>389.67854939311752</v>
      </c>
      <c r="BJ77" s="62">
        <f t="shared" si="92"/>
        <v>420.05189970516096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6.5490000000000013</v>
      </c>
      <c r="BY77" s="13">
        <f>IF('Données projet'!$A$114&gt;35,BY76+BX77-CG76,IF(A77&lt;'Données projet'!$A$114,$BV$205^A77,IF(A77='Données projet'!$A$114,'Données projet'!$B$114,BY76+BX77-CG76)))</f>
        <v>306.43599999999935</v>
      </c>
      <c r="BZ77" s="14">
        <f>BY77*VLOOKUP('Données projet'!$B$12,Paramètres!$A$1:$I$89,3,0)*VLOOKUP('Données projet'!$B$12,Paramètres!$A$1:$I$89,5,0)</f>
        <v>175.28139199999964</v>
      </c>
      <c r="CA77" s="14">
        <f t="shared" si="93"/>
        <v>44.270765309331409</v>
      </c>
      <c r="CB77" s="22">
        <f t="shared" si="64"/>
        <v>382.38667398041827</v>
      </c>
      <c r="CC77" s="62">
        <f t="shared" si="65"/>
        <v>655.88523697174946</v>
      </c>
      <c r="CD77" s="62">
        <f ca="1">AVERAGE(OFFSET($CC$3,0,0,'Données projet'!$E$12+1,1))-AVERAGE(OFFSET($H$3,0,0,'Données projet'!$E$12+1,1))</f>
        <v>312.16891625633968</v>
      </c>
      <c r="CE77" s="62">
        <f t="shared" si="94"/>
        <v>215.34305815516177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3.5465888195399358</v>
      </c>
      <c r="CM77" s="23">
        <f>EXP(-LN(2)/2)*CM76+(1-EXP(-LN(2)/2))/(LN(2)/2)*CG77*CJ77*VLOOKUP('Données projet'!$B$12,Paramètres!$A$1:$I$89,3,0)*0.475*44/12</f>
        <v>1.9425369611822495E-6</v>
      </c>
      <c r="CN77" s="24">
        <f t="shared" si="66"/>
        <v>3.5465907620768968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4.8717948717948731</v>
      </c>
      <c r="CT77" s="13">
        <f>IF('Données projet'!$A$140&gt;35,CT76+CS77-DB76,IF(A77&lt;'Données projet'!$A$140,$CQ$205^A77,IF(A77='Données projet'!$A$140,'Données projet'!$B$140,CT76+CS77-DB76)))</f>
        <v>295.7692307692306</v>
      </c>
      <c r="CU77" s="18">
        <f>CT77*VLOOKUP('Données projet'!$B$13,Paramètres!$A$1:$I$89,3,0)*VLOOKUP('Données projet'!$B$13,Paramètres!$A$1:$I$89,5,0)</f>
        <v>198.4019999999999</v>
      </c>
      <c r="CV77" s="14">
        <f t="shared" si="95"/>
        <v>49.392811893773114</v>
      </c>
      <c r="CW77" s="22">
        <f t="shared" si="67"/>
        <v>431.57596404832128</v>
      </c>
      <c r="CX77" s="62">
        <f t="shared" si="68"/>
        <v>705.07452703965248</v>
      </c>
      <c r="CY77" s="62">
        <f ca="1">AVERAGE(OFFSET($CX$3,0,0,'Données projet'!$E$13+1,1))-AVERAGE(OFFSET($H$3,0,0,'Données projet'!$E$13+1,1))</f>
        <v>369.04754428478793</v>
      </c>
      <c r="CZ77" s="62">
        <f t="shared" si="96"/>
        <v>277.00523259351712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1.1368683772161603E-13</v>
      </c>
      <c r="DP77" s="18">
        <f>DO77*VLOOKUP('Données projet'!$B$14,Paramètres!$A$1:$I$89,3,0)*VLOOKUP('Données projet'!$B$14,Paramètres!$A$1:$I$89,5,0)</f>
        <v>8.8675733422860506E-14</v>
      </c>
      <c r="DQ77" s="14">
        <f t="shared" si="97"/>
        <v>1.3509285393066301E-12</v>
      </c>
      <c r="DR77" s="22">
        <f t="shared" si="70"/>
        <v>2.5073107750038623E-12</v>
      </c>
      <c r="DS77" s="62">
        <f t="shared" si="71"/>
        <v>273.4985629913337</v>
      </c>
      <c r="DT77" s="62">
        <f ca="1">AVERAGE(OFFSET($DS$3,0,0,'Données projet'!$E$14+1,1))-AVERAGE(OFFSET($H$3,0,0,'Données projet'!$E$14+1,1))</f>
        <v>308.39181291575227</v>
      </c>
      <c r="DU77" s="62">
        <f t="shared" si="98"/>
        <v>298.58225298824334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6.2</v>
      </c>
      <c r="EJ77" s="13">
        <f>IF('Données projet'!$A$192&gt;35,EJ76+EI77-ER76,IF(A77&lt;'Données projet'!$A$192,$EG$205^A77,IF(A77='Données projet'!$A$192,'Données projet'!$B$192,EJ76+EI77-ER76)))</f>
        <v>245.7999999999999</v>
      </c>
      <c r="EK77" s="18">
        <f>EJ77*VLOOKUP('Données projet'!$B$15,Paramètres!$A$1:$I$89,3,0)*VLOOKUP('Données projet'!$B$15,Paramètres!$A$1:$I$89,5,0)</f>
        <v>237.73775999999989</v>
      </c>
      <c r="EL77" s="14">
        <f t="shared" si="99"/>
        <v>57.952530566790166</v>
      </c>
      <c r="EM77" s="22">
        <f t="shared" si="73"/>
        <v>514.99392273715932</v>
      </c>
      <c r="EN77" s="62">
        <f t="shared" si="74"/>
        <v>788.49248572849046</v>
      </c>
      <c r="EO77" s="62">
        <f ca="1">AVERAGE(OFFSET($EN$3,0,0,'Données projet'!$E$15+1,1))-AVERAGE(OFFSET($H$3,0,0,'Données projet'!$E$15+1,1))</f>
        <v>487.76433095707876</v>
      </c>
      <c r="EP77" s="62">
        <f t="shared" si="100"/>
        <v>276.24209151398361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6.2</v>
      </c>
      <c r="FE77" s="13">
        <f>IF('Données projet'!$A$218&gt;35,FE76+FD77-FM76,IF(A77&lt;'Données projet'!$A$218,$FB$205^A77,IF(A77='Données projet'!$A$218,'Données projet'!$B$218,FE76+FD77-FM76)))</f>
        <v>245.7999999999999</v>
      </c>
      <c r="FF77" s="18">
        <f>FE77*VLOOKUP('Données projet'!$B$16,Paramètres!$A$1:$I$89,3,0)*VLOOKUP('Données projet'!$B$16,Paramètres!$A$1:$I$89,5,0)</f>
        <v>264.57911999999988</v>
      </c>
      <c r="FG77" s="14">
        <f t="shared" si="101"/>
        <v>63.697467287221869</v>
      </c>
      <c r="FH77" s="22">
        <f t="shared" si="76"/>
        <v>571.74838952524453</v>
      </c>
      <c r="FI77" s="62">
        <f t="shared" si="77"/>
        <v>845.24695251657567</v>
      </c>
      <c r="FJ77" s="62">
        <f ca="1">AVERAGE(OFFSET($FI$3,0,0,'Données projet'!$E$16+1,1))-AVERAGE(OFFSET($H$3,0,0,'Données projet'!$E$16+1,1))</f>
        <v>534.33392288300456</v>
      </c>
      <c r="FK77" s="62">
        <f t="shared" si="102"/>
        <v>300.93109615735477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4.2307692307692317</v>
      </c>
      <c r="FZ77" s="13">
        <f>IF('Données projet'!$A$244&gt;35,FZ76+FY77-GH76,IF(A77&lt;'Données projet'!$A$244,$FW$205^A77,IF(A77='Données projet'!$A$244,'Données projet'!$B$244,FZ76+FY77-GH76)))</f>
        <v>236.15384615384602</v>
      </c>
      <c r="GA77" s="18">
        <f>FZ77*VLOOKUP('Données projet'!$B$17,Paramètres!$A$1:$I$89,3,0)*VLOOKUP('Données projet'!$B$17,Paramètres!$A$1:$I$89,5,0)</f>
        <v>158.41199999999992</v>
      </c>
      <c r="GB77" s="14">
        <f t="shared" si="103"/>
        <v>40.484129909813383</v>
      </c>
      <c r="GC77" s="22">
        <f t="shared" si="79"/>
        <v>346.41075959292488</v>
      </c>
      <c r="GD77" s="62">
        <f t="shared" si="80"/>
        <v>619.90932258425607</v>
      </c>
      <c r="GE77" s="62">
        <f ca="1">AVERAGE(OFFSET($GD$3,0,0,'Données projet'!$E$17+1,1))-AVERAGE(OFFSET($H$3,0,0,'Données projet'!$E$17+1,1))</f>
        <v>316.17772895535211</v>
      </c>
      <c r="GF77" s="62">
        <f t="shared" si="104"/>
        <v>251.94445589652992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64.590517179453954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3.95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14.483333333333334</v>
      </c>
      <c r="H78" s="70">
        <f t="shared" si="56"/>
        <v>198.73333333333335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340</v>
      </c>
      <c r="L78" s="13">
        <f>VLOOKUP(A78,'Données projet'!$A$35:$I$55,9,0)</f>
        <v>7.6</v>
      </c>
      <c r="M78" s="13">
        <f t="array" ref="M78">INDEX(L:L,MIN(IF(ISNUMBER(L78:L274),ROW(L78:L274),"")))</f>
        <v>7.6</v>
      </c>
      <c r="N78" s="14">
        <f>IF('Données projet'!$A$36&gt;35,N77+M78-V77,IF(A78&lt;'Données projet'!$A$36,$K$205^A78,IF(A78='Données projet'!$A$36,'Données projet'!$B$36,N77+M78-V77)))</f>
        <v>340.00000000000006</v>
      </c>
      <c r="O78" s="14">
        <f>N78*VLOOKUP('Données projet'!$B$9,Paramètres!$A$1:$I$89,3,0)*VLOOKUP('Données projet'!$B$9,Paramètres!$A$1:$I$89,5,0)</f>
        <v>286.41600000000011</v>
      </c>
      <c r="P78" s="14">
        <f t="shared" si="87"/>
        <v>68.321101129951245</v>
      </c>
      <c r="Q78" s="22">
        <f t="shared" si="54"/>
        <v>617.83378446799861</v>
      </c>
      <c r="R78" s="62">
        <f t="shared" si="55"/>
        <v>891.6764363808602</v>
      </c>
      <c r="S78" s="62">
        <f ca="1">AVERAGE(OFFSET($R$3,0,0,'Données projet'!$E$9+1,1))-AVERAGE(OFFSET($H$3,0,0,'Données projet'!$E$9+1,1))</f>
        <v>508.93703669150443</v>
      </c>
      <c r="T78" s="62">
        <f t="shared" si="88"/>
        <v>277.04920840696707</v>
      </c>
      <c r="U78" s="16">
        <f>IF(ISNA(VLOOKUP(A78,'Données projet'!$A$35:$I$55,3,0)),0,VLOOKUP(A78,'Données projet'!$A$35:$I$55,3,0))</f>
        <v>6</v>
      </c>
      <c r="V78" s="16">
        <f>IF(ISNA(VLOOKUP(A78,'Données projet'!$A$35:$I$55,4,0)),0,VLOOKUP(A78,'Données projet'!$A$35:$I$55,4,0))</f>
        <v>56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252</v>
      </c>
      <c r="AG78" s="13">
        <f>VLOOKUP(A78,'Données projet'!$A$61:$I$81,9,0)</f>
        <v>6.2</v>
      </c>
      <c r="AH78" s="13">
        <f t="array" ref="AH78">INDEX(AG:AG,MIN(IF(ISNUMBER(AG78:AG274),ROW(AG78:AG274),"")))</f>
        <v>6.2</v>
      </c>
      <c r="AI78" s="14">
        <f>IF('Données projet'!$A$62&gt;35,AI77+AH78-AQ77,IF(A78&lt;'Données projet'!$A$62,$AF$205^A78,IF(A78='Données projet'!$A$62,'Données projet'!$B$62,AI77+AH78-AQ77)))</f>
        <v>251.99999999999989</v>
      </c>
      <c r="AJ78" s="14">
        <f>AI78*VLOOKUP('Données projet'!$B$10,Paramètres!$A$1:$I$89,3,0)*VLOOKUP('Données projet'!$B$10,Paramètres!$A$1:$I$89,5,0)</f>
        <v>228.00959999999986</v>
      </c>
      <c r="AK78" s="14">
        <f t="shared" si="89"/>
        <v>55.852093054619779</v>
      </c>
      <c r="AL78" s="22">
        <f t="shared" si="58"/>
        <v>494.39244873679587</v>
      </c>
      <c r="AM78" s="62">
        <f t="shared" si="59"/>
        <v>768.23510064965751</v>
      </c>
      <c r="AN78" s="62">
        <f ca="1">AVERAGE(OFFSET($AM$3,0,0,'Données projet'!$E$10+1,1))-AVERAGE(OFFSET($H$3,0,0,'Données projet'!$E$10+1,1))</f>
        <v>461.10503306101145</v>
      </c>
      <c r="AO78" s="62">
        <f t="shared" si="90"/>
        <v>262.10652147273288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324</v>
      </c>
      <c r="BB78" s="13">
        <f>VLOOKUP(A78,'Données projet'!$A$87:$I$107,9,0)</f>
        <v>4.4000000000000004</v>
      </c>
      <c r="BC78" s="13">
        <f t="array" ref="BC78">INDEX(BB:BB,MIN(IF(ISNUMBER(BB78:BB274),ROW(BB78:BB274),"")))</f>
        <v>4.4000000000000004</v>
      </c>
      <c r="BD78" s="13">
        <f>IF('Données projet'!$A$88&gt;35,BD77+BC78-BL77,IF(A78&lt;'Données projet'!$A$88,$BA$205^A78,IF(A78='Données projet'!$A$88,'Données projet'!$B$88,BD77+BC78-BL77)))</f>
        <v>323.99999999999966</v>
      </c>
      <c r="BE78" s="14">
        <f>BD78*VLOOKUP('Données projet'!$B$11,Paramètres!$A$1:$I$89,3,0)*VLOOKUP('Données projet'!$B$11,Paramètres!$A$1:$I$89,5,0)</f>
        <v>257.77439999999973</v>
      </c>
      <c r="BF78" s="14">
        <f t="shared" si="91"/>
        <v>62.247732872134243</v>
      </c>
      <c r="BG78" s="22">
        <f t="shared" si="61"/>
        <v>557.37188141896661</v>
      </c>
      <c r="BH78" s="62">
        <f t="shared" si="62"/>
        <v>831.21453333182831</v>
      </c>
      <c r="BI78" s="62">
        <f ca="1">AVERAGE(OFFSET($BH$3,0,0,'Données projet'!$E$11+1,1))-AVERAGE(OFFSET($H$3,0,0,'Données projet'!$E$11+1,1))</f>
        <v>389.67854939311752</v>
      </c>
      <c r="BJ78" s="62">
        <f t="shared" si="92"/>
        <v>420.05189970516096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6.5490000000000013</v>
      </c>
      <c r="BY78" s="13">
        <f>IF('Données projet'!$A$114&gt;35,BY77+BX78-CG77,IF(A78&lt;'Données projet'!$A$114,$BV$205^A78,IF(A78='Données projet'!$A$114,'Données projet'!$B$114,BY77+BX78-CG77)))</f>
        <v>312.98499999999933</v>
      </c>
      <c r="BZ78" s="14">
        <f>BY78*VLOOKUP('Données projet'!$B$12,Paramètres!$A$1:$I$89,3,0)*VLOOKUP('Données projet'!$B$12,Paramètres!$A$1:$I$89,5,0)</f>
        <v>179.02741999999961</v>
      </c>
      <c r="CA78" s="14">
        <f t="shared" si="93"/>
        <v>45.105736853235065</v>
      </c>
      <c r="CB78" s="22">
        <f t="shared" si="64"/>
        <v>390.36524818605039</v>
      </c>
      <c r="CC78" s="62">
        <f t="shared" si="65"/>
        <v>664.20790009891198</v>
      </c>
      <c r="CD78" s="62">
        <f ca="1">AVERAGE(OFFSET($CC$3,0,0,'Données projet'!$E$12+1,1))-AVERAGE(OFFSET($H$3,0,0,'Données projet'!$E$12+1,1))</f>
        <v>312.16891625633968</v>
      </c>
      <c r="CE78" s="62">
        <f t="shared" si="94"/>
        <v>215.34305815516177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3.4496071617626161</v>
      </c>
      <c r="CM78" s="23">
        <f>EXP(-LN(2)/2)*CM77+(1-EXP(-LN(2)/2))/(LN(2)/2)*CG78*CJ78*VLOOKUP('Données projet'!$B$12,Paramètres!$A$1:$I$89,3,0)*0.475*44/12</f>
        <v>1.3735810579574779E-6</v>
      </c>
      <c r="CN78" s="24">
        <f t="shared" si="66"/>
        <v>3.4496085353436738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300.64102564102564</v>
      </c>
      <c r="CR78" s="13">
        <f>VLOOKUP(A78,'Données projet'!$A$139:$I$159,9,0)</f>
        <v>4.8717948717948731</v>
      </c>
      <c r="CS78" s="13">
        <f t="array" ref="CS78">INDEX(CR:CR,MIN(IF(ISNUMBER(CR78:CR274),ROW(CR78:CR274),"")))</f>
        <v>4.8717948717948731</v>
      </c>
      <c r="CT78" s="13">
        <f>IF('Données projet'!$A$140&gt;35,CT77+CS78-DB77,IF(A78&lt;'Données projet'!$A$140,$CQ$205^A78,IF(A78='Données projet'!$A$140,'Données projet'!$B$140,CT77+CS78-DB77)))</f>
        <v>300.64102564102546</v>
      </c>
      <c r="CU78" s="18">
        <f>CT78*VLOOKUP('Données projet'!$B$13,Paramètres!$A$1:$I$89,3,0)*VLOOKUP('Données projet'!$B$13,Paramètres!$A$1:$I$89,5,0)</f>
        <v>201.66999999999987</v>
      </c>
      <c r="CV78" s="14">
        <f t="shared" si="95"/>
        <v>50.111005372790743</v>
      </c>
      <c r="CW78" s="22">
        <f t="shared" si="67"/>
        <v>438.51858435761028</v>
      </c>
      <c r="CX78" s="62">
        <f t="shared" si="68"/>
        <v>712.36123627047186</v>
      </c>
      <c r="CY78" s="62">
        <f ca="1">AVERAGE(OFFSET($CX$3,0,0,'Données projet'!$E$13+1,1))-AVERAGE(OFFSET($H$3,0,0,'Données projet'!$E$13+1,1))</f>
        <v>369.04754428478793</v>
      </c>
      <c r="CZ78" s="62">
        <f t="shared" si="96"/>
        <v>277.00523259351712</v>
      </c>
      <c r="DA78" s="16">
        <f>IF(ISNA(VLOOKUP(A78,'Données projet'!$A$139:$I$159,3,0)),0,VLOOKUP(A78,'Données projet'!$A$139:$I$159,3,0))</f>
        <v>7</v>
      </c>
      <c r="DB78" s="16">
        <f>IF(ISNA(VLOOKUP(A78,'Données projet'!$A$139:$I$159,4,0)),0,VLOOKUP(A78,'Données projet'!$A$139:$I$159,4,0))</f>
        <v>28.846153846153847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1.1368683772161603E-13</v>
      </c>
      <c r="DP78" s="18">
        <f>DO78*VLOOKUP('Données projet'!$B$14,Paramètres!$A$1:$I$89,3,0)*VLOOKUP('Données projet'!$B$14,Paramètres!$A$1:$I$89,5,0)</f>
        <v>8.8675733422860506E-14</v>
      </c>
      <c r="DQ78" s="14">
        <f t="shared" si="97"/>
        <v>1.3509285393066301E-12</v>
      </c>
      <c r="DR78" s="22">
        <f t="shared" si="70"/>
        <v>2.5073107750038623E-12</v>
      </c>
      <c r="DS78" s="62">
        <f t="shared" si="71"/>
        <v>273.84265191286414</v>
      </c>
      <c r="DT78" s="62">
        <f ca="1">AVERAGE(OFFSET($DS$3,0,0,'Données projet'!$E$14+1,1))-AVERAGE(OFFSET($H$3,0,0,'Données projet'!$E$14+1,1))</f>
        <v>308.39181291575227</v>
      </c>
      <c r="DU78" s="62">
        <f t="shared" si="98"/>
        <v>298.58225298824334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252</v>
      </c>
      <c r="EH78" s="13">
        <f>VLOOKUP(A78,'Données projet'!$A$191:$I$211,9,0)</f>
        <v>6.2</v>
      </c>
      <c r="EI78" s="13">
        <f t="array" ref="EI78">INDEX(EH:EH,MIN(IF(ISNUMBER(EH78:EH274),ROW(EH78:EH274),"")))</f>
        <v>6.2</v>
      </c>
      <c r="EJ78" s="13">
        <f>IF('Données projet'!$A$192&gt;35,EJ77+EI78-ER77,IF(A78&lt;'Données projet'!$A$192,$EG$205^A78,IF(A78='Données projet'!$A$192,'Données projet'!$B$192,EJ77+EI78-ER77)))</f>
        <v>251.99999999999989</v>
      </c>
      <c r="EK78" s="18">
        <f>EJ78*VLOOKUP('Données projet'!$B$15,Paramètres!$A$1:$I$89,3,0)*VLOOKUP('Données projet'!$B$15,Paramètres!$A$1:$I$89,5,0)</f>
        <v>243.73439999999988</v>
      </c>
      <c r="EL78" s="14">
        <f t="shared" si="99"/>
        <v>59.242281392848767</v>
      </c>
      <c r="EM78" s="22">
        <f t="shared" si="73"/>
        <v>527.68438675921141</v>
      </c>
      <c r="EN78" s="62">
        <f t="shared" si="74"/>
        <v>801.5270386720731</v>
      </c>
      <c r="EO78" s="62">
        <f ca="1">AVERAGE(OFFSET($EN$3,0,0,'Données projet'!$E$15+1,1))-AVERAGE(OFFSET($H$3,0,0,'Données projet'!$E$15+1,1))</f>
        <v>487.76433095707876</v>
      </c>
      <c r="EP78" s="62">
        <f t="shared" si="100"/>
        <v>276.24209151398361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252</v>
      </c>
      <c r="FC78" s="13">
        <f>VLOOKUP(A78,'Données projet'!$A$217:$I$237,9,0)</f>
        <v>6.2</v>
      </c>
      <c r="FD78" s="13">
        <f t="array" ref="FD78">INDEX(FC:FC,MIN(IF(ISNUMBER(FC78:FC274),ROW(FC78:FC274),"")))</f>
        <v>6.2</v>
      </c>
      <c r="FE78" s="13">
        <f>IF('Données projet'!$A$218&gt;35,FE77+FD78-FM77,IF(A78&lt;'Données projet'!$A$218,$FB$205^A78,IF(A78='Données projet'!$A$218,'Données projet'!$B$218,FE77+FD78-FM77)))</f>
        <v>251.99999999999989</v>
      </c>
      <c r="FF78" s="18">
        <f>FE78*VLOOKUP('Données projet'!$B$16,Paramètres!$A$1:$I$89,3,0)*VLOOKUP('Données projet'!$B$16,Paramètres!$A$1:$I$89,5,0)</f>
        <v>271.25279999999987</v>
      </c>
      <c r="FG78" s="14">
        <f t="shared" si="101"/>
        <v>65.115073390838859</v>
      </c>
      <c r="FH78" s="22">
        <f t="shared" si="76"/>
        <v>585.84071282237744</v>
      </c>
      <c r="FI78" s="62">
        <f t="shared" si="77"/>
        <v>859.68336473523914</v>
      </c>
      <c r="FJ78" s="62">
        <f ca="1">AVERAGE(OFFSET($FI$3,0,0,'Données projet'!$E$16+1,1))-AVERAGE(OFFSET($H$3,0,0,'Données projet'!$E$16+1,1))</f>
        <v>534.33392288300456</v>
      </c>
      <c r="FK78" s="62">
        <f t="shared" si="102"/>
        <v>300.93109615735477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>
        <f>VLOOKUP(A78,'Données projet'!$A$243:$I$263,2,0)</f>
        <v>240.38461538461539</v>
      </c>
      <c r="FX78" s="13">
        <f>VLOOKUP(A78,'Données projet'!$A$243:$I$263,9,0)</f>
        <v>4.2307692307692317</v>
      </c>
      <c r="FY78" s="13">
        <f t="array" ref="FY78">INDEX(FX:FX,MIN(IF(ISNUMBER(FX78:FX274),ROW(FX78:FX274),"")))</f>
        <v>4.2307692307692317</v>
      </c>
      <c r="FZ78" s="13">
        <f>IF('Données projet'!$A$244&gt;35,FZ77+FY78-GH77,IF(A78&lt;'Données projet'!$A$244,$FW$205^A78,IF(A78='Données projet'!$A$244,'Données projet'!$B$244,FZ77+FY78-GH77)))</f>
        <v>240.38461538461524</v>
      </c>
      <c r="GA78" s="18">
        <f>FZ78*VLOOKUP('Données projet'!$B$17,Paramètres!$A$1:$I$89,3,0)*VLOOKUP('Données projet'!$B$17,Paramètres!$A$1:$I$89,5,0)</f>
        <v>161.24999999999991</v>
      </c>
      <c r="GB78" s="14">
        <f t="shared" si="103"/>
        <v>41.124328571986396</v>
      </c>
      <c r="GC78" s="22">
        <f t="shared" si="79"/>
        <v>352.46862226287612</v>
      </c>
      <c r="GD78" s="62">
        <f t="shared" si="80"/>
        <v>626.31127417573771</v>
      </c>
      <c r="GE78" s="62">
        <f ca="1">AVERAGE(OFFSET($GD$3,0,0,'Données projet'!$E$17+1,1))-AVERAGE(OFFSET($H$3,0,0,'Données projet'!$E$17+1,1))</f>
        <v>316.17772895535211</v>
      </c>
      <c r="GF78" s="62">
        <f t="shared" si="104"/>
        <v>251.94445589652992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64.684359612598627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3.95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14.483333333333334</v>
      </c>
      <c r="H79" s="70">
        <f t="shared" si="56"/>
        <v>198.73333333333335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7.2</v>
      </c>
      <c r="N79" s="14">
        <f>IF('Données projet'!$A$36&gt;35,N78+M79-V78,IF(A79&lt;'Données projet'!$A$36,$K$205^A79,IF(A79='Données projet'!$A$36,'Données projet'!$B$36,N78+M79-V78)))</f>
        <v>291.20000000000005</v>
      </c>
      <c r="O79" s="14">
        <f>N79*VLOOKUP('Données projet'!$B$9,Paramètres!$A$1:$I$89,3,0)*VLOOKUP('Données projet'!$B$9,Paramètres!$A$1:$I$89,5,0)</f>
        <v>245.30688000000009</v>
      </c>
      <c r="P79" s="14">
        <f t="shared" si="87"/>
        <v>59.579874112906374</v>
      </c>
      <c r="Q79" s="22">
        <f t="shared" si="54"/>
        <v>531.01109674664542</v>
      </c>
      <c r="R79" s="62">
        <f t="shared" si="55"/>
        <v>805.19186840751649</v>
      </c>
      <c r="S79" s="62">
        <f ca="1">AVERAGE(OFFSET($R$3,0,0,'Données projet'!$E$9+1,1))-AVERAGE(OFFSET($H$3,0,0,'Données projet'!$E$9+1,1))</f>
        <v>508.93703669150443</v>
      </c>
      <c r="T79" s="62">
        <f t="shared" si="88"/>
        <v>277.04920840696707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6</v>
      </c>
      <c r="AI79" s="14">
        <f>IF('Données projet'!$A$62&gt;35,AI78+AH79-AQ78,IF(A79&lt;'Données projet'!$A$62,$AF$205^A79,IF(A79='Données projet'!$A$62,'Données projet'!$B$62,AI78+AH79-AQ78)))</f>
        <v>257.99999999999989</v>
      </c>
      <c r="AJ79" s="14">
        <f>AI79*VLOOKUP('Données projet'!$B$10,Paramètres!$A$1:$I$89,3,0)*VLOOKUP('Données projet'!$B$10,Paramètres!$A$1:$I$89,5,0)</f>
        <v>233.43839999999989</v>
      </c>
      <c r="AK79" s="14">
        <f t="shared" si="89"/>
        <v>57.025500710931624</v>
      </c>
      <c r="AL79" s="22">
        <f t="shared" si="58"/>
        <v>505.89129373820577</v>
      </c>
      <c r="AM79" s="62">
        <f t="shared" si="59"/>
        <v>780.07206539907679</v>
      </c>
      <c r="AN79" s="62">
        <f ca="1">AVERAGE(OFFSET($AM$3,0,0,'Données projet'!$E$10+1,1))-AVERAGE(OFFSET($H$3,0,0,'Données projet'!$E$10+1,1))</f>
        <v>461.10503306101145</v>
      </c>
      <c r="AO79" s="62">
        <f t="shared" si="90"/>
        <v>262.10652147273288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3.6</v>
      </c>
      <c r="BD79" s="13">
        <f>IF('Données projet'!$A$88&gt;35,BD78+BC79-BL78,IF(A79&lt;'Données projet'!$A$88,$BA$205^A79,IF(A79='Données projet'!$A$88,'Données projet'!$B$88,BD78+BC79-BL78)))</f>
        <v>327.59999999999968</v>
      </c>
      <c r="BE79" s="14">
        <f>BD79*VLOOKUP('Données projet'!$B$11,Paramètres!$A$1:$I$89,3,0)*VLOOKUP('Données projet'!$B$11,Paramètres!$A$1:$I$89,5,0)</f>
        <v>260.63855999999976</v>
      </c>
      <c r="BF79" s="14">
        <f t="shared" si="91"/>
        <v>62.858473704931782</v>
      </c>
      <c r="BG79" s="22">
        <f t="shared" si="61"/>
        <v>563.4240003694224</v>
      </c>
      <c r="BH79" s="62">
        <f t="shared" si="62"/>
        <v>837.60477203029347</v>
      </c>
      <c r="BI79" s="62">
        <f ca="1">AVERAGE(OFFSET($BH$3,0,0,'Données projet'!$E$11+1,1))-AVERAGE(OFFSET($H$3,0,0,'Données projet'!$E$11+1,1))</f>
        <v>389.67854939311752</v>
      </c>
      <c r="BJ79" s="62">
        <f t="shared" si="92"/>
        <v>420.05189970516096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6.5490000000000013</v>
      </c>
      <c r="BY79" s="13">
        <f>IF('Données projet'!$A$114&gt;35,BY78+BX79-CG78,IF(A79&lt;'Données projet'!$A$114,$BV$205^A79,IF(A79='Données projet'!$A$114,'Données projet'!$B$114,BY78+BX79-CG78)))</f>
        <v>319.53399999999931</v>
      </c>
      <c r="BZ79" s="14">
        <f>BY79*VLOOKUP('Données projet'!$B$12,Paramètres!$A$1:$I$89,3,0)*VLOOKUP('Données projet'!$B$12,Paramètres!$A$1:$I$89,5,0)</f>
        <v>182.77344799999963</v>
      </c>
      <c r="CA79" s="14">
        <f t="shared" si="93"/>
        <v>45.938677065437702</v>
      </c>
      <c r="CB79" s="22">
        <f t="shared" si="64"/>
        <v>398.34028448896998</v>
      </c>
      <c r="CC79" s="62">
        <f t="shared" si="65"/>
        <v>672.52105614984112</v>
      </c>
      <c r="CD79" s="62">
        <f ca="1">AVERAGE(OFFSET($CC$3,0,0,'Données projet'!$E$12+1,1))-AVERAGE(OFFSET($H$3,0,0,'Données projet'!$E$12+1,1))</f>
        <v>312.16891625633968</v>
      </c>
      <c r="CE79" s="62">
        <f t="shared" si="94"/>
        <v>215.34305815516177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3.3552774725172609</v>
      </c>
      <c r="CM79" s="23">
        <f>EXP(-LN(2)/2)*CM78+(1-EXP(-LN(2)/2))/(LN(2)/2)*CG79*CJ79*VLOOKUP('Données projet'!$B$12,Paramètres!$A$1:$I$89,3,0)*0.475*44/12</f>
        <v>9.7126848059112474E-7</v>
      </c>
      <c r="CN79" s="24">
        <f t="shared" si="66"/>
        <v>3.3552784437857417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4.4871794871794917</v>
      </c>
      <c r="CT79" s="13">
        <f>IF('Données projet'!$A$140&gt;35,CT78+CS79-DB78,IF(A79&lt;'Données projet'!$A$140,$CQ$205^A79,IF(A79='Données projet'!$A$140,'Données projet'!$B$140,CT78+CS79-DB78)))</f>
        <v>276.2820512820511</v>
      </c>
      <c r="CU79" s="18">
        <f>CT79*VLOOKUP('Données projet'!$B$13,Paramètres!$A$1:$I$89,3,0)*VLOOKUP('Données projet'!$B$13,Paramètres!$A$1:$I$89,5,0)</f>
        <v>185.32999999999987</v>
      </c>
      <c r="CV79" s="14">
        <f t="shared" si="95"/>
        <v>46.505991525491268</v>
      </c>
      <c r="CW79" s="22">
        <f t="shared" si="67"/>
        <v>403.7810185735637</v>
      </c>
      <c r="CX79" s="62">
        <f t="shared" si="68"/>
        <v>677.96179023443483</v>
      </c>
      <c r="CY79" s="62">
        <f ca="1">AVERAGE(OFFSET($CX$3,0,0,'Données projet'!$E$13+1,1))-AVERAGE(OFFSET($H$3,0,0,'Données projet'!$E$13+1,1))</f>
        <v>369.04754428478793</v>
      </c>
      <c r="CZ79" s="62">
        <f t="shared" si="96"/>
        <v>277.00523259351712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1.1368683772161603E-13</v>
      </c>
      <c r="DP79" s="18">
        <f>DO79*VLOOKUP('Données projet'!$B$14,Paramètres!$A$1:$I$89,3,0)*VLOOKUP('Données projet'!$B$14,Paramètres!$A$1:$I$89,5,0)</f>
        <v>8.8675733422860506E-14</v>
      </c>
      <c r="DQ79" s="14">
        <f t="shared" si="97"/>
        <v>1.3509285393066301E-12</v>
      </c>
      <c r="DR79" s="22">
        <f t="shared" si="70"/>
        <v>2.5073107750038623E-12</v>
      </c>
      <c r="DS79" s="62">
        <f t="shared" si="71"/>
        <v>274.18077166087357</v>
      </c>
      <c r="DT79" s="62">
        <f ca="1">AVERAGE(OFFSET($DS$3,0,0,'Données projet'!$E$14+1,1))-AVERAGE(OFFSET($H$3,0,0,'Données projet'!$E$14+1,1))</f>
        <v>308.39181291575227</v>
      </c>
      <c r="DU79" s="62">
        <f t="shared" si="98"/>
        <v>298.58225298824334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6</v>
      </c>
      <c r="EJ79" s="13">
        <f>IF('Données projet'!$A$192&gt;35,EJ78+EI79-ER78,IF(A79&lt;'Données projet'!$A$192,$EG$205^A79,IF(A79='Données projet'!$A$192,'Données projet'!$B$192,EJ78+EI79-ER78)))</f>
        <v>257.99999999999989</v>
      </c>
      <c r="EK79" s="18">
        <f>EJ79*VLOOKUP('Données projet'!$B$15,Paramètres!$A$1:$I$89,3,0)*VLOOKUP('Données projet'!$B$15,Paramètres!$A$1:$I$89,5,0)</f>
        <v>249.53759999999988</v>
      </c>
      <c r="EL79" s="14">
        <f t="shared" si="99"/>
        <v>60.486914185674671</v>
      </c>
      <c r="EM79" s="22">
        <f t="shared" si="73"/>
        <v>539.95936220671649</v>
      </c>
      <c r="EN79" s="62">
        <f t="shared" si="74"/>
        <v>814.14013386758756</v>
      </c>
      <c r="EO79" s="62">
        <f ca="1">AVERAGE(OFFSET($EN$3,0,0,'Données projet'!$E$15+1,1))-AVERAGE(OFFSET($H$3,0,0,'Données projet'!$E$15+1,1))</f>
        <v>487.76433095707876</v>
      </c>
      <c r="EP79" s="62">
        <f t="shared" si="100"/>
        <v>276.24209151398361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6</v>
      </c>
      <c r="FE79" s="13">
        <f>IF('Données projet'!$A$218&gt;35,FE78+FD79-FM78,IF(A79&lt;'Données projet'!$A$218,$FB$205^A79,IF(A79='Données projet'!$A$218,'Données projet'!$B$218,FE78+FD79-FM78)))</f>
        <v>257.99999999999989</v>
      </c>
      <c r="FF79" s="18">
        <f>FE79*VLOOKUP('Données projet'!$B$16,Paramètres!$A$1:$I$89,3,0)*VLOOKUP('Données projet'!$B$16,Paramètres!$A$1:$I$89,5,0)</f>
        <v>277.71119999999985</v>
      </c>
      <c r="FG79" s="14">
        <f t="shared" si="101"/>
        <v>66.483088830893976</v>
      </c>
      <c r="FH79" s="22">
        <f t="shared" si="76"/>
        <v>599.47171971380669</v>
      </c>
      <c r="FI79" s="62">
        <f t="shared" si="77"/>
        <v>873.65249137467777</v>
      </c>
      <c r="FJ79" s="62">
        <f ca="1">AVERAGE(OFFSET($FI$3,0,0,'Données projet'!$E$16+1,1))-AVERAGE(OFFSET($H$3,0,0,'Données projet'!$E$16+1,1))</f>
        <v>534.33392288300456</v>
      </c>
      <c r="FK79" s="62">
        <f t="shared" si="102"/>
        <v>300.93109615735477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4.2307692307692317</v>
      </c>
      <c r="FZ79" s="13">
        <f>IF('Données projet'!$A$244&gt;35,FZ78+FY79-GH78,IF(A79&lt;'Données projet'!$A$244,$FW$205^A79,IF(A79='Données projet'!$A$244,'Données projet'!$B$244,FZ78+FY79-GH78)))</f>
        <v>244.61538461538447</v>
      </c>
      <c r="GA79" s="18">
        <f>FZ79*VLOOKUP('Données projet'!$B$17,Paramètres!$A$1:$I$89,3,0)*VLOOKUP('Données projet'!$B$17,Paramètres!$A$1:$I$89,5,0)</f>
        <v>164.08799999999991</v>
      </c>
      <c r="GB79" s="14">
        <f t="shared" si="103"/>
        <v>41.763216968574739</v>
      </c>
      <c r="GC79" s="22">
        <f t="shared" si="79"/>
        <v>358.52420288693412</v>
      </c>
      <c r="GD79" s="62">
        <f t="shared" si="80"/>
        <v>632.70497454780525</v>
      </c>
      <c r="GE79" s="62">
        <f ca="1">AVERAGE(OFFSET($GD$3,0,0,'Données projet'!$E$17+1,1))-AVERAGE(OFFSET($H$3,0,0,'Données projet'!$E$17+1,1))</f>
        <v>316.17772895535211</v>
      </c>
      <c r="GF79" s="62">
        <f t="shared" si="104"/>
        <v>251.94445589652992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64.776574089328477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3.95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14.483333333333334</v>
      </c>
      <c r="H80" s="70">
        <f t="shared" si="56"/>
        <v>198.73333333333335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7.2</v>
      </c>
      <c r="N80" s="14">
        <f>IF('Données projet'!$A$36&gt;35,N79+M80-V79,IF(A80&lt;'Données projet'!$A$36,$K$205^A80,IF(A80='Données projet'!$A$36,'Données projet'!$B$36,N79+M80-V79)))</f>
        <v>298.40000000000003</v>
      </c>
      <c r="O80" s="14">
        <f>N80*VLOOKUP('Données projet'!$B$9,Paramètres!$A$1:$I$89,3,0)*VLOOKUP('Données projet'!$B$9,Paramètres!$A$1:$I$89,5,0)</f>
        <v>251.37216000000004</v>
      </c>
      <c r="P80" s="14">
        <f t="shared" si="87"/>
        <v>60.879674595707343</v>
      </c>
      <c r="Q80" s="22">
        <f t="shared" si="54"/>
        <v>543.83861192085692</v>
      </c>
      <c r="R80" s="62">
        <f t="shared" si="55"/>
        <v>818.35163770803206</v>
      </c>
      <c r="S80" s="62">
        <f ca="1">AVERAGE(OFFSET($R$3,0,0,'Données projet'!$E$9+1,1))-AVERAGE(OFFSET($H$3,0,0,'Données projet'!$E$9+1,1))</f>
        <v>508.93703669150443</v>
      </c>
      <c r="T80" s="62">
        <f t="shared" si="88"/>
        <v>277.04920840696707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6</v>
      </c>
      <c r="AI80" s="14">
        <f>IF('Données projet'!$A$62&gt;35,AI79+AH80-AQ79,IF(A80&lt;'Données projet'!$A$62,$AF$205^A80,IF(A80='Données projet'!$A$62,'Données projet'!$B$62,AI79+AH80-AQ79)))</f>
        <v>263.99999999999989</v>
      </c>
      <c r="AJ80" s="14">
        <f>AI80*VLOOKUP('Données projet'!$B$10,Paramètres!$A$1:$I$89,3,0)*VLOOKUP('Données projet'!$B$10,Paramètres!$A$1:$I$89,5,0)</f>
        <v>238.86719999999988</v>
      </c>
      <c r="AK80" s="14">
        <f t="shared" si="89"/>
        <v>58.195735973104156</v>
      </c>
      <c r="AL80" s="22">
        <f t="shared" si="58"/>
        <v>517.38461348648957</v>
      </c>
      <c r="AM80" s="62">
        <f t="shared" si="59"/>
        <v>791.89763927366471</v>
      </c>
      <c r="AN80" s="62">
        <f ca="1">AVERAGE(OFFSET($AM$3,0,0,'Données projet'!$E$10+1,1))-AVERAGE(OFFSET($H$3,0,0,'Données projet'!$E$10+1,1))</f>
        <v>461.10503306101145</v>
      </c>
      <c r="AO80" s="62">
        <f t="shared" si="90"/>
        <v>262.10652147273288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3.6</v>
      </c>
      <c r="BD80" s="13">
        <f>IF('Données projet'!$A$88&gt;35,BD79+BC80-BL79,IF(A80&lt;'Données projet'!$A$88,$BA$205^A80,IF(A80='Données projet'!$A$88,'Données projet'!$B$88,BD79+BC80-BL79)))</f>
        <v>331.1999999999997</v>
      </c>
      <c r="BE80" s="14">
        <f>BD80*VLOOKUP('Données projet'!$B$11,Paramètres!$A$1:$I$89,3,0)*VLOOKUP('Données projet'!$B$11,Paramètres!$A$1:$I$89,5,0)</f>
        <v>263.50271999999978</v>
      </c>
      <c r="BF80" s="14">
        <f t="shared" si="91"/>
        <v>63.468433809179686</v>
      </c>
      <c r="BG80" s="22">
        <f t="shared" si="61"/>
        <v>569.47475955098753</v>
      </c>
      <c r="BH80" s="62">
        <f t="shared" si="62"/>
        <v>843.98778533816267</v>
      </c>
      <c r="BI80" s="62">
        <f ca="1">AVERAGE(OFFSET($BH$3,0,0,'Données projet'!$E$11+1,1))-AVERAGE(OFFSET($H$3,0,0,'Données projet'!$E$11+1,1))</f>
        <v>389.67854939311752</v>
      </c>
      <c r="BJ80" s="62">
        <f t="shared" si="92"/>
        <v>420.05189970516096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6.5490000000000013</v>
      </c>
      <c r="BY80" s="13">
        <f>IF('Données projet'!$A$114&gt;35,BY79+BX80-CG79,IF(A80&lt;'Données projet'!$A$114,$BV$205^A80,IF(A80='Données projet'!$A$114,'Données projet'!$B$114,BY79+BX80-CG79)))</f>
        <v>326.08299999999929</v>
      </c>
      <c r="BZ80" s="14">
        <f>BY80*VLOOKUP('Données projet'!$B$12,Paramètres!$A$1:$I$89,3,0)*VLOOKUP('Données projet'!$B$12,Paramètres!$A$1:$I$89,5,0)</f>
        <v>186.5194759999996</v>
      </c>
      <c r="CA80" s="14">
        <f t="shared" si="93"/>
        <v>46.769632376297331</v>
      </c>
      <c r="CB80" s="22">
        <f t="shared" si="64"/>
        <v>406.31186375538374</v>
      </c>
      <c r="CC80" s="62">
        <f t="shared" si="65"/>
        <v>680.82488954255882</v>
      </c>
      <c r="CD80" s="62">
        <f ca="1">AVERAGE(OFFSET($CC$3,0,0,'Données projet'!$E$12+1,1))-AVERAGE(OFFSET($H$3,0,0,'Données projet'!$E$12+1,1))</f>
        <v>312.16891625633968</v>
      </c>
      <c r="CE80" s="62">
        <f t="shared" si="94"/>
        <v>215.34305815516177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3.2635272335849028</v>
      </c>
      <c r="CM80" s="23">
        <f>EXP(-LN(2)/2)*CM79+(1-EXP(-LN(2)/2))/(LN(2)/2)*CG80*CJ80*VLOOKUP('Données projet'!$B$12,Paramètres!$A$1:$I$89,3,0)*0.475*44/12</f>
        <v>6.8679052897873893E-7</v>
      </c>
      <c r="CN80" s="24">
        <f t="shared" si="66"/>
        <v>3.2635279203754317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4.4871794871794917</v>
      </c>
      <c r="CT80" s="13">
        <f>IF('Données projet'!$A$140&gt;35,CT79+CS80-DB79,IF(A80&lt;'Données projet'!$A$140,$CQ$205^A80,IF(A80='Données projet'!$A$140,'Données projet'!$B$140,CT79+CS80-DB79)))</f>
        <v>280.7692307692306</v>
      </c>
      <c r="CU80" s="18">
        <f>CT80*VLOOKUP('Données projet'!$B$13,Paramètres!$A$1:$I$89,3,0)*VLOOKUP('Données projet'!$B$13,Paramètres!$A$1:$I$89,5,0)</f>
        <v>188.33999999999989</v>
      </c>
      <c r="CV80" s="14">
        <f t="shared" si="95"/>
        <v>47.172763195766144</v>
      </c>
      <c r="CW80" s="22">
        <f t="shared" si="67"/>
        <v>410.18472923262584</v>
      </c>
      <c r="CX80" s="62">
        <f t="shared" si="68"/>
        <v>684.69775501980098</v>
      </c>
      <c r="CY80" s="62">
        <f ca="1">AVERAGE(OFFSET($CX$3,0,0,'Données projet'!$E$13+1,1))-AVERAGE(OFFSET($H$3,0,0,'Données projet'!$E$13+1,1))</f>
        <v>369.04754428478793</v>
      </c>
      <c r="CZ80" s="62">
        <f t="shared" si="96"/>
        <v>277.00523259351712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1.1368683772161603E-13</v>
      </c>
      <c r="DP80" s="18">
        <f>DO80*VLOOKUP('Données projet'!$B$14,Paramètres!$A$1:$I$89,3,0)*VLOOKUP('Données projet'!$B$14,Paramètres!$A$1:$I$89,5,0)</f>
        <v>8.8675733422860506E-14</v>
      </c>
      <c r="DQ80" s="14">
        <f t="shared" si="97"/>
        <v>1.3509285393066301E-12</v>
      </c>
      <c r="DR80" s="22">
        <f t="shared" si="70"/>
        <v>2.5073107750038623E-12</v>
      </c>
      <c r="DS80" s="62">
        <f t="shared" si="71"/>
        <v>274.51302578717758</v>
      </c>
      <c r="DT80" s="62">
        <f ca="1">AVERAGE(OFFSET($DS$3,0,0,'Données projet'!$E$14+1,1))-AVERAGE(OFFSET($H$3,0,0,'Données projet'!$E$14+1,1))</f>
        <v>308.39181291575227</v>
      </c>
      <c r="DU80" s="62">
        <f t="shared" si="98"/>
        <v>298.58225298824334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6</v>
      </c>
      <c r="EJ80" s="13">
        <f>IF('Données projet'!$A$192&gt;35,EJ79+EI80-ER79,IF(A80&lt;'Données projet'!$A$192,$EG$205^A80,IF(A80='Données projet'!$A$192,'Données projet'!$B$192,EJ79+EI80-ER79)))</f>
        <v>263.99999999999989</v>
      </c>
      <c r="EK80" s="18">
        <f>EJ80*VLOOKUP('Données projet'!$B$15,Paramètres!$A$1:$I$89,3,0)*VLOOKUP('Données projet'!$B$15,Paramètres!$A$1:$I$89,5,0)</f>
        <v>255.34079999999989</v>
      </c>
      <c r="EL80" s="14">
        <f t="shared" si="99"/>
        <v>61.728182021951895</v>
      </c>
      <c r="EM80" s="22">
        <f t="shared" si="73"/>
        <v>552.22847702156594</v>
      </c>
      <c r="EN80" s="62">
        <f t="shared" si="74"/>
        <v>826.74150280874096</v>
      </c>
      <c r="EO80" s="62">
        <f ca="1">AVERAGE(OFFSET($EN$3,0,0,'Données projet'!$E$15+1,1))-AVERAGE(OFFSET($H$3,0,0,'Données projet'!$E$15+1,1))</f>
        <v>487.76433095707876</v>
      </c>
      <c r="EP80" s="62">
        <f t="shared" si="100"/>
        <v>276.24209151398361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6</v>
      </c>
      <c r="FE80" s="13">
        <f>IF('Données projet'!$A$218&gt;35,FE79+FD80-FM79,IF(A80&lt;'Données projet'!$A$218,$FB$205^A80,IF(A80='Données projet'!$A$218,'Données projet'!$B$218,FE79+FD80-FM79)))</f>
        <v>263.99999999999989</v>
      </c>
      <c r="FF80" s="18">
        <f>FE80*VLOOKUP('Données projet'!$B$16,Paramètres!$A$1:$I$89,3,0)*VLOOKUP('Données projet'!$B$16,Paramètres!$A$1:$I$89,5,0)</f>
        <v>284.16959999999989</v>
      </c>
      <c r="FG80" s="14">
        <f t="shared" si="101"/>
        <v>67.847405740313874</v>
      </c>
      <c r="FH80" s="22">
        <f t="shared" si="76"/>
        <v>613.09628499771316</v>
      </c>
      <c r="FI80" s="62">
        <f t="shared" si="77"/>
        <v>887.60931078488829</v>
      </c>
      <c r="FJ80" s="62">
        <f ca="1">AVERAGE(OFFSET($FI$3,0,0,'Données projet'!$E$16+1,1))-AVERAGE(OFFSET($H$3,0,0,'Données projet'!$E$16+1,1))</f>
        <v>534.33392288300456</v>
      </c>
      <c r="FK80" s="62">
        <f t="shared" si="102"/>
        <v>300.93109615735477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4.2307692307692317</v>
      </c>
      <c r="FZ80" s="13">
        <f>IF('Données projet'!$A$244&gt;35,FZ79+FY80-GH79,IF(A80&lt;'Données projet'!$A$244,$FW$205^A80,IF(A80='Données projet'!$A$244,'Données projet'!$B$244,FZ79+FY80-GH79)))</f>
        <v>248.8461538461537</v>
      </c>
      <c r="GA80" s="18">
        <f>FZ80*VLOOKUP('Données projet'!$B$17,Paramètres!$A$1:$I$89,3,0)*VLOOKUP('Données projet'!$B$17,Paramètres!$A$1:$I$89,5,0)</f>
        <v>166.9259999999999</v>
      </c>
      <c r="GB80" s="14">
        <f t="shared" si="103"/>
        <v>42.400820376331644</v>
      </c>
      <c r="GC80" s="22">
        <f t="shared" si="79"/>
        <v>364.57754548877739</v>
      </c>
      <c r="GD80" s="62">
        <f t="shared" si="80"/>
        <v>639.09057127595247</v>
      </c>
      <c r="GE80" s="62">
        <f ca="1">AVERAGE(OFFSET($GD$3,0,0,'Données projet'!$E$17+1,1))-AVERAGE(OFFSET($H$3,0,0,'Données projet'!$E$17+1,1))</f>
        <v>316.17772895535211</v>
      </c>
      <c r="GF80" s="62">
        <f t="shared" si="104"/>
        <v>251.94445589652992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64.867188851047757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3.95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14.483333333333334</v>
      </c>
      <c r="H81" s="70">
        <f t="shared" si="56"/>
        <v>198.73333333333335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7.2</v>
      </c>
      <c r="N81" s="14">
        <f>IF('Données projet'!$A$36&gt;35,N80+M81-V80,IF(A81&lt;'Données projet'!$A$36,$K$205^A81,IF(A81='Données projet'!$A$36,'Données projet'!$B$36,N80+M81-V80)))</f>
        <v>305.60000000000002</v>
      </c>
      <c r="O81" s="14">
        <f>N81*VLOOKUP('Données projet'!$B$9,Paramètres!$A$1:$I$89,3,0)*VLOOKUP('Données projet'!$B$9,Paramètres!$A$1:$I$89,5,0)</f>
        <v>257.43744000000004</v>
      </c>
      <c r="P81" s="14">
        <f t="shared" si="87"/>
        <v>62.175829233865038</v>
      </c>
      <c r="Q81" s="22">
        <f t="shared" si="54"/>
        <v>556.65977724898164</v>
      </c>
      <c r="R81" s="62">
        <f t="shared" si="55"/>
        <v>831.49929329617839</v>
      </c>
      <c r="S81" s="62">
        <f ca="1">AVERAGE(OFFSET($R$3,0,0,'Données projet'!$E$9+1,1))-AVERAGE(OFFSET($H$3,0,0,'Données projet'!$E$9+1,1))</f>
        <v>508.93703669150443</v>
      </c>
      <c r="T81" s="62">
        <f t="shared" si="88"/>
        <v>277.04920840696707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6</v>
      </c>
      <c r="AI81" s="14">
        <f>IF('Données projet'!$A$62&gt;35,AI80+AH81-AQ80,IF(A81&lt;'Données projet'!$A$62,$AF$205^A81,IF(A81='Données projet'!$A$62,'Données projet'!$B$62,AI80+AH81-AQ80)))</f>
        <v>269.99999999999989</v>
      </c>
      <c r="AJ81" s="14">
        <f>AI81*VLOOKUP('Données projet'!$B$10,Paramètres!$A$1:$I$89,3,0)*VLOOKUP('Données projet'!$B$10,Paramètres!$A$1:$I$89,5,0)</f>
        <v>244.29599999999991</v>
      </c>
      <c r="AK81" s="14">
        <f t="shared" si="89"/>
        <v>59.362879241040318</v>
      </c>
      <c r="AL81" s="22">
        <f t="shared" si="58"/>
        <v>528.87254801147833</v>
      </c>
      <c r="AM81" s="62">
        <f t="shared" si="59"/>
        <v>803.71206405867497</v>
      </c>
      <c r="AN81" s="62">
        <f ca="1">AVERAGE(OFFSET($AM$3,0,0,'Données projet'!$E$10+1,1))-AVERAGE(OFFSET($H$3,0,0,'Données projet'!$E$10+1,1))</f>
        <v>461.10503306101145</v>
      </c>
      <c r="AO81" s="62">
        <f t="shared" si="90"/>
        <v>262.10652147273288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3.6</v>
      </c>
      <c r="BD81" s="13">
        <f>IF('Données projet'!$A$88&gt;35,BD80+BC81-BL80,IF(A81&lt;'Données projet'!$A$88,$BA$205^A81,IF(A81='Données projet'!$A$88,'Données projet'!$B$88,BD80+BC81-BL80)))</f>
        <v>334.79999999999973</v>
      </c>
      <c r="BE81" s="14">
        <f>BD81*VLOOKUP('Données projet'!$B$11,Paramètres!$A$1:$I$89,3,0)*VLOOKUP('Données projet'!$B$11,Paramètres!$A$1:$I$89,5,0)</f>
        <v>266.36687999999981</v>
      </c>
      <c r="BF81" s="14">
        <f t="shared" si="91"/>
        <v>64.077622653233107</v>
      </c>
      <c r="BG81" s="22">
        <f t="shared" si="61"/>
        <v>575.52417545438061</v>
      </c>
      <c r="BH81" s="62">
        <f t="shared" si="62"/>
        <v>850.36369150157725</v>
      </c>
      <c r="BI81" s="62">
        <f ca="1">AVERAGE(OFFSET($BH$3,0,0,'Données projet'!$E$11+1,1))-AVERAGE(OFFSET($H$3,0,0,'Données projet'!$E$11+1,1))</f>
        <v>389.67854939311752</v>
      </c>
      <c r="BJ81" s="62">
        <f t="shared" si="92"/>
        <v>420.05189970516096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6.5490000000000013</v>
      </c>
      <c r="BY81" s="13">
        <f>IF('Données projet'!$A$114&gt;35,BY80+BX81-CG80,IF(A81&lt;'Données projet'!$A$114,$BV$205^A81,IF(A81='Données projet'!$A$114,'Données projet'!$B$114,BY80+BX81-CG80)))</f>
        <v>332.63199999999927</v>
      </c>
      <c r="BZ81" s="14">
        <f>BY81*VLOOKUP('Données projet'!$B$12,Paramètres!$A$1:$I$89,3,0)*VLOOKUP('Données projet'!$B$12,Paramètres!$A$1:$I$89,5,0)</f>
        <v>190.26550399999959</v>
      </c>
      <c r="CA81" s="14">
        <f t="shared" si="93"/>
        <v>47.598647244536394</v>
      </c>
      <c r="CB81" s="22">
        <f t="shared" si="64"/>
        <v>414.28006341756685</v>
      </c>
      <c r="CC81" s="62">
        <f t="shared" si="65"/>
        <v>689.11957946476355</v>
      </c>
      <c r="CD81" s="62">
        <f ca="1">AVERAGE(OFFSET($CC$3,0,0,'Données projet'!$E$12+1,1))-AVERAGE(OFFSET($H$3,0,0,'Données projet'!$E$12+1,1))</f>
        <v>312.16891625633968</v>
      </c>
      <c r="CE81" s="62">
        <f t="shared" si="94"/>
        <v>215.34305815516177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3.1742859097610854</v>
      </c>
      <c r="CM81" s="23">
        <f>EXP(-LN(2)/2)*CM80+(1-EXP(-LN(2)/2))/(LN(2)/2)*CG81*CJ81*VLOOKUP('Données projet'!$B$12,Paramètres!$A$1:$I$89,3,0)*0.475*44/12</f>
        <v>4.8563424029556237E-7</v>
      </c>
      <c r="CN81" s="24">
        <f t="shared" si="66"/>
        <v>3.1742863953953258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4.4871794871794917</v>
      </c>
      <c r="CT81" s="13">
        <f>IF('Données projet'!$A$140&gt;35,CT80+CS81-DB80,IF(A81&lt;'Données projet'!$A$140,$CQ$205^A81,IF(A81='Données projet'!$A$140,'Données projet'!$B$140,CT80+CS81-DB80)))</f>
        <v>285.25641025641011</v>
      </c>
      <c r="CU81" s="18">
        <f>CT81*VLOOKUP('Données projet'!$B$13,Paramètres!$A$1:$I$89,3,0)*VLOOKUP('Données projet'!$B$13,Paramètres!$A$1:$I$89,5,0)</f>
        <v>191.34999999999988</v>
      </c>
      <c r="CV81" s="14">
        <f t="shared" si="95"/>
        <v>47.838295585286282</v>
      </c>
      <c r="CW81" s="22">
        <f t="shared" si="67"/>
        <v>416.58628147770673</v>
      </c>
      <c r="CX81" s="62">
        <f t="shared" si="68"/>
        <v>691.42579752490337</v>
      </c>
      <c r="CY81" s="62">
        <f ca="1">AVERAGE(OFFSET($CX$3,0,0,'Données projet'!$E$13+1,1))-AVERAGE(OFFSET($H$3,0,0,'Données projet'!$E$13+1,1))</f>
        <v>369.04754428478793</v>
      </c>
      <c r="CZ81" s="62">
        <f t="shared" si="96"/>
        <v>277.00523259351712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1.1368683772161603E-13</v>
      </c>
      <c r="DP81" s="18">
        <f>DO81*VLOOKUP('Données projet'!$B$14,Paramètres!$A$1:$I$89,3,0)*VLOOKUP('Données projet'!$B$14,Paramètres!$A$1:$I$89,5,0)</f>
        <v>8.8675733422860506E-14</v>
      </c>
      <c r="DQ81" s="14">
        <f t="shared" si="97"/>
        <v>1.3509285393066301E-12</v>
      </c>
      <c r="DR81" s="22">
        <f t="shared" si="70"/>
        <v>2.5073107750038623E-12</v>
      </c>
      <c r="DS81" s="62">
        <f t="shared" si="71"/>
        <v>274.8395160471992</v>
      </c>
      <c r="DT81" s="62">
        <f ca="1">AVERAGE(OFFSET($DS$3,0,0,'Données projet'!$E$14+1,1))-AVERAGE(OFFSET($H$3,0,0,'Données projet'!$E$14+1,1))</f>
        <v>308.39181291575227</v>
      </c>
      <c r="DU81" s="62">
        <f t="shared" si="98"/>
        <v>298.58225298824334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6</v>
      </c>
      <c r="EJ81" s="13">
        <f>IF('Données projet'!$A$192&gt;35,EJ80+EI81-ER80,IF(A81&lt;'Données projet'!$A$192,$EG$205^A81,IF(A81='Données projet'!$A$192,'Données projet'!$B$192,EJ80+EI81-ER80)))</f>
        <v>269.99999999999989</v>
      </c>
      <c r="EK81" s="18">
        <f>EJ81*VLOOKUP('Données projet'!$B$15,Paramètres!$A$1:$I$89,3,0)*VLOOKUP('Données projet'!$B$15,Paramètres!$A$1:$I$89,5,0)</f>
        <v>261.14399999999989</v>
      </c>
      <c r="EL81" s="14">
        <f t="shared" si="99"/>
        <v>62.966170181808813</v>
      </c>
      <c r="EM81" s="22">
        <f t="shared" si="73"/>
        <v>564.49187973331675</v>
      </c>
      <c r="EN81" s="62">
        <f t="shared" si="74"/>
        <v>839.3313957805135</v>
      </c>
      <c r="EO81" s="62">
        <f ca="1">AVERAGE(OFFSET($EN$3,0,0,'Données projet'!$E$15+1,1))-AVERAGE(OFFSET($H$3,0,0,'Données projet'!$E$15+1,1))</f>
        <v>487.76433095707876</v>
      </c>
      <c r="EP81" s="62">
        <f t="shared" si="100"/>
        <v>276.24209151398361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6</v>
      </c>
      <c r="FE81" s="13">
        <f>IF('Données projet'!$A$218&gt;35,FE80+FD81-FM80,IF(A81&lt;'Données projet'!$A$218,$FB$205^A81,IF(A81='Données projet'!$A$218,'Données projet'!$B$218,FE80+FD81-FM80)))</f>
        <v>269.99999999999989</v>
      </c>
      <c r="FF81" s="18">
        <f>FE81*VLOOKUP('Données projet'!$B$16,Paramètres!$A$1:$I$89,3,0)*VLOOKUP('Données projet'!$B$16,Paramètres!$A$1:$I$89,5,0)</f>
        <v>290.62799999999987</v>
      </c>
      <c r="FG81" s="14">
        <f t="shared" si="101"/>
        <v>69.208117853196882</v>
      </c>
      <c r="FH81" s="22">
        <f t="shared" si="76"/>
        <v>626.71457192765104</v>
      </c>
      <c r="FI81" s="62">
        <f t="shared" si="77"/>
        <v>901.55408797484779</v>
      </c>
      <c r="FJ81" s="62">
        <f ca="1">AVERAGE(OFFSET($FI$3,0,0,'Données projet'!$E$16+1,1))-AVERAGE(OFFSET($H$3,0,0,'Données projet'!$E$16+1,1))</f>
        <v>534.33392288300456</v>
      </c>
      <c r="FK81" s="62">
        <f t="shared" si="102"/>
        <v>300.93109615735477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4.2307692307692317</v>
      </c>
      <c r="FZ81" s="13">
        <f>IF('Données projet'!$A$244&gt;35,FZ80+FY81-GH80,IF(A81&lt;'Données projet'!$A$244,$FW$205^A81,IF(A81='Données projet'!$A$244,'Données projet'!$B$244,FZ80+FY81-GH80)))</f>
        <v>253.07692307692292</v>
      </c>
      <c r="GA81" s="18">
        <f>FZ81*VLOOKUP('Données projet'!$B$17,Paramètres!$A$1:$I$89,3,0)*VLOOKUP('Données projet'!$B$17,Paramètres!$A$1:$I$89,5,0)</f>
        <v>169.7639999999999</v>
      </c>
      <c r="GB81" s="14">
        <f t="shared" si="103"/>
        <v>43.037163163268886</v>
      </c>
      <c r="GC81" s="22">
        <f t="shared" si="79"/>
        <v>370.62869250935978</v>
      </c>
      <c r="GD81" s="62">
        <f t="shared" si="80"/>
        <v>645.46820855655642</v>
      </c>
      <c r="GE81" s="62">
        <f ca="1">AVERAGE(OFFSET($GD$3,0,0,'Données projet'!$E$17+1,1))-AVERAGE(OFFSET($H$3,0,0,'Données projet'!$E$17+1,1))</f>
        <v>316.17772895535211</v>
      </c>
      <c r="GF81" s="62">
        <f t="shared" si="104"/>
        <v>251.94445589652992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64.956231649235463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3.95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14.483333333333334</v>
      </c>
      <c r="H82" s="70">
        <f t="shared" si="56"/>
        <v>198.73333333333335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7.2</v>
      </c>
      <c r="N82" s="14">
        <f>IF('Données projet'!$A$36&gt;35,N81+M82-V81,IF(A82&lt;'Données projet'!$A$36,$K$205^A82,IF(A82='Données projet'!$A$36,'Données projet'!$B$36,N81+M82-V81)))</f>
        <v>312.8</v>
      </c>
      <c r="O82" s="14">
        <f>N82*VLOOKUP('Données projet'!$B$9,Paramètres!$A$1:$I$89,3,0)*VLOOKUP('Données projet'!$B$9,Paramètres!$A$1:$I$89,5,0)</f>
        <v>263.50272000000001</v>
      </c>
      <c r="P82" s="14">
        <f t="shared" si="87"/>
        <v>63.468433809179743</v>
      </c>
      <c r="Q82" s="22">
        <f t="shared" si="54"/>
        <v>569.4747595509881</v>
      </c>
      <c r="R82" s="62">
        <f t="shared" si="55"/>
        <v>844.63510198211793</v>
      </c>
      <c r="S82" s="62">
        <f ca="1">AVERAGE(OFFSET($R$3,0,0,'Données projet'!$E$9+1,1))-AVERAGE(OFFSET($H$3,0,0,'Données projet'!$E$9+1,1))</f>
        <v>508.93703669150443</v>
      </c>
      <c r="T82" s="62">
        <f t="shared" si="88"/>
        <v>277.04920840696707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v>
      </c>
      <c r="AI82" s="14">
        <f>IF('Données projet'!$A$62&gt;35,AI81+AH82-AQ81,IF(A82&lt;'Données projet'!$A$62,$AF$205^A82,IF(A82='Données projet'!$A$62,'Données projet'!$B$62,AI81+AH82-AQ81)))</f>
        <v>275.99999999999989</v>
      </c>
      <c r="AJ82" s="14">
        <f>AI82*VLOOKUP('Données projet'!$B$10,Paramètres!$A$1:$I$89,3,0)*VLOOKUP('Données projet'!$B$10,Paramètres!$A$1:$I$89,5,0)</f>
        <v>249.7247999999999</v>
      </c>
      <c r="AK82" s="14">
        <f t="shared" si="89"/>
        <v>60.527007137298092</v>
      </c>
      <c r="AL82" s="22">
        <f t="shared" si="58"/>
        <v>540.35523076412733</v>
      </c>
      <c r="AM82" s="62">
        <f t="shared" si="59"/>
        <v>815.51557319525705</v>
      </c>
      <c r="AN82" s="62">
        <f ca="1">AVERAGE(OFFSET($AM$3,0,0,'Données projet'!$E$10+1,1))-AVERAGE(OFFSET($H$3,0,0,'Données projet'!$E$10+1,1))</f>
        <v>461.10503306101145</v>
      </c>
      <c r="AO82" s="62">
        <f t="shared" si="90"/>
        <v>262.10652147273288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3.6</v>
      </c>
      <c r="BD82" s="13">
        <f>IF('Données projet'!$A$88&gt;35,BD81+BC82-BL81,IF(A82&lt;'Données projet'!$A$88,$BA$205^A82,IF(A82='Données projet'!$A$88,'Données projet'!$B$88,BD81+BC82-BL81)))</f>
        <v>338.39999999999975</v>
      </c>
      <c r="BE82" s="14">
        <f>BD82*VLOOKUP('Données projet'!$B$11,Paramètres!$A$1:$I$89,3,0)*VLOOKUP('Données projet'!$B$11,Paramètres!$A$1:$I$89,5,0)</f>
        <v>269.23103999999984</v>
      </c>
      <c r="BF82" s="14">
        <f t="shared" si="91"/>
        <v>64.686049490098227</v>
      </c>
      <c r="BG82" s="22">
        <f t="shared" si="61"/>
        <v>581.57226419525409</v>
      </c>
      <c r="BH82" s="62">
        <f t="shared" si="62"/>
        <v>856.73260662638381</v>
      </c>
      <c r="BI82" s="62">
        <f ca="1">AVERAGE(OFFSET($BH$3,0,0,'Données projet'!$E$11+1,1))-AVERAGE(OFFSET($H$3,0,0,'Données projet'!$E$11+1,1))</f>
        <v>389.67854939311752</v>
      </c>
      <c r="BJ82" s="62">
        <f t="shared" si="92"/>
        <v>420.05189970516096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6.5490000000000013</v>
      </c>
      <c r="BY82" s="13">
        <f>IF('Données projet'!$A$114&gt;35,BY81+BX82-CG81,IF(A82&lt;'Données projet'!$A$114,$BV$205^A82,IF(A82='Données projet'!$A$114,'Données projet'!$B$114,BY81+BX82-CG81)))</f>
        <v>339.18099999999924</v>
      </c>
      <c r="BZ82" s="14">
        <f>BY82*VLOOKUP('Données projet'!$B$12,Paramètres!$A$1:$I$89,3,0)*VLOOKUP('Données projet'!$B$12,Paramètres!$A$1:$I$89,5,0)</f>
        <v>194.01153199999956</v>
      </c>
      <c r="CA82" s="14">
        <f t="shared" si="93"/>
        <v>48.425764278107977</v>
      </c>
      <c r="CB82" s="22">
        <f t="shared" si="64"/>
        <v>422.2449576843706</v>
      </c>
      <c r="CC82" s="62">
        <f t="shared" si="65"/>
        <v>697.40530011550038</v>
      </c>
      <c r="CD82" s="62">
        <f ca="1">AVERAGE(OFFSET($CC$3,0,0,'Données projet'!$E$12+1,1))-AVERAGE(OFFSET($H$3,0,0,'Données projet'!$E$12+1,1))</f>
        <v>312.16891625633968</v>
      </c>
      <c r="CE82" s="62">
        <f t="shared" si="94"/>
        <v>215.34305815516177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3.0874848946302276</v>
      </c>
      <c r="CM82" s="23">
        <f>EXP(-LN(2)/2)*CM81+(1-EXP(-LN(2)/2))/(LN(2)/2)*CG82*CJ82*VLOOKUP('Données projet'!$B$12,Paramètres!$A$1:$I$89,3,0)*0.475*44/12</f>
        <v>3.4339526448936946E-7</v>
      </c>
      <c r="CN82" s="24">
        <f t="shared" si="66"/>
        <v>3.0874852380254922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4.4871794871794917</v>
      </c>
      <c r="CT82" s="13">
        <f>IF('Données projet'!$A$140&gt;35,CT81+CS82-DB81,IF(A82&lt;'Données projet'!$A$140,$CQ$205^A82,IF(A82='Données projet'!$A$140,'Données projet'!$B$140,CT81+CS82-DB81)))</f>
        <v>289.74358974358961</v>
      </c>
      <c r="CU82" s="18">
        <f>CT82*VLOOKUP('Données projet'!$B$13,Paramètres!$A$1:$I$89,3,0)*VLOOKUP('Données projet'!$B$13,Paramètres!$A$1:$I$89,5,0)</f>
        <v>194.35999999999993</v>
      </c>
      <c r="CV82" s="14">
        <f t="shared" si="95"/>
        <v>48.502610439386629</v>
      </c>
      <c r="CW82" s="22">
        <f t="shared" si="67"/>
        <v>422.98571318193154</v>
      </c>
      <c r="CX82" s="62">
        <f t="shared" si="68"/>
        <v>698.14605561306132</v>
      </c>
      <c r="CY82" s="62">
        <f ca="1">AVERAGE(OFFSET($CX$3,0,0,'Données projet'!$E$13+1,1))-AVERAGE(OFFSET($H$3,0,0,'Données projet'!$E$13+1,1))</f>
        <v>369.04754428478793</v>
      </c>
      <c r="CZ82" s="62">
        <f t="shared" si="96"/>
        <v>277.00523259351712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1.1368683772161603E-13</v>
      </c>
      <c r="DP82" s="18">
        <f>DO82*VLOOKUP('Données projet'!$B$14,Paramètres!$A$1:$I$89,3,0)*VLOOKUP('Données projet'!$B$14,Paramètres!$A$1:$I$89,5,0)</f>
        <v>8.8675733422860506E-14</v>
      </c>
      <c r="DQ82" s="14">
        <f t="shared" si="97"/>
        <v>1.3509285393066301E-12</v>
      </c>
      <c r="DR82" s="22">
        <f t="shared" si="70"/>
        <v>2.5073107750038623E-12</v>
      </c>
      <c r="DS82" s="62">
        <f t="shared" si="71"/>
        <v>275.16034243113228</v>
      </c>
      <c r="DT82" s="62">
        <f ca="1">AVERAGE(OFFSET($DS$3,0,0,'Données projet'!$E$14+1,1))-AVERAGE(OFFSET($H$3,0,0,'Données projet'!$E$14+1,1))</f>
        <v>308.39181291575227</v>
      </c>
      <c r="DU82" s="62">
        <f t="shared" si="98"/>
        <v>298.58225298824334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6</v>
      </c>
      <c r="EJ82" s="13">
        <f>IF('Données projet'!$A$192&gt;35,EJ81+EI82-ER81,IF(A82&lt;'Données projet'!$A$192,$EG$205^A82,IF(A82='Données projet'!$A$192,'Données projet'!$B$192,EJ81+EI82-ER81)))</f>
        <v>275.99999999999989</v>
      </c>
      <c r="EK82" s="18">
        <f>EJ82*VLOOKUP('Données projet'!$B$15,Paramètres!$A$1:$I$89,3,0)*VLOOKUP('Données projet'!$B$15,Paramètres!$A$1:$I$89,5,0)</f>
        <v>266.9471999999999</v>
      </c>
      <c r="EL82" s="14">
        <f t="shared" si="99"/>
        <v>64.200959938746379</v>
      </c>
      <c r="EM82" s="22">
        <f t="shared" si="73"/>
        <v>576.74971189331643</v>
      </c>
      <c r="EN82" s="62">
        <f t="shared" si="74"/>
        <v>851.91005432444626</v>
      </c>
      <c r="EO82" s="62">
        <f ca="1">AVERAGE(OFFSET($EN$3,0,0,'Données projet'!$E$15+1,1))-AVERAGE(OFFSET($H$3,0,0,'Données projet'!$E$15+1,1))</f>
        <v>487.76433095707876</v>
      </c>
      <c r="EP82" s="62">
        <f t="shared" si="100"/>
        <v>276.24209151398361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6</v>
      </c>
      <c r="FE82" s="13">
        <f>IF('Données projet'!$A$218&gt;35,FE81+FD82-FM81,IF(A82&lt;'Données projet'!$A$218,$FB$205^A82,IF(A82='Données projet'!$A$218,'Données projet'!$B$218,FE81+FD82-FM81)))</f>
        <v>275.99999999999989</v>
      </c>
      <c r="FF82" s="18">
        <f>FE82*VLOOKUP('Données projet'!$B$16,Paramètres!$A$1:$I$89,3,0)*VLOOKUP('Données projet'!$B$16,Paramètres!$A$1:$I$89,5,0)</f>
        <v>297.08639999999986</v>
      </c>
      <c r="FG82" s="14">
        <f t="shared" si="101"/>
        <v>70.565314499829583</v>
      </c>
      <c r="FH82" s="22">
        <f t="shared" si="76"/>
        <v>640.3267360872029</v>
      </c>
      <c r="FI82" s="62">
        <f t="shared" si="77"/>
        <v>915.48707851833274</v>
      </c>
      <c r="FJ82" s="62">
        <f ca="1">AVERAGE(OFFSET($FI$3,0,0,'Données projet'!$E$16+1,1))-AVERAGE(OFFSET($H$3,0,0,'Données projet'!$E$16+1,1))</f>
        <v>534.33392288300456</v>
      </c>
      <c r="FK82" s="62">
        <f t="shared" si="102"/>
        <v>300.93109615735477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4.2307692307692317</v>
      </c>
      <c r="FZ82" s="13">
        <f>IF('Données projet'!$A$244&gt;35,FZ81+FY82-GH81,IF(A82&lt;'Données projet'!$A$244,$FW$205^A82,IF(A82='Données projet'!$A$244,'Données projet'!$B$244,FZ81+FY82-GH81)))</f>
        <v>257.30769230769215</v>
      </c>
      <c r="GA82" s="18">
        <f>FZ82*VLOOKUP('Données projet'!$B$17,Paramètres!$A$1:$I$89,3,0)*VLOOKUP('Données projet'!$B$17,Paramètres!$A$1:$I$89,5,0)</f>
        <v>172.60199999999989</v>
      </c>
      <c r="GB82" s="14">
        <f t="shared" si="103"/>
        <v>43.672268835963003</v>
      </c>
      <c r="GC82" s="22">
        <f t="shared" si="79"/>
        <v>376.67768488930204</v>
      </c>
      <c r="GD82" s="62">
        <f t="shared" si="80"/>
        <v>651.83802732043182</v>
      </c>
      <c r="GE82" s="62">
        <f ca="1">AVERAGE(OFFSET($GD$3,0,0,'Données projet'!$E$17+1,1))-AVERAGE(OFFSET($H$3,0,0,'Données projet'!$E$17+1,1))</f>
        <v>316.17772895535211</v>
      </c>
      <c r="GF82" s="62">
        <f t="shared" si="104"/>
        <v>251.94445589652992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65.04372975394449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3.95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14.483333333333334</v>
      </c>
      <c r="H83" s="70">
        <f t="shared" si="56"/>
        <v>198.73333333333335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320</v>
      </c>
      <c r="L83" s="13">
        <f>VLOOKUP(A83,'Données projet'!$A$35:$I$55,9,0)</f>
        <v>7.2</v>
      </c>
      <c r="M83" s="13">
        <f t="array" ref="M83">INDEX(L:L,MIN(IF(ISNUMBER(L83:L279),ROW(L83:L279),"")))</f>
        <v>7.2</v>
      </c>
      <c r="N83" s="14">
        <f>IF('Données projet'!$A$36&gt;35,N82+M83-V82,IF(A83&lt;'Données projet'!$A$36,$K$205^A83,IF(A83='Données projet'!$A$36,'Données projet'!$B$36,N82+M83-V82)))</f>
        <v>320</v>
      </c>
      <c r="O83" s="14">
        <f>N83*VLOOKUP('Données projet'!$B$9,Paramètres!$A$1:$I$89,3,0)*VLOOKUP('Données projet'!$B$9,Paramètres!$A$1:$I$89,5,0)</f>
        <v>269.56800000000004</v>
      </c>
      <c r="P83" s="14">
        <f t="shared" si="87"/>
        <v>64.757579442439862</v>
      </c>
      <c r="Q83" s="22">
        <f t="shared" si="54"/>
        <v>582.28371752891621</v>
      </c>
      <c r="R83" s="62">
        <f t="shared" si="55"/>
        <v>857.75932072347814</v>
      </c>
      <c r="S83" s="62">
        <f ca="1">AVERAGE(OFFSET($R$3,0,0,'Données projet'!$E$9+1,1))-AVERAGE(OFFSET($H$3,0,0,'Données projet'!$E$9+1,1))</f>
        <v>508.93703669150443</v>
      </c>
      <c r="T83" s="62">
        <f t="shared" si="88"/>
        <v>277.04920840696707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282</v>
      </c>
      <c r="AG83" s="13">
        <f>VLOOKUP(A83,'Données projet'!$A$61:$I$81,9,0)</f>
        <v>6</v>
      </c>
      <c r="AH83" s="13">
        <f t="array" ref="AH83">INDEX(AG:AG,MIN(IF(ISNUMBER(AG83:AG279),ROW(AG83:AG279),"")))</f>
        <v>6</v>
      </c>
      <c r="AI83" s="14">
        <f>IF('Données projet'!$A$62&gt;35,AI82+AH83-AQ82,IF(A83&lt;'Données projet'!$A$62,$AF$205^A83,IF(A83='Données projet'!$A$62,'Données projet'!$B$62,AI82+AH83-AQ82)))</f>
        <v>281.99999999999989</v>
      </c>
      <c r="AJ83" s="14">
        <f>AI83*VLOOKUP('Données projet'!$B$10,Paramètres!$A$1:$I$89,3,0)*VLOOKUP('Données projet'!$B$10,Paramètres!$A$1:$I$89,5,0)</f>
        <v>255.15359999999987</v>
      </c>
      <c r="AK83" s="14">
        <f t="shared" si="89"/>
        <v>61.688192762754376</v>
      </c>
      <c r="AL83" s="22">
        <f t="shared" si="58"/>
        <v>551.83278906179692</v>
      </c>
      <c r="AM83" s="62">
        <f t="shared" si="59"/>
        <v>827.30839225635896</v>
      </c>
      <c r="AN83" s="62">
        <f ca="1">AVERAGE(OFFSET($AM$3,0,0,'Données projet'!$E$10+1,1))-AVERAGE(OFFSET($H$3,0,0,'Données projet'!$E$10+1,1))</f>
        <v>461.10503306101145</v>
      </c>
      <c r="AO83" s="62">
        <f t="shared" si="90"/>
        <v>262.10652147273288</v>
      </c>
      <c r="AP83" s="16">
        <f>IF(ISNA(VLOOKUP(A83,'Données projet'!$A$61:$I$81,3,0)),0,VLOOKUP(A83,'Données projet'!$A$61:$I$81,3,0))</f>
        <v>6</v>
      </c>
      <c r="AQ83" s="16">
        <f>IF(ISNA(VLOOKUP(A83,'Données projet'!$A$61:$I$81,4,0)),0,VLOOKUP(A83,'Données projet'!$A$61:$I$81,4,0))</f>
        <v>42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342</v>
      </c>
      <c r="BB83" s="13">
        <f>VLOOKUP(A83,'Données projet'!$A$87:$I$107,9,0)</f>
        <v>3.6</v>
      </c>
      <c r="BC83" s="13">
        <f t="array" ref="BC83">INDEX(BB:BB,MIN(IF(ISNUMBER(BB83:BB279),ROW(BB83:BB279),"")))</f>
        <v>3.6</v>
      </c>
      <c r="BD83" s="13">
        <f>IF('Données projet'!$A$88&gt;35,BD82+BC83-BL82,IF(A83&lt;'Données projet'!$A$88,$BA$205^A83,IF(A83='Données projet'!$A$88,'Données projet'!$B$88,BD82+BC83-BL82)))</f>
        <v>341.99999999999977</v>
      </c>
      <c r="BE83" s="14">
        <f>BD83*VLOOKUP('Données projet'!$B$11,Paramètres!$A$1:$I$89,3,0)*VLOOKUP('Données projet'!$B$11,Paramètres!$A$1:$I$89,5,0)</f>
        <v>272.09519999999981</v>
      </c>
      <c r="BF83" s="14">
        <f t="shared" si="91"/>
        <v>65.293723364568379</v>
      </c>
      <c r="BG83" s="22">
        <f t="shared" si="61"/>
        <v>587.61904152662294</v>
      </c>
      <c r="BH83" s="62">
        <f t="shared" si="62"/>
        <v>863.09464472118498</v>
      </c>
      <c r="BI83" s="62">
        <f ca="1">AVERAGE(OFFSET($BH$3,0,0,'Données projet'!$E$11+1,1))-AVERAGE(OFFSET($H$3,0,0,'Données projet'!$E$11+1,1))</f>
        <v>389.67854939311752</v>
      </c>
      <c r="BJ83" s="62">
        <f t="shared" si="92"/>
        <v>420.05189970516096</v>
      </c>
      <c r="BK83" s="16">
        <f>IF(ISNA(VLOOKUP(A83,'Données projet'!$A$87:$I$107,3,0)),0,VLOOKUP(A83,'Données projet'!$A$87:$I$107,3,0))</f>
        <v>8</v>
      </c>
      <c r="BL83" s="23">
        <f>IF(ISNA(VLOOKUP(A83,'Données projet'!$A$87:$I$107,4,0)),0,VLOOKUP(A83,'Données projet'!$A$87:$I$107,4,0))</f>
        <v>342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345.73</v>
      </c>
      <c r="BW83" s="13">
        <f>VLOOKUP(A83,'Données projet'!$A$113:$I$133,9,0)</f>
        <v>6.5490000000000013</v>
      </c>
      <c r="BX83" s="13">
        <f t="array" ref="BX83">INDEX(BW:BW,MIN(IF(ISNUMBER(BW83:BW279),ROW(BW83:BW279),"")))</f>
        <v>6.5490000000000013</v>
      </c>
      <c r="BY83" s="13">
        <f>IF('Données projet'!$A$114&gt;35,BY82+BX83-CG82,IF(A83&lt;'Données projet'!$A$114,$BV$205^A83,IF(A83='Données projet'!$A$114,'Données projet'!$B$114,BY82+BX83-CG82)))</f>
        <v>345.72999999999922</v>
      </c>
      <c r="BZ83" s="14">
        <f>BY83*VLOOKUP('Données projet'!$B$12,Paramètres!$A$1:$I$89,3,0)*VLOOKUP('Données projet'!$B$12,Paramètres!$A$1:$I$89,5,0)</f>
        <v>197.75755999999956</v>
      </c>
      <c r="CA83" s="14">
        <f t="shared" si="93"/>
        <v>49.251024345463541</v>
      </c>
      <c r="CB83" s="22">
        <f t="shared" si="64"/>
        <v>430.20661773501496</v>
      </c>
      <c r="CC83" s="62">
        <f t="shared" si="65"/>
        <v>705.68222092957694</v>
      </c>
      <c r="CD83" s="62">
        <f ca="1">AVERAGE(OFFSET($CC$3,0,0,'Données projet'!$E$12+1,1))-AVERAGE(OFFSET($H$3,0,0,'Données projet'!$E$12+1,1))</f>
        <v>312.16891625633968</v>
      </c>
      <c r="CE83" s="62">
        <f t="shared" si="94"/>
        <v>215.34305815516177</v>
      </c>
      <c r="CF83" s="16">
        <f>IF(ISNA(VLOOKUP(A83,'Données projet'!$A$113:$I$133,3,0)),0,VLOOKUP(A83,'Données projet'!$A$113:$I$133,3,0))</f>
        <v>8</v>
      </c>
      <c r="CG83" s="16">
        <f>IF(ISNA(VLOOKUP(A83,'Données projet'!$A$113:$I$133,4,0)),0,VLOOKUP(A83,'Données projet'!$A$113:$I$133,4,0))</f>
        <v>39.97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3.00305745782279</v>
      </c>
      <c r="CM83" s="23">
        <f>EXP(-LN(2)/2)*CM82+(1-EXP(-LN(2)/2))/(LN(2)/2)*CG83*CJ83*VLOOKUP('Données projet'!$B$12,Paramètres!$A$1:$I$89,3,0)*0.475*44/12</f>
        <v>2.4281712014778118E-7</v>
      </c>
      <c r="CN83" s="24">
        <f t="shared" si="66"/>
        <v>3.0030577006399102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294.23076923076923</v>
      </c>
      <c r="CR83" s="13">
        <f>VLOOKUP(A83,'Données projet'!$A$139:$I$159,9,0)</f>
        <v>4.4871794871794917</v>
      </c>
      <c r="CS83" s="13">
        <f t="array" ref="CS83">INDEX(CR:CR,MIN(IF(ISNUMBER(CR83:CR279),ROW(CR83:CR279),"")))</f>
        <v>4.4871794871794917</v>
      </c>
      <c r="CT83" s="13">
        <f>IF('Données projet'!$A$140&gt;35,CT82+CS83-DB82,IF(A83&lt;'Données projet'!$A$140,$CQ$205^A83,IF(A83='Données projet'!$A$140,'Données projet'!$B$140,CT82+CS83-DB82)))</f>
        <v>294.23076923076911</v>
      </c>
      <c r="CU83" s="18">
        <f>CT83*VLOOKUP('Données projet'!$B$13,Paramètres!$A$1:$I$89,3,0)*VLOOKUP('Données projet'!$B$13,Paramètres!$A$1:$I$89,5,0)</f>
        <v>197.36999999999992</v>
      </c>
      <c r="CV83" s="14">
        <f t="shared" si="95"/>
        <v>49.165728791231707</v>
      </c>
      <c r="CW83" s="22">
        <f t="shared" si="67"/>
        <v>429.38306097806168</v>
      </c>
      <c r="CX83" s="62">
        <f t="shared" si="68"/>
        <v>704.85866417262366</v>
      </c>
      <c r="CY83" s="62">
        <f ca="1">AVERAGE(OFFSET($CX$3,0,0,'Données projet'!$E$13+1,1))-AVERAGE(OFFSET($H$3,0,0,'Données projet'!$E$13+1,1))</f>
        <v>369.04754428478793</v>
      </c>
      <c r="CZ83" s="62">
        <f t="shared" si="96"/>
        <v>277.00523259351712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1.1368683772161603E-13</v>
      </c>
      <c r="DP83" s="18">
        <f>DO83*VLOOKUP('Données projet'!$B$14,Paramètres!$A$1:$I$89,3,0)*VLOOKUP('Données projet'!$B$14,Paramètres!$A$1:$I$89,5,0)</f>
        <v>8.8675733422860506E-14</v>
      </c>
      <c r="DQ83" s="14">
        <f t="shared" si="97"/>
        <v>1.3509285393066301E-12</v>
      </c>
      <c r="DR83" s="22">
        <f t="shared" si="70"/>
        <v>2.5073107750038623E-12</v>
      </c>
      <c r="DS83" s="62">
        <f t="shared" si="71"/>
        <v>275.47560319456448</v>
      </c>
      <c r="DT83" s="62">
        <f ca="1">AVERAGE(OFFSET($DS$3,0,0,'Données projet'!$E$14+1,1))-AVERAGE(OFFSET($H$3,0,0,'Données projet'!$E$14+1,1))</f>
        <v>308.39181291575227</v>
      </c>
      <c r="DU83" s="62">
        <f t="shared" si="98"/>
        <v>298.58225298824334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282</v>
      </c>
      <c r="EH83" s="13">
        <f>VLOOKUP(A83,'Données projet'!$A$191:$I$211,9,0)</f>
        <v>6</v>
      </c>
      <c r="EI83" s="13">
        <f t="array" ref="EI83">INDEX(EH:EH,MIN(IF(ISNUMBER(EH83:EH279),ROW(EH83:EH279),"")))</f>
        <v>6</v>
      </c>
      <c r="EJ83" s="13">
        <f>IF('Données projet'!$A$192&gt;35,EJ82+EI83-ER82,IF(A83&lt;'Données projet'!$A$192,$EG$205^A83,IF(A83='Données projet'!$A$192,'Données projet'!$B$192,EJ82+EI83-ER82)))</f>
        <v>281.99999999999989</v>
      </c>
      <c r="EK83" s="18">
        <f>EJ83*VLOOKUP('Données projet'!$B$15,Paramètres!$A$1:$I$89,3,0)*VLOOKUP('Données projet'!$B$15,Paramètres!$A$1:$I$89,5,0)</f>
        <v>272.7503999999999</v>
      </c>
      <c r="EL83" s="14">
        <f t="shared" si="99"/>
        <v>65.432628830820633</v>
      </c>
      <c r="EM83" s="22">
        <f t="shared" si="73"/>
        <v>589.00210854701243</v>
      </c>
      <c r="EN83" s="62">
        <f t="shared" si="74"/>
        <v>864.47771174157447</v>
      </c>
      <c r="EO83" s="62">
        <f ca="1">AVERAGE(OFFSET($EN$3,0,0,'Données projet'!$E$15+1,1))-AVERAGE(OFFSET($H$3,0,0,'Données projet'!$E$15+1,1))</f>
        <v>487.76433095707876</v>
      </c>
      <c r="EP83" s="62">
        <f t="shared" si="100"/>
        <v>276.24209151398361</v>
      </c>
      <c r="EQ83" s="16">
        <f>IF(ISNA(VLOOKUP(A83,'Données projet'!$A$191:$I$211,3,0)),0,VLOOKUP(A83,'Données projet'!$A$191:$I$211,3,0))</f>
        <v>6</v>
      </c>
      <c r="ER83" s="16">
        <f>IF(ISNA(VLOOKUP(A83,'Données projet'!$A$191:$I$211,4,0)),0,VLOOKUP(A83,'Données projet'!$A$191:$I$211,4,0))</f>
        <v>42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projet'!$A$217:$I$237,2,0)</f>
        <v>282</v>
      </c>
      <c r="FC83" s="13">
        <f>VLOOKUP(A83,'Données projet'!$A$217:$I$237,9,0)</f>
        <v>6</v>
      </c>
      <c r="FD83" s="13">
        <f t="array" ref="FD83">INDEX(FC:FC,MIN(IF(ISNUMBER(FC83:FC279),ROW(FC83:FC279),"")))</f>
        <v>6</v>
      </c>
      <c r="FE83" s="13">
        <f>IF('Données projet'!$A$218&gt;35,FE82+FD83-FM82,IF(A83&lt;'Données projet'!$A$218,$FB$205^A83,IF(A83='Données projet'!$A$218,'Données projet'!$B$218,FE82+FD83-FM82)))</f>
        <v>281.99999999999989</v>
      </c>
      <c r="FF83" s="18">
        <f>FE83*VLOOKUP('Données projet'!$B$16,Paramètres!$A$1:$I$89,3,0)*VLOOKUP('Données projet'!$B$16,Paramètres!$A$1:$I$89,5,0)</f>
        <v>303.54479999999984</v>
      </c>
      <c r="FG83" s="14">
        <f t="shared" si="101"/>
        <v>71.919080904752505</v>
      </c>
      <c r="FH83" s="22">
        <f t="shared" si="76"/>
        <v>653.93292590911028</v>
      </c>
      <c r="FI83" s="62">
        <f t="shared" si="77"/>
        <v>929.40852910367221</v>
      </c>
      <c r="FJ83" s="62">
        <f ca="1">AVERAGE(OFFSET($FI$3,0,0,'Données projet'!$E$16+1,1))-AVERAGE(OFFSET($H$3,0,0,'Données projet'!$E$16+1,1))</f>
        <v>534.33392288300456</v>
      </c>
      <c r="FK83" s="62">
        <f t="shared" si="102"/>
        <v>300.93109615735477</v>
      </c>
      <c r="FL83" s="16">
        <f>IF(ISNA(VLOOKUP(A83,'Données projet'!$A$217:$I$237,3,0)),0,VLOOKUP(A83,'Données projet'!$A$217:$I$237,3,0))</f>
        <v>6</v>
      </c>
      <c r="FM83" s="16">
        <f>IF(ISNA(VLOOKUP(A83,'Données projet'!$A$217:$I$237,4,0)),0,VLOOKUP(A83,'Données projet'!$A$217:$I$237,4,0))</f>
        <v>42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>
        <f>VLOOKUP(A83,'Données projet'!$A$243:$I$263,2,0)</f>
        <v>261.53846153846155</v>
      </c>
      <c r="FX83" s="13">
        <f>VLOOKUP(A83,'Données projet'!$A$243:$I$263,9,0)</f>
        <v>4.2307692307692317</v>
      </c>
      <c r="FY83" s="13">
        <f t="array" ref="FY83">INDEX(FX:FX,MIN(IF(ISNUMBER(FX83:FX279),ROW(FX83:FX279),"")))</f>
        <v>4.2307692307692317</v>
      </c>
      <c r="FZ83" s="13">
        <f>IF('Données projet'!$A$244&gt;35,FZ82+FY83-GH82,IF(A83&lt;'Données projet'!$A$244,$FW$205^A83,IF(A83='Données projet'!$A$244,'Données projet'!$B$244,FZ82+FY83-GH82)))</f>
        <v>261.53846153846138</v>
      </c>
      <c r="GA83" s="18">
        <f>FZ83*VLOOKUP('Données projet'!$B$17,Paramètres!$A$1:$I$89,3,0)*VLOOKUP('Données projet'!$B$17,Paramètres!$A$1:$I$89,5,0)</f>
        <v>175.43999999999991</v>
      </c>
      <c r="GB83" s="14">
        <f t="shared" si="103"/>
        <v>44.306160083661858</v>
      </c>
      <c r="GC83" s="22">
        <f t="shared" si="79"/>
        <v>382.72456214571093</v>
      </c>
      <c r="GD83" s="62">
        <f t="shared" si="80"/>
        <v>658.20016534027286</v>
      </c>
      <c r="GE83" s="62">
        <f ca="1">AVERAGE(OFFSET($GD$3,0,0,'Données projet'!$E$17+1,1))-AVERAGE(OFFSET($H$3,0,0,'Données projet'!$E$17+1,1))</f>
        <v>316.17772895535211</v>
      </c>
      <c r="GF83" s="62">
        <f t="shared" si="104"/>
        <v>251.94445589652992</v>
      </c>
      <c r="GG83" s="16">
        <f>IF(ISNA(VLOOKUP(A83,'Données projet'!$A$243:$I$263,3,0)),0,VLOOKUP(A83,'Données projet'!$A$243:$I$263,3,0))</f>
        <v>7</v>
      </c>
      <c r="GH83" s="16">
        <f>IF(ISNA(VLOOKUP(A83,'Données projet'!$A$243:$I$263,4,0)),0,VLOOKUP(A83,'Données projet'!$A$243:$I$263,4,0))</f>
        <v>23.717948717948715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65.129709962153271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3.95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14.483333333333334</v>
      </c>
      <c r="H84" s="70">
        <f t="shared" si="56"/>
        <v>198.73333333333335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3.4</v>
      </c>
      <c r="N84" s="14">
        <f>IF('Données projet'!$A$36&gt;35,N83+M84-V83,IF(A84&lt;'Données projet'!$A$36,$K$205^A84,IF(A84='Données projet'!$A$36,'Données projet'!$B$36,N83+M84-V83)))</f>
        <v>323.39999999999998</v>
      </c>
      <c r="O84" s="14">
        <f>N84*VLOOKUP('Données projet'!$B$9,Paramètres!$A$1:$I$89,3,0)*VLOOKUP('Données projet'!$B$9,Paramètres!$A$1:$I$89,5,0)</f>
        <v>272.43216000000001</v>
      </c>
      <c r="P84" s="14">
        <f t="shared" si="87"/>
        <v>65.365165318325367</v>
      </c>
      <c r="Q84" s="22">
        <f t="shared" si="54"/>
        <v>588.33034159608326</v>
      </c>
      <c r="R84" s="62">
        <f t="shared" si="55"/>
        <v>864.11573648464946</v>
      </c>
      <c r="S84" s="62">
        <f ca="1">AVERAGE(OFFSET($R$3,0,0,'Données projet'!$E$9+1,1))-AVERAGE(OFFSET($H$3,0,0,'Données projet'!$E$9+1,1))</f>
        <v>508.93703669150443</v>
      </c>
      <c r="T84" s="62">
        <f t="shared" si="88"/>
        <v>277.04920840696707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5.6</v>
      </c>
      <c r="AI84" s="14">
        <f>IF('Données projet'!$A$62&gt;35,AI83+AH84-AQ83,IF(A84&lt;'Données projet'!$A$62,$AF$205^A84,IF(A84='Données projet'!$A$62,'Données projet'!$B$62,AI83+AH84-AQ83)))</f>
        <v>245.59999999999991</v>
      </c>
      <c r="AJ84" s="14">
        <f>AI84*VLOOKUP('Données projet'!$B$10,Paramètres!$A$1:$I$89,3,0)*VLOOKUP('Données projet'!$B$10,Paramètres!$A$1:$I$89,5,0)</f>
        <v>222.21887999999993</v>
      </c>
      <c r="AK84" s="14">
        <f t="shared" si="89"/>
        <v>54.596866296848852</v>
      </c>
      <c r="AL84" s="22">
        <f t="shared" si="58"/>
        <v>482.12075813367829</v>
      </c>
      <c r="AM84" s="62">
        <f t="shared" si="59"/>
        <v>757.90615302224444</v>
      </c>
      <c r="AN84" s="62">
        <f ca="1">AVERAGE(OFFSET($AM$3,0,0,'Données projet'!$E$10+1,1))-AVERAGE(OFFSET($H$3,0,0,'Données projet'!$E$10+1,1))</f>
        <v>461.10503306101145</v>
      </c>
      <c r="AO84" s="62">
        <f t="shared" si="90"/>
        <v>262.10652147273288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-2.2737367544323206E-13</v>
      </c>
      <c r="BE84" s="14">
        <f>BD84*VLOOKUP('Données projet'!$B$11,Paramètres!$A$1:$I$89,3,0)*VLOOKUP('Données projet'!$B$11,Paramètres!$A$1:$I$89,5,0)</f>
        <v>-1.8089849618263545E-13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389.67854939311752</v>
      </c>
      <c r="BJ84" s="62">
        <f t="shared" si="92"/>
        <v>420.05189970516096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2.069999999999999</v>
      </c>
      <c r="BY84" s="13">
        <f>IF('Données projet'!$A$114&gt;35,BY83+BX84-CG83,IF(A84&lt;'Données projet'!$A$114,$BV$205^A84,IF(A84='Données projet'!$A$114,'Données projet'!$B$114,BY83+BX84-CG83)))</f>
        <v>307.82999999999925</v>
      </c>
      <c r="BZ84" s="14">
        <f>BY84*VLOOKUP('Données projet'!$B$12,Paramètres!$A$1:$I$89,3,0)*VLOOKUP('Données projet'!$B$12,Paramètres!$A$1:$I$89,5,0)</f>
        <v>176.07875999999956</v>
      </c>
      <c r="CA84" s="14">
        <f t="shared" si="93"/>
        <v>44.448667347146184</v>
      </c>
      <c r="CB84" s="22">
        <f t="shared" si="64"/>
        <v>384.08526929627891</v>
      </c>
      <c r="CC84" s="62">
        <f t="shared" si="65"/>
        <v>659.87066418484505</v>
      </c>
      <c r="CD84" s="62">
        <f ca="1">AVERAGE(OFFSET($CC$3,0,0,'Données projet'!$E$12+1,1))-AVERAGE(OFFSET($H$3,0,0,'Données projet'!$E$12+1,1))</f>
        <v>312.16891625633968</v>
      </c>
      <c r="CE84" s="62">
        <f t="shared" si="94"/>
        <v>215.34305815516177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2.9209386937146977</v>
      </c>
      <c r="CM84" s="23">
        <f>EXP(-LN(2)/2)*CM83+(1-EXP(-LN(2)/2))/(LN(2)/2)*CG84*CJ84*VLOOKUP('Données projet'!$B$12,Paramètres!$A$1:$I$89,3,0)*0.475*44/12</f>
        <v>1.7169763224468473E-7</v>
      </c>
      <c r="CN84" s="24">
        <f t="shared" si="66"/>
        <v>2.9209388654123298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4.4871794871794801</v>
      </c>
      <c r="CT84" s="13">
        <f>IF('Données projet'!$A$140&gt;35,CT83+CS84-DB83,IF(A84&lt;'Données projet'!$A$140,$CQ$205^A84,IF(A84='Données projet'!$A$140,'Données projet'!$B$140,CT83+CS84-DB83)))</f>
        <v>298.71794871794862</v>
      </c>
      <c r="CU84" s="18">
        <f>CT84*VLOOKUP('Données projet'!$B$13,Paramètres!$A$1:$I$89,3,0)*VLOOKUP('Données projet'!$B$13,Paramètres!$A$1:$I$89,5,0)</f>
        <v>200.37999999999994</v>
      </c>
      <c r="CV84" s="14">
        <f t="shared" si="95"/>
        <v>49.827670995638123</v>
      </c>
      <c r="CW84" s="22">
        <f t="shared" si="67"/>
        <v>435.77836031740293</v>
      </c>
      <c r="CX84" s="62">
        <f t="shared" si="68"/>
        <v>711.56375520596907</v>
      </c>
      <c r="CY84" s="62">
        <f ca="1">AVERAGE(OFFSET($CX$3,0,0,'Données projet'!$E$13+1,1))-AVERAGE(OFFSET($H$3,0,0,'Données projet'!$E$13+1,1))</f>
        <v>369.04754428478793</v>
      </c>
      <c r="CZ84" s="62">
        <f t="shared" si="96"/>
        <v>277.00523259351712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1.1368683772161603E-13</v>
      </c>
      <c r="DP84" s="18">
        <f>DO84*VLOOKUP('Données projet'!$B$14,Paramètres!$A$1:$I$89,3,0)*VLOOKUP('Données projet'!$B$14,Paramètres!$A$1:$I$89,5,0)</f>
        <v>8.8675733422860506E-14</v>
      </c>
      <c r="DQ84" s="14">
        <f t="shared" si="97"/>
        <v>1.3509285393066301E-12</v>
      </c>
      <c r="DR84" s="22">
        <f t="shared" si="70"/>
        <v>2.5073107750038623E-12</v>
      </c>
      <c r="DS84" s="62">
        <f t="shared" si="71"/>
        <v>275.78539488856865</v>
      </c>
      <c r="DT84" s="62">
        <f ca="1">AVERAGE(OFFSET($DS$3,0,0,'Données projet'!$E$14+1,1))-AVERAGE(OFFSET($H$3,0,0,'Données projet'!$E$14+1,1))</f>
        <v>308.39181291575227</v>
      </c>
      <c r="DU84" s="62">
        <f t="shared" si="98"/>
        <v>298.58225298824334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5.6</v>
      </c>
      <c r="EJ84" s="13">
        <f>IF('Données projet'!$A$192&gt;35,EJ83+EI84-ER83,IF(A84&lt;'Données projet'!$A$192,$EG$205^A84,IF(A84='Données projet'!$A$192,'Données projet'!$B$192,EJ83+EI84-ER83)))</f>
        <v>245.59999999999991</v>
      </c>
      <c r="EK84" s="18">
        <f>EJ84*VLOOKUP('Données projet'!$B$15,Paramètres!$A$1:$I$89,3,0)*VLOOKUP('Données projet'!$B$15,Paramètres!$A$1:$I$89,5,0)</f>
        <v>237.54431999999991</v>
      </c>
      <c r="EL84" s="14">
        <f t="shared" si="99"/>
        <v>57.910863128487989</v>
      </c>
      <c r="EM84" s="22">
        <f t="shared" si="73"/>
        <v>514.58444394878302</v>
      </c>
      <c r="EN84" s="62">
        <f t="shared" si="74"/>
        <v>790.36983883734911</v>
      </c>
      <c r="EO84" s="62">
        <f ca="1">AVERAGE(OFFSET($EN$3,0,0,'Données projet'!$E$15+1,1))-AVERAGE(OFFSET($H$3,0,0,'Données projet'!$E$15+1,1))</f>
        <v>487.76433095707876</v>
      </c>
      <c r="EP84" s="62">
        <f t="shared" si="100"/>
        <v>276.24209151398361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5.6</v>
      </c>
      <c r="FE84" s="13">
        <f>IF('Données projet'!$A$218&gt;35,FE83+FD84-FM83,IF(A84&lt;'Données projet'!$A$218,$FB$205^A84,IF(A84='Données projet'!$A$218,'Données projet'!$B$218,FE83+FD84-FM83)))</f>
        <v>245.59999999999991</v>
      </c>
      <c r="FF84" s="18">
        <f>FE84*VLOOKUP('Données projet'!$B$16,Paramètres!$A$1:$I$89,3,0)*VLOOKUP('Données projet'!$B$16,Paramètres!$A$1:$I$89,5,0)</f>
        <v>264.36383999999987</v>
      </c>
      <c r="FG84" s="14">
        <f t="shared" si="101"/>
        <v>63.651669282160768</v>
      </c>
      <c r="FH84" s="22">
        <f t="shared" si="76"/>
        <v>571.29367866642974</v>
      </c>
      <c r="FI84" s="62">
        <f t="shared" si="77"/>
        <v>847.07907355499583</v>
      </c>
      <c r="FJ84" s="62">
        <f ca="1">AVERAGE(OFFSET($FI$3,0,0,'Données projet'!$E$16+1,1))-AVERAGE(OFFSET($H$3,0,0,'Données projet'!$E$16+1,1))</f>
        <v>534.33392288300456</v>
      </c>
      <c r="FK84" s="62">
        <f t="shared" si="102"/>
        <v>300.93109615735477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3.8461538461538454</v>
      </c>
      <c r="FZ84" s="13">
        <f>IF('Données projet'!$A$244&gt;35,FZ83+FY84-GH83,IF(A84&lt;'Données projet'!$A$244,$FW$205^A84,IF(A84='Données projet'!$A$244,'Données projet'!$B$244,FZ83+FY84-GH83)))</f>
        <v>241.66666666666652</v>
      </c>
      <c r="GA84" s="18">
        <f>FZ84*VLOOKUP('Données projet'!$B$17,Paramètres!$A$1:$I$89,3,0)*VLOOKUP('Données projet'!$B$17,Paramètres!$A$1:$I$89,5,0)</f>
        <v>162.1099999999999</v>
      </c>
      <c r="GB84" s="14">
        <f t="shared" si="103"/>
        <v>41.318068304799873</v>
      </c>
      <c r="GC84" s="22">
        <f t="shared" si="79"/>
        <v>354.30388563085961</v>
      </c>
      <c r="GD84" s="62">
        <f t="shared" si="80"/>
        <v>630.08928051942576</v>
      </c>
      <c r="GE84" s="62">
        <f ca="1">AVERAGE(OFFSET($GD$3,0,0,'Données projet'!$E$17+1,1))-AVERAGE(OFFSET($H$3,0,0,'Données projet'!$E$17+1,1))</f>
        <v>316.17772895535211</v>
      </c>
      <c r="GF84" s="62">
        <f t="shared" si="104"/>
        <v>251.94445589652992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65.214198605972584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3.95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14.483333333333334</v>
      </c>
      <c r="H85" s="70">
        <f t="shared" si="56"/>
        <v>198.73333333333335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3.4</v>
      </c>
      <c r="N85" s="14">
        <f>IF('Données projet'!$A$36&gt;35,N84+M85-V84,IF(A85&lt;'Données projet'!$A$36,$K$205^A85,IF(A85='Données projet'!$A$36,'Données projet'!$B$36,N84+M85-V84)))</f>
        <v>326.79999999999995</v>
      </c>
      <c r="O85" s="14">
        <f>N85*VLOOKUP('Données projet'!$B$9,Paramètres!$A$1:$I$89,3,0)*VLOOKUP('Données projet'!$B$9,Paramètres!$A$1:$I$89,5,0)</f>
        <v>275.29631999999998</v>
      </c>
      <c r="P85" s="14">
        <f t="shared" si="87"/>
        <v>65.972008102689358</v>
      </c>
      <c r="Q85" s="22">
        <f t="shared" si="54"/>
        <v>594.37567144551724</v>
      </c>
      <c r="R85" s="62">
        <f t="shared" si="55"/>
        <v>870.46548383478705</v>
      </c>
      <c r="S85" s="62">
        <f ca="1">AVERAGE(OFFSET($R$3,0,0,'Données projet'!$E$9+1,1))-AVERAGE(OFFSET($H$3,0,0,'Données projet'!$E$9+1,1))</f>
        <v>508.93703669150443</v>
      </c>
      <c r="T85" s="62">
        <f t="shared" si="88"/>
        <v>277.04920840696707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5.6</v>
      </c>
      <c r="AI85" s="14">
        <f>IF('Données projet'!$A$62&gt;35,AI84+AH85-AQ84,IF(A85&lt;'Données projet'!$A$62,$AF$205^A85,IF(A85='Données projet'!$A$62,'Données projet'!$B$62,AI84+AH85-AQ84)))</f>
        <v>251.1999999999999</v>
      </c>
      <c r="AJ85" s="14">
        <f>AI85*VLOOKUP('Données projet'!$B$10,Paramètres!$A$1:$I$89,3,0)*VLOOKUP('Données projet'!$B$10,Paramètres!$A$1:$I$89,5,0)</f>
        <v>227.28575999999993</v>
      </c>
      <c r="AK85" s="14">
        <f t="shared" si="89"/>
        <v>55.695394520076327</v>
      </c>
      <c r="AL85" s="22">
        <f t="shared" si="58"/>
        <v>492.85884412246605</v>
      </c>
      <c r="AM85" s="62">
        <f t="shared" si="59"/>
        <v>768.94865651173586</v>
      </c>
      <c r="AN85" s="62">
        <f ca="1">AVERAGE(OFFSET($AM$3,0,0,'Données projet'!$E$10+1,1))-AVERAGE(OFFSET($H$3,0,0,'Données projet'!$E$10+1,1))</f>
        <v>461.10503306101145</v>
      </c>
      <c r="AO85" s="62">
        <f t="shared" si="90"/>
        <v>262.10652147273288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-2.2737367544323206E-13</v>
      </c>
      <c r="BE85" s="14">
        <f>BD85*VLOOKUP('Données projet'!$B$11,Paramètres!$A$1:$I$89,3,0)*VLOOKUP('Données projet'!$B$11,Paramètres!$A$1:$I$89,5,0)</f>
        <v>-1.8089849618263545E-13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389.67854939311752</v>
      </c>
      <c r="BJ85" s="62">
        <f t="shared" si="92"/>
        <v>420.05189970516096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2.069999999999999</v>
      </c>
      <c r="BY85" s="13">
        <f>IF('Données projet'!$A$114&gt;35,BY84+BX85-CG84,IF(A85&lt;'Données projet'!$A$114,$BV$205^A85,IF(A85='Données projet'!$A$114,'Données projet'!$B$114,BY84+BX85-CG84)))</f>
        <v>309.89999999999924</v>
      </c>
      <c r="BZ85" s="14">
        <f>BY85*VLOOKUP('Données projet'!$B$12,Paramètres!$A$1:$I$89,3,0)*VLOOKUP('Données projet'!$B$12,Paramètres!$A$1:$I$89,5,0)</f>
        <v>177.26279999999954</v>
      </c>
      <c r="CA85" s="14">
        <f t="shared" si="93"/>
        <v>44.712667560459174</v>
      </c>
      <c r="CB85" s="22">
        <f t="shared" si="64"/>
        <v>386.60727266779895</v>
      </c>
      <c r="CC85" s="62">
        <f t="shared" si="65"/>
        <v>662.69708505706876</v>
      </c>
      <c r="CD85" s="62">
        <f ca="1">AVERAGE(OFFSET($CC$3,0,0,'Données projet'!$E$12+1,1))-AVERAGE(OFFSET($H$3,0,0,'Données projet'!$E$12+1,1))</f>
        <v>312.16891625633968</v>
      </c>
      <c r="CE85" s="62">
        <f t="shared" si="94"/>
        <v>215.34305815516177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2.8410654715295793</v>
      </c>
      <c r="CM85" s="23">
        <f>EXP(-LN(2)/2)*CM84+(1-EXP(-LN(2)/2))/(LN(2)/2)*CG85*CJ85*VLOOKUP('Données projet'!$B$12,Paramètres!$A$1:$I$89,3,0)*0.475*44/12</f>
        <v>1.2140856007389059E-7</v>
      </c>
      <c r="CN85" s="24">
        <f t="shared" si="66"/>
        <v>2.8410655929381394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4.4871794871794801</v>
      </c>
      <c r="CT85" s="13">
        <f>IF('Données projet'!$A$140&gt;35,CT84+CS85-DB84,IF(A85&lt;'Données projet'!$A$140,$CQ$205^A85,IF(A85='Données projet'!$A$140,'Données projet'!$B$140,CT84+CS85-DB84)))</f>
        <v>303.20512820512812</v>
      </c>
      <c r="CU85" s="18">
        <f>CT85*VLOOKUP('Données projet'!$B$13,Paramètres!$A$1:$I$89,3,0)*VLOOKUP('Données projet'!$B$13,Paramètres!$A$1:$I$89,5,0)</f>
        <v>203.38999999999993</v>
      </c>
      <c r="CV85" s="14">
        <f t="shared" si="95"/>
        <v>50.488456760806621</v>
      </c>
      <c r="CW85" s="22">
        <f t="shared" si="67"/>
        <v>442.17164552507137</v>
      </c>
      <c r="CX85" s="62">
        <f t="shared" si="68"/>
        <v>718.26145791434124</v>
      </c>
      <c r="CY85" s="62">
        <f ca="1">AVERAGE(OFFSET($CX$3,0,0,'Données projet'!$E$13+1,1))-AVERAGE(OFFSET($H$3,0,0,'Données projet'!$E$13+1,1))</f>
        <v>369.04754428478793</v>
      </c>
      <c r="CZ85" s="62">
        <f t="shared" si="96"/>
        <v>277.00523259351712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1.1368683772161603E-13</v>
      </c>
      <c r="DP85" s="18">
        <f>DO85*VLOOKUP('Données projet'!$B$14,Paramètres!$A$1:$I$89,3,0)*VLOOKUP('Données projet'!$B$14,Paramètres!$A$1:$I$89,5,0)</f>
        <v>8.8675733422860506E-14</v>
      </c>
      <c r="DQ85" s="14">
        <f t="shared" si="97"/>
        <v>1.3509285393066301E-12</v>
      </c>
      <c r="DR85" s="22">
        <f t="shared" si="70"/>
        <v>2.5073107750038623E-12</v>
      </c>
      <c r="DS85" s="62">
        <f t="shared" si="71"/>
        <v>276.08981238927231</v>
      </c>
      <c r="DT85" s="62">
        <f ca="1">AVERAGE(OFFSET($DS$3,0,0,'Données projet'!$E$14+1,1))-AVERAGE(OFFSET($H$3,0,0,'Données projet'!$E$14+1,1))</f>
        <v>308.39181291575227</v>
      </c>
      <c r="DU85" s="62">
        <f t="shared" si="98"/>
        <v>298.58225298824334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5.6</v>
      </c>
      <c r="EJ85" s="13">
        <f>IF('Données projet'!$A$192&gt;35,EJ84+EI85-ER84,IF(A85&lt;'Données projet'!$A$192,$EG$205^A85,IF(A85='Données projet'!$A$192,'Données projet'!$B$192,EJ84+EI85-ER84)))</f>
        <v>251.1999999999999</v>
      </c>
      <c r="EK85" s="18">
        <f>EJ85*VLOOKUP('Données projet'!$B$15,Paramètres!$A$1:$I$89,3,0)*VLOOKUP('Données projet'!$B$15,Paramètres!$A$1:$I$89,5,0)</f>
        <v>242.96063999999993</v>
      </c>
      <c r="EL85" s="14">
        <f t="shared" si="99"/>
        <v>59.076071351835715</v>
      </c>
      <c r="EM85" s="22">
        <f t="shared" si="73"/>
        <v>526.04727227111368</v>
      </c>
      <c r="EN85" s="62">
        <f t="shared" si="74"/>
        <v>802.13708466038349</v>
      </c>
      <c r="EO85" s="62">
        <f ca="1">AVERAGE(OFFSET($EN$3,0,0,'Données projet'!$E$15+1,1))-AVERAGE(OFFSET($H$3,0,0,'Données projet'!$E$15+1,1))</f>
        <v>487.76433095707876</v>
      </c>
      <c r="EP85" s="62">
        <f t="shared" si="100"/>
        <v>276.24209151398361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5.6</v>
      </c>
      <c r="FE85" s="13">
        <f>IF('Données projet'!$A$218&gt;35,FE84+FD85-FM84,IF(A85&lt;'Données projet'!$A$218,$FB$205^A85,IF(A85='Données projet'!$A$218,'Données projet'!$B$218,FE84+FD85-FM84)))</f>
        <v>251.1999999999999</v>
      </c>
      <c r="FF85" s="18">
        <f>FE85*VLOOKUP('Données projet'!$B$16,Paramètres!$A$1:$I$89,3,0)*VLOOKUP('Données projet'!$B$16,Paramètres!$A$1:$I$89,5,0)</f>
        <v>270.39167999999989</v>
      </c>
      <c r="FG85" s="14">
        <f t="shared" si="101"/>
        <v>64.932386654872516</v>
      </c>
      <c r="FH85" s="22">
        <f t="shared" si="76"/>
        <v>584.02274942390272</v>
      </c>
      <c r="FI85" s="62">
        <f t="shared" si="77"/>
        <v>860.11256181317253</v>
      </c>
      <c r="FJ85" s="62">
        <f ca="1">AVERAGE(OFFSET($FI$3,0,0,'Données projet'!$E$16+1,1))-AVERAGE(OFFSET($H$3,0,0,'Données projet'!$E$16+1,1))</f>
        <v>534.33392288300456</v>
      </c>
      <c r="FK85" s="62">
        <f t="shared" si="102"/>
        <v>300.93109615735477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3.8461538461538454</v>
      </c>
      <c r="FZ85" s="13">
        <f>IF('Données projet'!$A$244&gt;35,FZ84+FY85-GH84,IF(A85&lt;'Données projet'!$A$244,$FW$205^A85,IF(A85='Données projet'!$A$244,'Données projet'!$B$244,FZ84+FY85-GH84)))</f>
        <v>245.51282051282035</v>
      </c>
      <c r="GA85" s="18">
        <f>FZ85*VLOOKUP('Données projet'!$B$17,Paramètres!$A$1:$I$89,3,0)*VLOOKUP('Données projet'!$B$17,Paramètres!$A$1:$I$89,5,0)</f>
        <v>164.68999999999988</v>
      </c>
      <c r="GB85" s="14">
        <f t="shared" si="103"/>
        <v>41.898572717556682</v>
      </c>
      <c r="GC85" s="22">
        <f t="shared" si="79"/>
        <v>359.80843081641098</v>
      </c>
      <c r="GD85" s="62">
        <f t="shared" si="80"/>
        <v>635.89824320568073</v>
      </c>
      <c r="GE85" s="62">
        <f ca="1">AVERAGE(OFFSET($GD$3,0,0,'Données projet'!$E$17+1,1))-AVERAGE(OFFSET($H$3,0,0,'Données projet'!$E$17+1,1))</f>
        <v>316.17772895535211</v>
      </c>
      <c r="GF85" s="62">
        <f t="shared" si="104"/>
        <v>251.94445589652992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65.297221560709943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3.95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14.483333333333334</v>
      </c>
      <c r="H86" s="70">
        <f t="shared" si="56"/>
        <v>198.73333333333335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3.4</v>
      </c>
      <c r="N86" s="14">
        <f>IF('Données projet'!$A$36&gt;35,N85+M86-V85,IF(A86&lt;'Données projet'!$A$36,$K$205^A86,IF(A86='Données projet'!$A$36,'Données projet'!$B$36,N85+M86-V85)))</f>
        <v>330.19999999999993</v>
      </c>
      <c r="O86" s="14">
        <f>N86*VLOOKUP('Données projet'!$B$9,Paramètres!$A$1:$I$89,3,0)*VLOOKUP('Données projet'!$B$9,Paramètres!$A$1:$I$89,5,0)</f>
        <v>278.16047999999995</v>
      </c>
      <c r="P86" s="14">
        <f t="shared" si="87"/>
        <v>66.578116421578429</v>
      </c>
      <c r="Q86" s="22">
        <f t="shared" si="54"/>
        <v>600.41972210091569</v>
      </c>
      <c r="R86" s="62">
        <f t="shared" si="55"/>
        <v>876.80867102782736</v>
      </c>
      <c r="S86" s="62">
        <f ca="1">AVERAGE(OFFSET($R$3,0,0,'Données projet'!$E$9+1,1))-AVERAGE(OFFSET($H$3,0,0,'Données projet'!$E$9+1,1))</f>
        <v>508.93703669150443</v>
      </c>
      <c r="T86" s="62">
        <f t="shared" si="88"/>
        <v>277.04920840696707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5.6</v>
      </c>
      <c r="AI86" s="14">
        <f>IF('Données projet'!$A$62&gt;35,AI85+AH86-AQ85,IF(A86&lt;'Données projet'!$A$62,$AF$205^A86,IF(A86='Données projet'!$A$62,'Données projet'!$B$62,AI85+AH86-AQ85)))</f>
        <v>256.7999999999999</v>
      </c>
      <c r="AJ86" s="14">
        <f>AI86*VLOOKUP('Données projet'!$B$10,Paramètres!$A$1:$I$89,3,0)*VLOOKUP('Données projet'!$B$10,Paramètres!$A$1:$I$89,5,0)</f>
        <v>232.35263999999989</v>
      </c>
      <c r="AK86" s="14">
        <f t="shared" si="89"/>
        <v>56.791075613550255</v>
      </c>
      <c r="AL86" s="22">
        <f t="shared" si="58"/>
        <v>503.59197136026643</v>
      </c>
      <c r="AM86" s="62">
        <f t="shared" si="59"/>
        <v>779.98092028717815</v>
      </c>
      <c r="AN86" s="62">
        <f ca="1">AVERAGE(OFFSET($AM$3,0,0,'Données projet'!$E$10+1,1))-AVERAGE(OFFSET($H$3,0,0,'Données projet'!$E$10+1,1))</f>
        <v>461.10503306101145</v>
      </c>
      <c r="AO86" s="62">
        <f t="shared" si="90"/>
        <v>262.10652147273288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-2.2737367544323206E-13</v>
      </c>
      <c r="BE86" s="14">
        <f>BD86*VLOOKUP('Données projet'!$B$11,Paramètres!$A$1:$I$89,3,0)*VLOOKUP('Données projet'!$B$11,Paramètres!$A$1:$I$89,5,0)</f>
        <v>-1.8089849618263545E-13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389.67854939311752</v>
      </c>
      <c r="BJ86" s="62">
        <f t="shared" si="92"/>
        <v>420.05189970516096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2.069999999999999</v>
      </c>
      <c r="BY86" s="13">
        <f>IF('Données projet'!$A$114&gt;35,BY85+BX86-CG85,IF(A86&lt;'Données projet'!$A$114,$BV$205^A86,IF(A86='Données projet'!$A$114,'Données projet'!$B$114,BY85+BX86-CG85)))</f>
        <v>311.96999999999923</v>
      </c>
      <c r="BZ86" s="14">
        <f>BY86*VLOOKUP('Données projet'!$B$12,Paramètres!$A$1:$I$89,3,0)*VLOOKUP('Données projet'!$B$12,Paramètres!$A$1:$I$89,5,0)</f>
        <v>178.44683999999958</v>
      </c>
      <c r="CA86" s="14">
        <f t="shared" si="93"/>
        <v>44.976462591128119</v>
      </c>
      <c r="CB86" s="22">
        <f t="shared" si="64"/>
        <v>389.12891867954744</v>
      </c>
      <c r="CC86" s="62">
        <f t="shared" si="65"/>
        <v>665.51786760645916</v>
      </c>
      <c r="CD86" s="62">
        <f ca="1">AVERAGE(OFFSET($CC$3,0,0,'Données projet'!$E$12+1,1))-AVERAGE(OFFSET($H$3,0,0,'Données projet'!$E$12+1,1))</f>
        <v>312.16891625633968</v>
      </c>
      <c r="CE86" s="62">
        <f t="shared" si="94"/>
        <v>215.34305815516177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2.7633763868054633</v>
      </c>
      <c r="CM86" s="23">
        <f>EXP(-LN(2)/2)*CM85+(1-EXP(-LN(2)/2))/(LN(2)/2)*CG86*CJ86*VLOOKUP('Données projet'!$B$12,Paramètres!$A$1:$I$89,3,0)*0.475*44/12</f>
        <v>8.5848816122342366E-8</v>
      </c>
      <c r="CN86" s="24">
        <f t="shared" si="66"/>
        <v>2.7633764726542793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4.4871794871794801</v>
      </c>
      <c r="CT86" s="13">
        <f>IF('Données projet'!$A$140&gt;35,CT85+CS86-DB85,IF(A86&lt;'Données projet'!$A$140,$CQ$205^A86,IF(A86='Données projet'!$A$140,'Données projet'!$B$140,CT85+CS86-DB85)))</f>
        <v>307.69230769230762</v>
      </c>
      <c r="CU86" s="18">
        <f>CT86*VLOOKUP('Données projet'!$B$13,Paramètres!$A$1:$I$89,3,0)*VLOOKUP('Données projet'!$B$13,Paramètres!$A$1:$I$89,5,0)</f>
        <v>206.39999999999995</v>
      </c>
      <c r="CV86" s="14">
        <f t="shared" si="95"/>
        <v>51.148105178123217</v>
      </c>
      <c r="CW86" s="22">
        <f t="shared" si="67"/>
        <v>448.56294985189771</v>
      </c>
      <c r="CX86" s="62">
        <f t="shared" si="68"/>
        <v>724.95189877880944</v>
      </c>
      <c r="CY86" s="62">
        <f ca="1">AVERAGE(OFFSET($CX$3,0,0,'Données projet'!$E$13+1,1))-AVERAGE(OFFSET($H$3,0,0,'Données projet'!$E$13+1,1))</f>
        <v>369.04754428478793</v>
      </c>
      <c r="CZ86" s="62">
        <f t="shared" si="96"/>
        <v>277.00523259351712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1.1368683772161603E-13</v>
      </c>
      <c r="DP86" s="18">
        <f>DO86*VLOOKUP('Données projet'!$B$14,Paramètres!$A$1:$I$89,3,0)*VLOOKUP('Données projet'!$B$14,Paramètres!$A$1:$I$89,5,0)</f>
        <v>8.8675733422860506E-14</v>
      </c>
      <c r="DQ86" s="14">
        <f t="shared" si="97"/>
        <v>1.3509285393066301E-12</v>
      </c>
      <c r="DR86" s="22">
        <f t="shared" si="70"/>
        <v>2.5073107750038623E-12</v>
      </c>
      <c r="DS86" s="62">
        <f t="shared" si="71"/>
        <v>276.38894892691422</v>
      </c>
      <c r="DT86" s="62">
        <f ca="1">AVERAGE(OFFSET($DS$3,0,0,'Données projet'!$E$14+1,1))-AVERAGE(OFFSET($H$3,0,0,'Données projet'!$E$14+1,1))</f>
        <v>308.39181291575227</v>
      </c>
      <c r="DU86" s="62">
        <f t="shared" si="98"/>
        <v>298.58225298824334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5.6</v>
      </c>
      <c r="EJ86" s="13">
        <f>IF('Données projet'!$A$192&gt;35,EJ85+EI86-ER85,IF(A86&lt;'Données projet'!$A$192,$EG$205^A86,IF(A86='Données projet'!$A$192,'Données projet'!$B$192,EJ85+EI86-ER85)))</f>
        <v>256.7999999999999</v>
      </c>
      <c r="EK86" s="18">
        <f>EJ86*VLOOKUP('Données projet'!$B$15,Paramètres!$A$1:$I$89,3,0)*VLOOKUP('Données projet'!$B$15,Paramètres!$A$1:$I$89,5,0)</f>
        <v>248.37695999999988</v>
      </c>
      <c r="EL86" s="14">
        <f t="shared" si="99"/>
        <v>60.238259626372319</v>
      </c>
      <c r="EM86" s="22">
        <f t="shared" si="73"/>
        <v>537.50484084926495</v>
      </c>
      <c r="EN86" s="62">
        <f t="shared" si="74"/>
        <v>813.89378977617662</v>
      </c>
      <c r="EO86" s="62">
        <f ca="1">AVERAGE(OFFSET($EN$3,0,0,'Données projet'!$E$15+1,1))-AVERAGE(OFFSET($H$3,0,0,'Données projet'!$E$15+1,1))</f>
        <v>487.76433095707876</v>
      </c>
      <c r="EP86" s="62">
        <f t="shared" si="100"/>
        <v>276.24209151398361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5.6</v>
      </c>
      <c r="FE86" s="13">
        <f>IF('Données projet'!$A$218&gt;35,FE85+FD86-FM85,IF(A86&lt;'Données projet'!$A$218,$FB$205^A86,IF(A86='Données projet'!$A$218,'Données projet'!$B$218,FE85+FD86-FM85)))</f>
        <v>256.7999999999999</v>
      </c>
      <c r="FF86" s="18">
        <f>FE86*VLOOKUP('Données projet'!$B$16,Paramètres!$A$1:$I$89,3,0)*VLOOKUP('Données projet'!$B$16,Paramètres!$A$1:$I$89,5,0)</f>
        <v>276.41951999999986</v>
      </c>
      <c r="FG86" s="14">
        <f t="shared" si="101"/>
        <v>66.209784705913108</v>
      </c>
      <c r="FH86" s="22">
        <f t="shared" si="76"/>
        <v>596.74603902946512</v>
      </c>
      <c r="FI86" s="62">
        <f t="shared" si="77"/>
        <v>873.13498795637679</v>
      </c>
      <c r="FJ86" s="62">
        <f ca="1">AVERAGE(OFFSET($FI$3,0,0,'Données projet'!$E$16+1,1))-AVERAGE(OFFSET($H$3,0,0,'Données projet'!$E$16+1,1))</f>
        <v>534.33392288300456</v>
      </c>
      <c r="FK86" s="62">
        <f t="shared" si="102"/>
        <v>300.93109615735477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3.8461538461538454</v>
      </c>
      <c r="FZ86" s="13">
        <f>IF('Données projet'!$A$244&gt;35,FZ85+FY86-GH85,IF(A86&lt;'Données projet'!$A$244,$FW$205^A86,IF(A86='Données projet'!$A$244,'Données projet'!$B$244,FZ85+FY86-GH85)))</f>
        <v>249.35897435897419</v>
      </c>
      <c r="GA86" s="18">
        <f>FZ86*VLOOKUP('Données projet'!$B$17,Paramètres!$A$1:$I$89,3,0)*VLOOKUP('Données projet'!$B$17,Paramètres!$A$1:$I$89,5,0)</f>
        <v>167.2699999999999</v>
      </c>
      <c r="GB86" s="14">
        <f t="shared" si="103"/>
        <v>42.478019500080805</v>
      </c>
      <c r="GC86" s="22">
        <f t="shared" si="79"/>
        <v>365.31113396264055</v>
      </c>
      <c r="GD86" s="62">
        <f t="shared" si="80"/>
        <v>641.70008288955228</v>
      </c>
      <c r="GE86" s="62">
        <f ca="1">AVERAGE(OFFSET($GD$3,0,0,'Données projet'!$E$17+1,1))-AVERAGE(OFFSET($H$3,0,0,'Données projet'!$E$17+1,1))</f>
        <v>316.17772895535211</v>
      </c>
      <c r="GF86" s="62">
        <f t="shared" si="104"/>
        <v>251.94445589652992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65.378804252794112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3.95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14.483333333333334</v>
      </c>
      <c r="H87" s="70">
        <f t="shared" si="56"/>
        <v>198.73333333333335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3.4</v>
      </c>
      <c r="N87" s="14">
        <f>IF('Données projet'!$A$36&gt;35,N86+M87-V86,IF(A87&lt;'Données projet'!$A$36,$K$205^A87,IF(A87='Données projet'!$A$36,'Données projet'!$B$36,N86+M87-V86)))</f>
        <v>333.59999999999991</v>
      </c>
      <c r="O87" s="14">
        <f>N87*VLOOKUP('Données projet'!$B$9,Paramètres!$A$1:$I$89,3,0)*VLOOKUP('Données projet'!$B$9,Paramètres!$A$1:$I$89,5,0)</f>
        <v>281.02463999999992</v>
      </c>
      <c r="P87" s="14">
        <f t="shared" si="87"/>
        <v>67.183498713162166</v>
      </c>
      <c r="Q87" s="22">
        <f t="shared" si="54"/>
        <v>606.46250825875734</v>
      </c>
      <c r="R87" s="62">
        <f t="shared" si="55"/>
        <v>883.14540437315213</v>
      </c>
      <c r="S87" s="62">
        <f ca="1">AVERAGE(OFFSET($R$3,0,0,'Données projet'!$E$9+1,1))-AVERAGE(OFFSET($H$3,0,0,'Données projet'!$E$9+1,1))</f>
        <v>508.93703669150443</v>
      </c>
      <c r="T87" s="62">
        <f t="shared" si="88"/>
        <v>277.04920840696707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5.6</v>
      </c>
      <c r="AI87" s="14">
        <f>IF('Données projet'!$A$62&gt;35,AI86+AH87-AQ86,IF(A87&lt;'Données projet'!$A$62,$AF$205^A87,IF(A87='Données projet'!$A$62,'Données projet'!$B$62,AI86+AH87-AQ86)))</f>
        <v>262.39999999999992</v>
      </c>
      <c r="AJ87" s="14">
        <f>AI87*VLOOKUP('Données projet'!$B$10,Paramètres!$A$1:$I$89,3,0)*VLOOKUP('Données projet'!$B$10,Paramètres!$A$1:$I$89,5,0)</f>
        <v>237.41951999999992</v>
      </c>
      <c r="AK87" s="14">
        <f t="shared" si="89"/>
        <v>57.883978814320919</v>
      </c>
      <c r="AL87" s="22">
        <f t="shared" si="58"/>
        <v>514.32026043494204</v>
      </c>
      <c r="AM87" s="62">
        <f t="shared" si="59"/>
        <v>791.00315654933684</v>
      </c>
      <c r="AN87" s="62">
        <f ca="1">AVERAGE(OFFSET($AM$3,0,0,'Données projet'!$E$10+1,1))-AVERAGE(OFFSET($H$3,0,0,'Données projet'!$E$10+1,1))</f>
        <v>461.10503306101145</v>
      </c>
      <c r="AO87" s="62">
        <f t="shared" si="90"/>
        <v>262.10652147273288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-2.2737367544323206E-13</v>
      </c>
      <c r="BE87" s="14">
        <f>BD87*VLOOKUP('Données projet'!$B$11,Paramètres!$A$1:$I$89,3,0)*VLOOKUP('Données projet'!$B$11,Paramètres!$A$1:$I$89,5,0)</f>
        <v>-1.8089849618263545E-13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389.67854939311752</v>
      </c>
      <c r="BJ87" s="62">
        <f t="shared" si="92"/>
        <v>420.05189970516096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2.069999999999999</v>
      </c>
      <c r="BY87" s="13">
        <f>IF('Données projet'!$A$114&gt;35,BY86+BX87-CG86,IF(A87&lt;'Données projet'!$A$114,$BV$205^A87,IF(A87='Données projet'!$A$114,'Données projet'!$B$114,BY86+BX87-CG86)))</f>
        <v>314.03999999999922</v>
      </c>
      <c r="BZ87" s="14">
        <f>BY87*VLOOKUP('Données projet'!$B$12,Paramètres!$A$1:$I$89,3,0)*VLOOKUP('Données projet'!$B$12,Paramètres!$A$1:$I$89,5,0)</f>
        <v>179.63087999999959</v>
      </c>
      <c r="CA87" s="14">
        <f t="shared" si="93"/>
        <v>45.240053958498955</v>
      </c>
      <c r="CB87" s="22">
        <f t="shared" si="64"/>
        <v>391.6502099777183</v>
      </c>
      <c r="CC87" s="62">
        <f t="shared" si="65"/>
        <v>668.33310609211298</v>
      </c>
      <c r="CD87" s="62">
        <f ca="1">AVERAGE(OFFSET($CC$3,0,0,'Données projet'!$E$12+1,1))-AVERAGE(OFFSET($H$3,0,0,'Données projet'!$E$12+1,1))</f>
        <v>312.16891625633968</v>
      </c>
      <c r="CE87" s="62">
        <f t="shared" si="94"/>
        <v>215.34305815516177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2.6878117141886193</v>
      </c>
      <c r="CM87" s="23">
        <f>EXP(-LN(2)/2)*CM86+(1-EXP(-LN(2)/2))/(LN(2)/2)*CG87*CJ87*VLOOKUP('Données projet'!$B$12,Paramètres!$A$1:$I$89,3,0)*0.475*44/12</f>
        <v>6.0704280036945296E-8</v>
      </c>
      <c r="CN87" s="24">
        <f t="shared" si="66"/>
        <v>2.6878117748928991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4.4871794871794801</v>
      </c>
      <c r="CT87" s="13">
        <f>IF('Données projet'!$A$140&gt;35,CT86+CS87-DB86,IF(A87&lt;'Données projet'!$A$140,$CQ$205^A87,IF(A87='Données projet'!$A$140,'Données projet'!$B$140,CT86+CS87-DB86)))</f>
        <v>312.17948717948713</v>
      </c>
      <c r="CU87" s="18">
        <f>CT87*VLOOKUP('Données projet'!$B$13,Paramètres!$A$1:$I$89,3,0)*VLOOKUP('Données projet'!$B$13,Paramètres!$A$1:$I$89,5,0)</f>
        <v>209.41</v>
      </c>
      <c r="CV87" s="14">
        <f t="shared" si="95"/>
        <v>51.806634750171533</v>
      </c>
      <c r="CW87" s="22">
        <f t="shared" si="67"/>
        <v>454.95230552321544</v>
      </c>
      <c r="CX87" s="62">
        <f t="shared" si="68"/>
        <v>731.63520163761018</v>
      </c>
      <c r="CY87" s="62">
        <f ca="1">AVERAGE(OFFSET($CX$3,0,0,'Données projet'!$E$13+1,1))-AVERAGE(OFFSET($H$3,0,0,'Données projet'!$E$13+1,1))</f>
        <v>369.04754428478793</v>
      </c>
      <c r="CZ87" s="62">
        <f t="shared" si="96"/>
        <v>277.00523259351712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1.1368683772161603E-13</v>
      </c>
      <c r="DP87" s="18">
        <f>DO87*VLOOKUP('Données projet'!$B$14,Paramètres!$A$1:$I$89,3,0)*VLOOKUP('Données projet'!$B$14,Paramètres!$A$1:$I$89,5,0)</f>
        <v>8.8675733422860506E-14</v>
      </c>
      <c r="DQ87" s="14">
        <f t="shared" si="97"/>
        <v>1.3509285393066301E-12</v>
      </c>
      <c r="DR87" s="22">
        <f t="shared" si="70"/>
        <v>2.5073107750038623E-12</v>
      </c>
      <c r="DS87" s="62">
        <f t="shared" si="71"/>
        <v>276.68289611439724</v>
      </c>
      <c r="DT87" s="62">
        <f ca="1">AVERAGE(OFFSET($DS$3,0,0,'Données projet'!$E$14+1,1))-AVERAGE(OFFSET($H$3,0,0,'Données projet'!$E$14+1,1))</f>
        <v>308.39181291575227</v>
      </c>
      <c r="DU87" s="62">
        <f t="shared" si="98"/>
        <v>298.58225298824334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5.6</v>
      </c>
      <c r="EJ87" s="13">
        <f>IF('Données projet'!$A$192&gt;35,EJ86+EI87-ER86,IF(A87&lt;'Données projet'!$A$192,$EG$205^A87,IF(A87='Données projet'!$A$192,'Données projet'!$B$192,EJ86+EI87-ER86)))</f>
        <v>262.39999999999992</v>
      </c>
      <c r="EK87" s="18">
        <f>EJ87*VLOOKUP('Données projet'!$B$15,Paramètres!$A$1:$I$89,3,0)*VLOOKUP('Données projet'!$B$15,Paramètres!$A$1:$I$89,5,0)</f>
        <v>253.79327999999995</v>
      </c>
      <c r="EL87" s="14">
        <f t="shared" si="99"/>
        <v>61.39750139179521</v>
      </c>
      <c r="EM87" s="22">
        <f t="shared" si="73"/>
        <v>548.95727759070985</v>
      </c>
      <c r="EN87" s="62">
        <f t="shared" si="74"/>
        <v>825.64017370510464</v>
      </c>
      <c r="EO87" s="62">
        <f ca="1">AVERAGE(OFFSET($EN$3,0,0,'Données projet'!$E$15+1,1))-AVERAGE(OFFSET($H$3,0,0,'Données projet'!$E$15+1,1))</f>
        <v>487.76433095707876</v>
      </c>
      <c r="EP87" s="62">
        <f t="shared" si="100"/>
        <v>276.24209151398361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5.6</v>
      </c>
      <c r="FE87" s="13">
        <f>IF('Données projet'!$A$218&gt;35,FE86+FD87-FM86,IF(A87&lt;'Données projet'!$A$218,$FB$205^A87,IF(A87='Données projet'!$A$218,'Données projet'!$B$218,FE86+FD87-FM86)))</f>
        <v>262.39999999999992</v>
      </c>
      <c r="FF87" s="18">
        <f>FE87*VLOOKUP('Données projet'!$B$16,Paramètres!$A$1:$I$89,3,0)*VLOOKUP('Données projet'!$B$16,Paramètres!$A$1:$I$89,5,0)</f>
        <v>282.44735999999989</v>
      </c>
      <c r="FG87" s="14">
        <f t="shared" si="101"/>
        <v>67.48394415518699</v>
      </c>
      <c r="FH87" s="22">
        <f t="shared" si="76"/>
        <v>609.46368807028375</v>
      </c>
      <c r="FI87" s="62">
        <f t="shared" si="77"/>
        <v>886.14658418467843</v>
      </c>
      <c r="FJ87" s="62">
        <f ca="1">AVERAGE(OFFSET($FI$3,0,0,'Données projet'!$E$16+1,1))-AVERAGE(OFFSET($H$3,0,0,'Données projet'!$E$16+1,1))</f>
        <v>534.33392288300456</v>
      </c>
      <c r="FK87" s="62">
        <f t="shared" si="102"/>
        <v>300.93109615735477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3.8461538461538454</v>
      </c>
      <c r="FZ87" s="13">
        <f>IF('Données projet'!$A$244&gt;35,FZ86+FY87-GH86,IF(A87&lt;'Données projet'!$A$244,$FW$205^A87,IF(A87='Données projet'!$A$244,'Données projet'!$B$244,FZ86+FY87-GH86)))</f>
        <v>253.20512820512803</v>
      </c>
      <c r="GA87" s="18">
        <f>FZ87*VLOOKUP('Données projet'!$B$17,Paramètres!$A$1:$I$89,3,0)*VLOOKUP('Données projet'!$B$17,Paramètres!$A$1:$I$89,5,0)</f>
        <v>169.84999999999988</v>
      </c>
      <c r="GB87" s="14">
        <f t="shared" si="103"/>
        <v>43.056426849389865</v>
      </c>
      <c r="GC87" s="22">
        <f t="shared" si="79"/>
        <v>370.81202676268708</v>
      </c>
      <c r="GD87" s="62">
        <f t="shared" si="80"/>
        <v>647.49492287708176</v>
      </c>
      <c r="GE87" s="62">
        <f ca="1">AVERAGE(OFFSET($GD$3,0,0,'Données projet'!$E$17+1,1))-AVERAGE(OFFSET($H$3,0,0,'Données projet'!$E$17+1,1))</f>
        <v>316.17772895535211</v>
      </c>
      <c r="GF87" s="62">
        <f t="shared" si="104"/>
        <v>251.94445589652992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65.45897166756221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3.95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14.483333333333334</v>
      </c>
      <c r="H88" s="70">
        <f t="shared" si="56"/>
        <v>198.73333333333335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3.4</v>
      </c>
      <c r="N88" s="14">
        <f>IF('Données projet'!$A$36&gt;35,N87+M88-V87,IF(A88&lt;'Données projet'!$A$36,$K$205^A88,IF(A88='Données projet'!$A$36,'Données projet'!$B$36,N87+M88-V87)))</f>
        <v>336.99999999999989</v>
      </c>
      <c r="O88" s="14">
        <f>N88*VLOOKUP('Données projet'!$B$9,Paramètres!$A$1:$I$89,3,0)*VLOOKUP('Données projet'!$B$9,Paramètres!$A$1:$I$89,5,0)</f>
        <v>283.88879999999995</v>
      </c>
      <c r="P88" s="14">
        <f t="shared" si="87"/>
        <v>67.788163233697134</v>
      </c>
      <c r="Q88" s="22">
        <f t="shared" si="54"/>
        <v>612.50404429868911</v>
      </c>
      <c r="R88" s="62">
        <f t="shared" si="55"/>
        <v>889.47578827403152</v>
      </c>
      <c r="S88" s="62">
        <f ca="1">AVERAGE(OFFSET($R$3,0,0,'Données projet'!$E$9+1,1))-AVERAGE(OFFSET($H$3,0,0,'Données projet'!$E$9+1,1))</f>
        <v>508.93703669150443</v>
      </c>
      <c r="T88" s="62">
        <f t="shared" si="88"/>
        <v>277.04920840696707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5.6</v>
      </c>
      <c r="AI88" s="14">
        <f>IF('Données projet'!$A$62&gt;35,AI87+AH88-AQ87,IF(A88&lt;'Données projet'!$A$62,$AF$205^A88,IF(A88='Données projet'!$A$62,'Données projet'!$B$62,AI87+AH88-AQ87)))</f>
        <v>267.99999999999994</v>
      </c>
      <c r="AJ88" s="14">
        <f>AI88*VLOOKUP('Données projet'!$B$10,Paramètres!$A$1:$I$89,3,0)*VLOOKUP('Données projet'!$B$10,Paramètres!$A$1:$I$89,5,0)</f>
        <v>242.48639999999995</v>
      </c>
      <c r="AK88" s="14">
        <f t="shared" si="89"/>
        <v>58.974170235372419</v>
      </c>
      <c r="AL88" s="22">
        <f t="shared" si="58"/>
        <v>525.04382649327351</v>
      </c>
      <c r="AM88" s="62">
        <f t="shared" si="59"/>
        <v>802.01557046861592</v>
      </c>
      <c r="AN88" s="62">
        <f ca="1">AVERAGE(OFFSET($AM$3,0,0,'Données projet'!$E$10+1,1))-AVERAGE(OFFSET($H$3,0,0,'Données projet'!$E$10+1,1))</f>
        <v>461.10503306101145</v>
      </c>
      <c r="AO88" s="62">
        <f t="shared" si="90"/>
        <v>262.10652147273288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-2.2737367544323206E-13</v>
      </c>
      <c r="BE88" s="14">
        <f>BD88*VLOOKUP('Données projet'!$B$11,Paramètres!$A$1:$I$89,3,0)*VLOOKUP('Données projet'!$B$11,Paramètres!$A$1:$I$89,5,0)</f>
        <v>-1.8089849618263545E-13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389.67854939311752</v>
      </c>
      <c r="BJ88" s="62">
        <f t="shared" si="92"/>
        <v>420.05189970516096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2.069999999999999</v>
      </c>
      <c r="BY88" s="13">
        <f>IF('Données projet'!$A$114&gt;35,BY87+BX88-CG87,IF(A88&lt;'Données projet'!$A$114,$BV$205^A88,IF(A88='Données projet'!$A$114,'Données projet'!$B$114,BY87+BX88-CG87)))</f>
        <v>316.10999999999922</v>
      </c>
      <c r="BZ88" s="14">
        <f>BY88*VLOOKUP('Données projet'!$B$12,Paramètres!$A$1:$I$89,3,0)*VLOOKUP('Données projet'!$B$12,Paramètres!$A$1:$I$89,5,0)</f>
        <v>180.81491999999957</v>
      </c>
      <c r="CA88" s="14">
        <f t="shared" si="93"/>
        <v>45.503443160729908</v>
      </c>
      <c r="CB88" s="22">
        <f t="shared" si="64"/>
        <v>394.17114917160387</v>
      </c>
      <c r="CC88" s="62">
        <f t="shared" si="65"/>
        <v>671.14289314694634</v>
      </c>
      <c r="CD88" s="62">
        <f ca="1">AVERAGE(OFFSET($CC$3,0,0,'Données projet'!$E$12+1,1))-AVERAGE(OFFSET($H$3,0,0,'Données projet'!$E$12+1,1))</f>
        <v>312.16891625633968</v>
      </c>
      <c r="CE88" s="62">
        <f t="shared" si="94"/>
        <v>215.34305815516177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2.6143133615182563</v>
      </c>
      <c r="CM88" s="23">
        <f>EXP(-LN(2)/2)*CM87+(1-EXP(-LN(2)/2))/(LN(2)/2)*CG88*CJ88*VLOOKUP('Données projet'!$B$12,Paramètres!$A$1:$I$89,3,0)*0.475*44/12</f>
        <v>4.2924408061171183E-8</v>
      </c>
      <c r="CN88" s="24">
        <f t="shared" si="66"/>
        <v>2.6143134044426644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316.66666666666663</v>
      </c>
      <c r="CR88" s="13">
        <f>VLOOKUP(A88,'Données projet'!$A$139:$I$159,9,0)</f>
        <v>4.4871794871794801</v>
      </c>
      <c r="CS88" s="13">
        <f t="array" ref="CS88">INDEX(CR:CR,MIN(IF(ISNUMBER(CR88:CR284),ROW(CR88:CR284),"")))</f>
        <v>4.4871794871794801</v>
      </c>
      <c r="CT88" s="13">
        <f>IF('Données projet'!$A$140&gt;35,CT87+CS88-DB87,IF(A88&lt;'Données projet'!$A$140,$CQ$205^A88,IF(A88='Données projet'!$A$140,'Données projet'!$B$140,CT87+CS88-DB87)))</f>
        <v>316.66666666666663</v>
      </c>
      <c r="CU88" s="18">
        <f>CT88*VLOOKUP('Données projet'!$B$13,Paramètres!$A$1:$I$89,3,0)*VLOOKUP('Données projet'!$B$13,Paramètres!$A$1:$I$89,5,0)</f>
        <v>212.42</v>
      </c>
      <c r="CV88" s="14">
        <f t="shared" si="95"/>
        <v>52.464063417089825</v>
      </c>
      <c r="CW88" s="22">
        <f t="shared" si="67"/>
        <v>461.33974378476478</v>
      </c>
      <c r="CX88" s="62">
        <f t="shared" si="68"/>
        <v>738.31148776010718</v>
      </c>
      <c r="CY88" s="62">
        <f ca="1">AVERAGE(OFFSET($CX$3,0,0,'Données projet'!$E$13+1,1))-AVERAGE(OFFSET($H$3,0,0,'Données projet'!$E$13+1,1))</f>
        <v>369.04754428478793</v>
      </c>
      <c r="CZ88" s="62">
        <f t="shared" si="96"/>
        <v>277.00523259351712</v>
      </c>
      <c r="DA88" s="16">
        <f>IF(ISNA(VLOOKUP(A88,'Données projet'!$A$139:$I$159,3,0)),0,VLOOKUP(A88,'Données projet'!$A$139:$I$159,3,0))</f>
        <v>8</v>
      </c>
      <c r="DB88" s="16">
        <f>IF(ISNA(VLOOKUP(A88,'Données projet'!$A$139:$I$159,4,0)),0,VLOOKUP(A88,'Données projet'!$A$139:$I$159,4,0))</f>
        <v>27.564102564102562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1.1368683772161603E-13</v>
      </c>
      <c r="DP88" s="18">
        <f>DO88*VLOOKUP('Données projet'!$B$14,Paramètres!$A$1:$I$89,3,0)*VLOOKUP('Données projet'!$B$14,Paramètres!$A$1:$I$89,5,0)</f>
        <v>8.8675733422860506E-14</v>
      </c>
      <c r="DQ88" s="14">
        <f t="shared" si="97"/>
        <v>1.3509285393066301E-12</v>
      </c>
      <c r="DR88" s="22">
        <f t="shared" si="70"/>
        <v>2.5073107750038623E-12</v>
      </c>
      <c r="DS88" s="62">
        <f t="shared" si="71"/>
        <v>276.97174397534491</v>
      </c>
      <c r="DT88" s="62">
        <f ca="1">AVERAGE(OFFSET($DS$3,0,0,'Données projet'!$E$14+1,1))-AVERAGE(OFFSET($H$3,0,0,'Données projet'!$E$14+1,1))</f>
        <v>308.39181291575227</v>
      </c>
      <c r="DU88" s="62">
        <f t="shared" si="98"/>
        <v>298.58225298824334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5.6</v>
      </c>
      <c r="EJ88" s="13">
        <f>IF('Données projet'!$A$192&gt;35,EJ87+EI88-ER87,IF(A88&lt;'Données projet'!$A$192,$EG$205^A88,IF(A88='Données projet'!$A$192,'Données projet'!$B$192,EJ87+EI88-ER87)))</f>
        <v>267.99999999999994</v>
      </c>
      <c r="EK88" s="18">
        <f>EJ88*VLOOKUP('Données projet'!$B$15,Paramètres!$A$1:$I$89,3,0)*VLOOKUP('Données projet'!$B$15,Paramètres!$A$1:$I$89,5,0)</f>
        <v>259.20959999999997</v>
      </c>
      <c r="EL88" s="14">
        <f t="shared" si="99"/>
        <v>62.553866774106702</v>
      </c>
      <c r="EM88" s="22">
        <f t="shared" si="73"/>
        <v>560.40470463156907</v>
      </c>
      <c r="EN88" s="62">
        <f t="shared" si="74"/>
        <v>837.37644860691148</v>
      </c>
      <c r="EO88" s="62">
        <f ca="1">AVERAGE(OFFSET($EN$3,0,0,'Données projet'!$E$15+1,1))-AVERAGE(OFFSET($H$3,0,0,'Données projet'!$E$15+1,1))</f>
        <v>487.76433095707876</v>
      </c>
      <c r="EP88" s="62">
        <f t="shared" si="100"/>
        <v>276.24209151398361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5.6</v>
      </c>
      <c r="FE88" s="13">
        <f>IF('Données projet'!$A$218&gt;35,FE87+FD88-FM87,IF(A88&lt;'Données projet'!$A$218,$FB$205^A88,IF(A88='Données projet'!$A$218,'Données projet'!$B$218,FE87+FD88-FM87)))</f>
        <v>267.99999999999994</v>
      </c>
      <c r="FF88" s="18">
        <f>FE88*VLOOKUP('Données projet'!$B$16,Paramètres!$A$1:$I$89,3,0)*VLOOKUP('Données projet'!$B$16,Paramètres!$A$1:$I$89,5,0)</f>
        <v>288.47519999999997</v>
      </c>
      <c r="FG88" s="14">
        <f t="shared" si="101"/>
        <v>68.754942080410842</v>
      </c>
      <c r="FH88" s="22">
        <f t="shared" si="76"/>
        <v>622.17583079004874</v>
      </c>
      <c r="FI88" s="62">
        <f t="shared" si="77"/>
        <v>899.14757476539114</v>
      </c>
      <c r="FJ88" s="62">
        <f ca="1">AVERAGE(OFFSET($FI$3,0,0,'Données projet'!$E$16+1,1))-AVERAGE(OFFSET($H$3,0,0,'Données projet'!$E$16+1,1))</f>
        <v>534.33392288300456</v>
      </c>
      <c r="FK88" s="62">
        <f t="shared" si="102"/>
        <v>300.93109615735477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>
        <f>VLOOKUP(A88,'Données projet'!$A$243:$I$263,2,0)</f>
        <v>257.05128205128204</v>
      </c>
      <c r="FX88" s="13">
        <f>VLOOKUP(A88,'Données projet'!$A$243:$I$263,9,0)</f>
        <v>3.8461538461538454</v>
      </c>
      <c r="FY88" s="13">
        <f t="array" ref="FY88">INDEX(FX:FX,MIN(IF(ISNUMBER(FX88:FX284),ROW(FX88:FX284),"")))</f>
        <v>3.8461538461538454</v>
      </c>
      <c r="FZ88" s="13">
        <f>IF('Données projet'!$A$244&gt;35,FZ87+FY88-GH87,IF(A88&lt;'Données projet'!$A$244,$FW$205^A88,IF(A88='Données projet'!$A$244,'Données projet'!$B$244,FZ87+FY88-GH87)))</f>
        <v>257.05128205128187</v>
      </c>
      <c r="GA88" s="18">
        <f>FZ88*VLOOKUP('Données projet'!$B$17,Paramètres!$A$1:$I$89,3,0)*VLOOKUP('Données projet'!$B$17,Paramètres!$A$1:$I$89,5,0)</f>
        <v>172.42999999999986</v>
      </c>
      <c r="GB88" s="14">
        <f t="shared" si="103"/>
        <v>43.633812377956147</v>
      </c>
      <c r="GC88" s="22">
        <f t="shared" si="79"/>
        <v>376.31113989160673</v>
      </c>
      <c r="GD88" s="62">
        <f t="shared" si="80"/>
        <v>653.28288386694908</v>
      </c>
      <c r="GE88" s="62">
        <f ca="1">AVERAGE(OFFSET($GD$3,0,0,'Données projet'!$E$17+1,1))-AVERAGE(OFFSET($H$3,0,0,'Données projet'!$E$17+1,1))</f>
        <v>316.17772895535211</v>
      </c>
      <c r="GF88" s="62">
        <f t="shared" si="104"/>
        <v>251.94445589652992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65.537748356911564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3.95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14.483333333333334</v>
      </c>
      <c r="H89" s="70">
        <f t="shared" si="56"/>
        <v>198.73333333333335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3.4</v>
      </c>
      <c r="N89" s="14">
        <f>IF('Données projet'!$A$36&gt;35,N88+M89-V88,IF(A89&lt;'Données projet'!$A$36,$K$205^A89,IF(A89='Données projet'!$A$36,'Données projet'!$B$36,N88+M89-V88)))</f>
        <v>340.39999999999986</v>
      </c>
      <c r="O89" s="14">
        <f>N89*VLOOKUP('Données projet'!$B$9,Paramètres!$A$1:$I$89,3,0)*VLOOKUP('Données projet'!$B$9,Paramètres!$A$1:$I$89,5,0)</f>
        <v>286.75295999999992</v>
      </c>
      <c r="P89" s="14">
        <f t="shared" si="87"/>
        <v>68.392118063243558</v>
      </c>
      <c r="Q89" s="22">
        <f t="shared" si="54"/>
        <v>618.54434429348237</v>
      </c>
      <c r="R89" s="62">
        <f t="shared" si="55"/>
        <v>895.79992526515207</v>
      </c>
      <c r="S89" s="62">
        <f ca="1">AVERAGE(OFFSET($R$3,0,0,'Données projet'!$E$9+1,1))-AVERAGE(OFFSET($H$3,0,0,'Données projet'!$E$9+1,1))</f>
        <v>508.93703669150443</v>
      </c>
      <c r="T89" s="62">
        <f t="shared" si="88"/>
        <v>277.04920840696707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5.6</v>
      </c>
      <c r="AI89" s="14">
        <f>IF('Données projet'!$A$62&gt;35,AI88+AH89-AQ88,IF(A89&lt;'Données projet'!$A$62,$AF$205^A89,IF(A89='Données projet'!$A$62,'Données projet'!$B$62,AI88+AH89-AQ88)))</f>
        <v>273.59999999999997</v>
      </c>
      <c r="AJ89" s="14">
        <f>AI89*VLOOKUP('Données projet'!$B$10,Paramètres!$A$1:$I$89,3,0)*VLOOKUP('Données projet'!$B$10,Paramètres!$A$1:$I$89,5,0)</f>
        <v>247.55327999999994</v>
      </c>
      <c r="AK89" s="14">
        <f t="shared" si="89"/>
        <v>60.061713068870255</v>
      </c>
      <c r="AL89" s="22">
        <f t="shared" si="58"/>
        <v>535.76277959494894</v>
      </c>
      <c r="AM89" s="62">
        <f t="shared" si="59"/>
        <v>813.01836056661864</v>
      </c>
      <c r="AN89" s="62">
        <f ca="1">AVERAGE(OFFSET($AM$3,0,0,'Données projet'!$E$10+1,1))-AVERAGE(OFFSET($H$3,0,0,'Données projet'!$E$10+1,1))</f>
        <v>461.10503306101145</v>
      </c>
      <c r="AO89" s="62">
        <f t="shared" si="90"/>
        <v>262.10652147273288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-2.2737367544323206E-13</v>
      </c>
      <c r="BE89" s="14">
        <f>BD89*VLOOKUP('Données projet'!$B$11,Paramètres!$A$1:$I$89,3,0)*VLOOKUP('Données projet'!$B$11,Paramètres!$A$1:$I$89,5,0)</f>
        <v>-1.8089849618263545E-13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389.67854939311752</v>
      </c>
      <c r="BJ89" s="62">
        <f t="shared" si="92"/>
        <v>420.05189970516096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2.069999999999999</v>
      </c>
      <c r="BY89" s="13">
        <f>IF('Données projet'!$A$114&gt;35,BY88+BX89-CG88,IF(A89&lt;'Données projet'!$A$114,$BV$205^A89,IF(A89='Données projet'!$A$114,'Données projet'!$B$114,BY88+BX89-CG88)))</f>
        <v>318.17999999999921</v>
      </c>
      <c r="BZ89" s="14">
        <f>BY89*VLOOKUP('Données projet'!$B$12,Paramètres!$A$1:$I$89,3,0)*VLOOKUP('Données projet'!$B$12,Paramètres!$A$1:$I$89,5,0)</f>
        <v>181.99895999999956</v>
      </c>
      <c r="CA89" s="14">
        <f t="shared" si="93"/>
        <v>45.766631675223806</v>
      </c>
      <c r="CB89" s="22">
        <f t="shared" si="64"/>
        <v>396.69173883434729</v>
      </c>
      <c r="CC89" s="62">
        <f t="shared" si="65"/>
        <v>673.94731980601705</v>
      </c>
      <c r="CD89" s="62">
        <f ca="1">AVERAGE(OFFSET($CC$3,0,0,'Données projet'!$E$12+1,1))-AVERAGE(OFFSET($H$3,0,0,'Données projet'!$E$12+1,1))</f>
        <v>312.16891625633968</v>
      </c>
      <c r="CE89" s="62">
        <f t="shared" si="94"/>
        <v>215.34305815516177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2.5428248251667749</v>
      </c>
      <c r="CM89" s="23">
        <f>EXP(-LN(2)/2)*CM88+(1-EXP(-LN(2)/2))/(LN(2)/2)*CG89*CJ89*VLOOKUP('Données projet'!$B$12,Paramètres!$A$1:$I$89,3,0)*0.475*44/12</f>
        <v>3.0352140018472648E-8</v>
      </c>
      <c r="CN89" s="24">
        <f t="shared" si="66"/>
        <v>2.5428248555189148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4.1025641025640995</v>
      </c>
      <c r="CT89" s="13">
        <f>IF('Données projet'!$A$140&gt;35,CT88+CS89-DB88,IF(A89&lt;'Données projet'!$A$140,$CQ$205^A89,IF(A89='Données projet'!$A$140,'Données projet'!$B$140,CT88+CS89-DB88)))</f>
        <v>293.20512820512818</v>
      </c>
      <c r="CU89" s="18">
        <f>CT89*VLOOKUP('Données projet'!$B$13,Paramètres!$A$1:$I$89,3,0)*VLOOKUP('Données projet'!$B$13,Paramètres!$A$1:$I$89,5,0)</f>
        <v>196.68199999999999</v>
      </c>
      <c r="CV89" s="14">
        <f t="shared" si="95"/>
        <v>49.014263299588542</v>
      </c>
      <c r="CW89" s="22">
        <f t="shared" si="67"/>
        <v>427.92099191345005</v>
      </c>
      <c r="CX89" s="62">
        <f t="shared" si="68"/>
        <v>705.17657288511975</v>
      </c>
      <c r="CY89" s="62">
        <f ca="1">AVERAGE(OFFSET($CX$3,0,0,'Données projet'!$E$13+1,1))-AVERAGE(OFFSET($H$3,0,0,'Données projet'!$E$13+1,1))</f>
        <v>369.04754428478793</v>
      </c>
      <c r="CZ89" s="62">
        <f t="shared" si="96"/>
        <v>277.00523259351712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1.1368683772161603E-13</v>
      </c>
      <c r="DP89" s="18">
        <f>DO89*VLOOKUP('Données projet'!$B$14,Paramètres!$A$1:$I$89,3,0)*VLOOKUP('Données projet'!$B$14,Paramètres!$A$1:$I$89,5,0)</f>
        <v>8.8675733422860506E-14</v>
      </c>
      <c r="DQ89" s="14">
        <f t="shared" si="97"/>
        <v>1.3509285393066301E-12</v>
      </c>
      <c r="DR89" s="22">
        <f t="shared" si="70"/>
        <v>2.5073107750038623E-12</v>
      </c>
      <c r="DS89" s="62">
        <f t="shared" si="71"/>
        <v>277.2555809716722</v>
      </c>
      <c r="DT89" s="62">
        <f ca="1">AVERAGE(OFFSET($DS$3,0,0,'Données projet'!$E$14+1,1))-AVERAGE(OFFSET($H$3,0,0,'Données projet'!$E$14+1,1))</f>
        <v>308.39181291575227</v>
      </c>
      <c r="DU89" s="62">
        <f t="shared" si="98"/>
        <v>298.58225298824334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5.6</v>
      </c>
      <c r="EJ89" s="13">
        <f>IF('Données projet'!$A$192&gt;35,EJ88+EI89-ER88,IF(A89&lt;'Données projet'!$A$192,$EG$205^A89,IF(A89='Données projet'!$A$192,'Données projet'!$B$192,EJ88+EI89-ER88)))</f>
        <v>273.59999999999997</v>
      </c>
      <c r="EK89" s="18">
        <f>EJ89*VLOOKUP('Données projet'!$B$15,Paramètres!$A$1:$I$89,3,0)*VLOOKUP('Données projet'!$B$15,Paramètres!$A$1:$I$89,5,0)</f>
        <v>264.62591999999995</v>
      </c>
      <c r="EL89" s="14">
        <f t="shared" si="99"/>
        <v>63.707422801198604</v>
      </c>
      <c r="EM89" s="22">
        <f t="shared" si="73"/>
        <v>571.84723871208746</v>
      </c>
      <c r="EN89" s="62">
        <f t="shared" si="74"/>
        <v>849.10281968375716</v>
      </c>
      <c r="EO89" s="62">
        <f ca="1">AVERAGE(OFFSET($EN$3,0,0,'Données projet'!$E$15+1,1))-AVERAGE(OFFSET($H$3,0,0,'Données projet'!$E$15+1,1))</f>
        <v>487.76433095707876</v>
      </c>
      <c r="EP89" s="62">
        <f t="shared" si="100"/>
        <v>276.24209151398361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5.6</v>
      </c>
      <c r="FE89" s="13">
        <f>IF('Données projet'!$A$218&gt;35,FE88+FD89-FM88,IF(A89&lt;'Données projet'!$A$218,$FB$205^A89,IF(A89='Données projet'!$A$218,'Données projet'!$B$218,FE88+FD89-FM88)))</f>
        <v>273.59999999999997</v>
      </c>
      <c r="FF89" s="18">
        <f>FE89*VLOOKUP('Données projet'!$B$16,Paramètres!$A$1:$I$89,3,0)*VLOOKUP('Données projet'!$B$16,Paramètres!$A$1:$I$89,5,0)</f>
        <v>294.50303999999994</v>
      </c>
      <c r="FG89" s="14">
        <f t="shared" si="101"/>
        <v>70.022852154069838</v>
      </c>
      <c r="FH89" s="22">
        <f t="shared" si="76"/>
        <v>634.88259550167152</v>
      </c>
      <c r="FI89" s="62">
        <f t="shared" si="77"/>
        <v>912.13817647334122</v>
      </c>
      <c r="FJ89" s="62">
        <f ca="1">AVERAGE(OFFSET($FI$3,0,0,'Données projet'!$E$16+1,1))-AVERAGE(OFFSET($H$3,0,0,'Données projet'!$E$16+1,1))</f>
        <v>534.33392288300456</v>
      </c>
      <c r="FK89" s="62">
        <f t="shared" si="102"/>
        <v>300.93109615735477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3.5897435897435912</v>
      </c>
      <c r="FZ89" s="13">
        <f>IF('Données projet'!$A$244&gt;35,FZ88+FY89-GH88,IF(A89&lt;'Données projet'!$A$244,$FW$205^A89,IF(A89='Données projet'!$A$244,'Données projet'!$B$244,FZ88+FY89-GH88)))</f>
        <v>260.64102564102546</v>
      </c>
      <c r="GA89" s="18">
        <f>FZ89*VLOOKUP('Données projet'!$B$17,Paramètres!$A$1:$I$89,3,0)*VLOOKUP('Données projet'!$B$17,Paramètres!$A$1:$I$89,5,0)</f>
        <v>174.83799999999988</v>
      </c>
      <c r="GB89" s="14">
        <f t="shared" si="103"/>
        <v>44.171798682067859</v>
      </c>
      <c r="GC89" s="22">
        <f t="shared" si="79"/>
        <v>381.44206603793464</v>
      </c>
      <c r="GD89" s="62">
        <f t="shared" si="80"/>
        <v>658.69764700960434</v>
      </c>
      <c r="GE89" s="62">
        <f ca="1">AVERAGE(OFFSET($GD$3,0,0,'Données projet'!$E$17+1,1))-AVERAGE(OFFSET($H$3,0,0,'Données projet'!$E$17+1,1))</f>
        <v>316.17772895535211</v>
      </c>
      <c r="GF89" s="62">
        <f t="shared" si="104"/>
        <v>251.94445589652992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65.615158446819009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3.95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14.483333333333334</v>
      </c>
      <c r="H90" s="70">
        <f t="shared" si="56"/>
        <v>198.73333333333335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3.4</v>
      </c>
      <c r="N90" s="14">
        <f>IF('Données projet'!$A$36&gt;35,N89+M90-V89,IF(A90&lt;'Données projet'!$A$36,$K$205^A90,IF(A90='Données projet'!$A$36,'Données projet'!$B$36,N89+M90-V89)))</f>
        <v>343.79999999999984</v>
      </c>
      <c r="O90" s="14">
        <f>N90*VLOOKUP('Données projet'!$B$9,Paramètres!$A$1:$I$89,3,0)*VLOOKUP('Données projet'!$B$9,Paramètres!$A$1:$I$89,5,0)</f>
        <v>289.61711999999989</v>
      </c>
      <c r="P90" s="14">
        <f t="shared" si="87"/>
        <v>68.995371111147151</v>
      </c>
      <c r="Q90" s="22">
        <f t="shared" si="54"/>
        <v>624.58342201858113</v>
      </c>
      <c r="R90" s="62">
        <f t="shared" si="55"/>
        <v>902.11791604925622</v>
      </c>
      <c r="S90" s="62">
        <f ca="1">AVERAGE(OFFSET($R$3,0,0,'Données projet'!$E$9+1,1))-AVERAGE(OFFSET($H$3,0,0,'Données projet'!$E$9+1,1))</f>
        <v>508.93703669150443</v>
      </c>
      <c r="T90" s="62">
        <f t="shared" si="88"/>
        <v>277.04920840696707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5.6</v>
      </c>
      <c r="AI90" s="14">
        <f>IF('Données projet'!$A$62&gt;35,AI89+AH90-AQ89,IF(A90&lt;'Données projet'!$A$62,$AF$205^A90,IF(A90='Données projet'!$A$62,'Données projet'!$B$62,AI89+AH90-AQ89)))</f>
        <v>279.2</v>
      </c>
      <c r="AJ90" s="14">
        <f>AI90*VLOOKUP('Données projet'!$B$10,Paramètres!$A$1:$I$89,3,0)*VLOOKUP('Données projet'!$B$10,Paramètres!$A$1:$I$89,5,0)</f>
        <v>252.62015999999997</v>
      </c>
      <c r="AK90" s="14">
        <f t="shared" si="89"/>
        <v>61.14666777229877</v>
      </c>
      <c r="AL90" s="22">
        <f t="shared" si="58"/>
        <v>546.47722503675357</v>
      </c>
      <c r="AM90" s="62">
        <f t="shared" si="59"/>
        <v>824.01171906742866</v>
      </c>
      <c r="AN90" s="62">
        <f ca="1">AVERAGE(OFFSET($AM$3,0,0,'Données projet'!$E$10+1,1))-AVERAGE(OFFSET($H$3,0,0,'Données projet'!$E$10+1,1))</f>
        <v>461.10503306101145</v>
      </c>
      <c r="AO90" s="62">
        <f t="shared" si="90"/>
        <v>262.10652147273288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-2.2737367544323206E-13</v>
      </c>
      <c r="BE90" s="14">
        <f>BD90*VLOOKUP('Données projet'!$B$11,Paramètres!$A$1:$I$89,3,0)*VLOOKUP('Données projet'!$B$11,Paramètres!$A$1:$I$89,5,0)</f>
        <v>-1.8089849618263545E-13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389.67854939311752</v>
      </c>
      <c r="BJ90" s="62">
        <f t="shared" si="92"/>
        <v>420.05189970516096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2.069999999999999</v>
      </c>
      <c r="BY90" s="13">
        <f>IF('Données projet'!$A$114&gt;35,BY89+BX90-CG89,IF(A90&lt;'Données projet'!$A$114,$BV$205^A90,IF(A90='Données projet'!$A$114,'Données projet'!$B$114,BY89+BX90-CG89)))</f>
        <v>320.2499999999992</v>
      </c>
      <c r="BZ90" s="14">
        <f>BY90*VLOOKUP('Données projet'!$B$12,Paramètres!$A$1:$I$89,3,0)*VLOOKUP('Données projet'!$B$12,Paramètres!$A$1:$I$89,5,0)</f>
        <v>183.18299999999957</v>
      </c>
      <c r="CA90" s="14">
        <f t="shared" si="93"/>
        <v>46.029620959048785</v>
      </c>
      <c r="CB90" s="22">
        <f t="shared" si="64"/>
        <v>399.21198150367587</v>
      </c>
      <c r="CC90" s="62">
        <f t="shared" si="65"/>
        <v>676.74647553435102</v>
      </c>
      <c r="CD90" s="62">
        <f ca="1">AVERAGE(OFFSET($CC$3,0,0,'Données projet'!$E$12+1,1))-AVERAGE(OFFSET($H$3,0,0,'Données projet'!$E$12+1,1))</f>
        <v>312.16891625633968</v>
      </c>
      <c r="CE90" s="62">
        <f t="shared" si="94"/>
        <v>215.34305815516177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2.4732911466012437</v>
      </c>
      <c r="CM90" s="23">
        <f>EXP(-LN(2)/2)*CM89+(1-EXP(-LN(2)/2))/(LN(2)/2)*CG90*CJ90*VLOOKUP('Données projet'!$B$12,Paramètres!$A$1:$I$89,3,0)*0.475*44/12</f>
        <v>2.1462204030585591E-8</v>
      </c>
      <c r="CN90" s="24">
        <f t="shared" si="66"/>
        <v>2.4732911680634477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4.1025641025640995</v>
      </c>
      <c r="CT90" s="13">
        <f>IF('Données projet'!$A$140&gt;35,CT89+CS90-DB89,IF(A90&lt;'Données projet'!$A$140,$CQ$205^A90,IF(A90='Données projet'!$A$140,'Données projet'!$B$140,CT89+CS90-DB89)))</f>
        <v>297.30769230769226</v>
      </c>
      <c r="CU90" s="18">
        <f>CT90*VLOOKUP('Données projet'!$B$13,Paramètres!$A$1:$I$89,3,0)*VLOOKUP('Données projet'!$B$13,Paramètres!$A$1:$I$89,5,0)</f>
        <v>199.43399999999997</v>
      </c>
      <c r="CV90" s="14">
        <f t="shared" si="95"/>
        <v>49.619757547165513</v>
      </c>
      <c r="CW90" s="22">
        <f t="shared" si="67"/>
        <v>433.76862772797989</v>
      </c>
      <c r="CX90" s="62">
        <f t="shared" si="68"/>
        <v>711.30312175865492</v>
      </c>
      <c r="CY90" s="62">
        <f ca="1">AVERAGE(OFFSET($CX$3,0,0,'Données projet'!$E$13+1,1))-AVERAGE(OFFSET($H$3,0,0,'Données projet'!$E$13+1,1))</f>
        <v>369.04754428478793</v>
      </c>
      <c r="CZ90" s="62">
        <f t="shared" si="96"/>
        <v>277.00523259351712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1.1368683772161603E-13</v>
      </c>
      <c r="DP90" s="18">
        <f>DO90*VLOOKUP('Données projet'!$B$14,Paramètres!$A$1:$I$89,3,0)*VLOOKUP('Données projet'!$B$14,Paramètres!$A$1:$I$89,5,0)</f>
        <v>8.8675733422860506E-14</v>
      </c>
      <c r="DQ90" s="14">
        <f t="shared" si="97"/>
        <v>1.3509285393066301E-12</v>
      </c>
      <c r="DR90" s="22">
        <f t="shared" si="70"/>
        <v>2.5073107750038623E-12</v>
      </c>
      <c r="DS90" s="62">
        <f t="shared" si="71"/>
        <v>277.53449403067759</v>
      </c>
      <c r="DT90" s="62">
        <f ca="1">AVERAGE(OFFSET($DS$3,0,0,'Données projet'!$E$14+1,1))-AVERAGE(OFFSET($H$3,0,0,'Données projet'!$E$14+1,1))</f>
        <v>308.39181291575227</v>
      </c>
      <c r="DU90" s="62">
        <f t="shared" si="98"/>
        <v>298.58225298824334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5.6</v>
      </c>
      <c r="EJ90" s="13">
        <f>IF('Données projet'!$A$192&gt;35,EJ89+EI90-ER89,IF(A90&lt;'Données projet'!$A$192,$EG$205^A90,IF(A90='Données projet'!$A$192,'Données projet'!$B$192,EJ89+EI90-ER89)))</f>
        <v>279.2</v>
      </c>
      <c r="EK90" s="18">
        <f>EJ90*VLOOKUP('Données projet'!$B$15,Paramètres!$A$1:$I$89,3,0)*VLOOKUP('Données projet'!$B$15,Paramètres!$A$1:$I$89,5,0)</f>
        <v>270.04223999999999</v>
      </c>
      <c r="EL90" s="14">
        <f t="shared" si="99"/>
        <v>64.858233600288145</v>
      </c>
      <c r="EM90" s="22">
        <f t="shared" si="73"/>
        <v>583.28499152050188</v>
      </c>
      <c r="EN90" s="62">
        <f t="shared" si="74"/>
        <v>860.81948555117697</v>
      </c>
      <c r="EO90" s="62">
        <f ca="1">AVERAGE(OFFSET($EN$3,0,0,'Données projet'!$E$15+1,1))-AVERAGE(OFFSET($H$3,0,0,'Données projet'!$E$15+1,1))</f>
        <v>487.76433095707876</v>
      </c>
      <c r="EP90" s="62">
        <f t="shared" si="100"/>
        <v>276.24209151398361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5.6</v>
      </c>
      <c r="FE90" s="13">
        <f>IF('Données projet'!$A$218&gt;35,FE89+FD90-FM89,IF(A90&lt;'Données projet'!$A$218,$FB$205^A90,IF(A90='Données projet'!$A$218,'Données projet'!$B$218,FE89+FD90-FM89)))</f>
        <v>279.2</v>
      </c>
      <c r="FF90" s="18">
        <f>FE90*VLOOKUP('Données projet'!$B$16,Paramètres!$A$1:$I$89,3,0)*VLOOKUP('Données projet'!$B$16,Paramètres!$A$1:$I$89,5,0)</f>
        <v>300.53087999999997</v>
      </c>
      <c r="FG90" s="14">
        <f t="shared" si="101"/>
        <v>71.287744860425462</v>
      </c>
      <c r="FH90" s="22">
        <f t="shared" si="76"/>
        <v>647.58410496524095</v>
      </c>
      <c r="FI90" s="62">
        <f t="shared" si="77"/>
        <v>925.11859899591605</v>
      </c>
      <c r="FJ90" s="62">
        <f ca="1">AVERAGE(OFFSET($FI$3,0,0,'Données projet'!$E$16+1,1))-AVERAGE(OFFSET($H$3,0,0,'Données projet'!$E$16+1,1))</f>
        <v>534.33392288300456</v>
      </c>
      <c r="FK90" s="62">
        <f t="shared" si="102"/>
        <v>300.93109615735477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3.5897435897435912</v>
      </c>
      <c r="FZ90" s="13">
        <f>IF('Données projet'!$A$244&gt;35,FZ89+FY90-GH89,IF(A90&lt;'Données projet'!$A$244,$FW$205^A90,IF(A90='Données projet'!$A$244,'Données projet'!$B$244,FZ89+FY90-GH89)))</f>
        <v>264.23076923076906</v>
      </c>
      <c r="GA90" s="18">
        <f>FZ90*VLOOKUP('Données projet'!$B$17,Paramètres!$A$1:$I$89,3,0)*VLOOKUP('Données projet'!$B$17,Paramètres!$A$1:$I$89,5,0)</f>
        <v>177.2459999999999</v>
      </c>
      <c r="GB90" s="14">
        <f t="shared" si="103"/>
        <v>44.708923176637185</v>
      </c>
      <c r="GC90" s="22">
        <f t="shared" si="79"/>
        <v>386.57149119930955</v>
      </c>
      <c r="GD90" s="62">
        <f t="shared" si="80"/>
        <v>664.10598522998464</v>
      </c>
      <c r="GE90" s="62">
        <f ca="1">AVERAGE(OFFSET($GD$3,0,0,'Données projet'!$E$17+1,1))-AVERAGE(OFFSET($H$3,0,0,'Données projet'!$E$17+1,1))</f>
        <v>316.17772895535211</v>
      </c>
      <c r="GF90" s="62">
        <f t="shared" si="104"/>
        <v>251.94445589652992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65.69122564472957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3.95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14.483333333333334</v>
      </c>
      <c r="H91" s="70">
        <f t="shared" si="56"/>
        <v>198.73333333333335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3.4</v>
      </c>
      <c r="N91" s="14">
        <f>IF('Données projet'!$A$36&gt;35,N90+M91-V90,IF(A91&lt;'Données projet'!$A$36,$K$205^A91,IF(A91='Données projet'!$A$36,'Données projet'!$B$36,N90+M91-V90)))</f>
        <v>347.19999999999982</v>
      </c>
      <c r="O91" s="14">
        <f>N91*VLOOKUP('Données projet'!$B$9,Paramètres!$A$1:$I$89,3,0)*VLOOKUP('Données projet'!$B$9,Paramètres!$A$1:$I$89,5,0)</f>
        <v>292.48127999999986</v>
      </c>
      <c r="P91" s="14">
        <f t="shared" si="87"/>
        <v>69.597930121297409</v>
      </c>
      <c r="Q91" s="22">
        <f t="shared" si="54"/>
        <v>630.62129096125932</v>
      </c>
      <c r="R91" s="62">
        <f t="shared" si="55"/>
        <v>908.42985953292236</v>
      </c>
      <c r="S91" s="62">
        <f ca="1">AVERAGE(OFFSET($R$3,0,0,'Données projet'!$E$9+1,1))-AVERAGE(OFFSET($H$3,0,0,'Données projet'!$E$9+1,1))</f>
        <v>508.93703669150443</v>
      </c>
      <c r="T91" s="62">
        <f t="shared" si="88"/>
        <v>277.04920840696707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5.6</v>
      </c>
      <c r="AI91" s="14">
        <f>IF('Données projet'!$A$62&gt;35,AI90+AH91-AQ90,IF(A91&lt;'Données projet'!$A$62,$AF$205^A91,IF(A91='Données projet'!$A$62,'Données projet'!$B$62,AI90+AH91-AQ90)))</f>
        <v>284.8</v>
      </c>
      <c r="AJ91" s="14">
        <f>AI91*VLOOKUP('Données projet'!$B$10,Paramètres!$A$1:$I$89,3,0)*VLOOKUP('Données projet'!$B$10,Paramètres!$A$1:$I$89,5,0)</f>
        <v>257.68704000000002</v>
      </c>
      <c r="AK91" s="14">
        <f t="shared" si="89"/>
        <v>62.229092239243343</v>
      </c>
      <c r="AL91" s="22">
        <f t="shared" si="58"/>
        <v>557.18726365001555</v>
      </c>
      <c r="AM91" s="62">
        <f t="shared" si="59"/>
        <v>834.9958322216786</v>
      </c>
      <c r="AN91" s="62">
        <f ca="1">AVERAGE(OFFSET($AM$3,0,0,'Données projet'!$E$10+1,1))-AVERAGE(OFFSET($H$3,0,0,'Données projet'!$E$10+1,1))</f>
        <v>461.10503306101145</v>
      </c>
      <c r="AO91" s="62">
        <f t="shared" si="90"/>
        <v>262.10652147273288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-2.2737367544323206E-13</v>
      </c>
      <c r="BE91" s="14">
        <f>BD91*VLOOKUP('Données projet'!$B$11,Paramètres!$A$1:$I$89,3,0)*VLOOKUP('Données projet'!$B$11,Paramètres!$A$1:$I$89,5,0)</f>
        <v>-1.8089849618263545E-13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389.67854939311752</v>
      </c>
      <c r="BJ91" s="62">
        <f t="shared" si="92"/>
        <v>420.05189970516096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2.069999999999999</v>
      </c>
      <c r="BY91" s="13">
        <f>IF('Données projet'!$A$114&gt;35,BY90+BX91-CG90,IF(A91&lt;'Données projet'!$A$114,$BV$205^A91,IF(A91='Données projet'!$A$114,'Données projet'!$B$114,BY90+BX91-CG90)))</f>
        <v>322.3199999999992</v>
      </c>
      <c r="BZ91" s="14">
        <f>BY91*VLOOKUP('Données projet'!$B$12,Paramètres!$A$1:$I$89,3,0)*VLOOKUP('Données projet'!$B$12,Paramètres!$A$1:$I$89,5,0)</f>
        <v>184.36703999999955</v>
      </c>
      <c r="CA91" s="14">
        <f t="shared" si="93"/>
        <v>46.292412449347594</v>
      </c>
      <c r="CB91" s="22">
        <f t="shared" si="64"/>
        <v>401.731879682613</v>
      </c>
      <c r="CC91" s="62">
        <f t="shared" si="65"/>
        <v>679.54044825427604</v>
      </c>
      <c r="CD91" s="62">
        <f ca="1">AVERAGE(OFFSET($CC$3,0,0,'Données projet'!$E$12+1,1))-AVERAGE(OFFSET($H$3,0,0,'Données projet'!$E$12+1,1))</f>
        <v>312.16891625633968</v>
      </c>
      <c r="CE91" s="62">
        <f t="shared" si="94"/>
        <v>215.34305815516177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2.405658870132704</v>
      </c>
      <c r="CM91" s="23">
        <f>EXP(-LN(2)/2)*CM90+(1-EXP(-LN(2)/2))/(LN(2)/2)*CG91*CJ91*VLOOKUP('Données projet'!$B$12,Paramètres!$A$1:$I$89,3,0)*0.475*44/12</f>
        <v>1.5176070009236324E-8</v>
      </c>
      <c r="CN91" s="24">
        <f t="shared" si="66"/>
        <v>2.4056588853087741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4.1025641025640995</v>
      </c>
      <c r="CT91" s="13">
        <f>IF('Données projet'!$A$140&gt;35,CT90+CS91-DB90,IF(A91&lt;'Données projet'!$A$140,$CQ$205^A91,IF(A91='Données projet'!$A$140,'Données projet'!$B$140,CT90+CS91-DB90)))</f>
        <v>301.41025641025635</v>
      </c>
      <c r="CU91" s="18">
        <f>CT91*VLOOKUP('Données projet'!$B$13,Paramètres!$A$1:$I$89,3,0)*VLOOKUP('Données projet'!$B$13,Paramètres!$A$1:$I$89,5,0)</f>
        <v>202.18599999999998</v>
      </c>
      <c r="CV91" s="14">
        <f t="shared" si="95"/>
        <v>50.224279992116678</v>
      </c>
      <c r="CW91" s="22">
        <f t="shared" si="67"/>
        <v>439.61457098626988</v>
      </c>
      <c r="CX91" s="62">
        <f t="shared" si="68"/>
        <v>717.42313955793293</v>
      </c>
      <c r="CY91" s="62">
        <f ca="1">AVERAGE(OFFSET($CX$3,0,0,'Données projet'!$E$13+1,1))-AVERAGE(OFFSET($H$3,0,0,'Données projet'!$E$13+1,1))</f>
        <v>369.04754428478793</v>
      </c>
      <c r="CZ91" s="62">
        <f t="shared" si="96"/>
        <v>277.00523259351712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1.1368683772161603E-13</v>
      </c>
      <c r="DP91" s="18">
        <f>DO91*VLOOKUP('Données projet'!$B$14,Paramètres!$A$1:$I$89,3,0)*VLOOKUP('Données projet'!$B$14,Paramètres!$A$1:$I$89,5,0)</f>
        <v>8.8675733422860506E-14</v>
      </c>
      <c r="DQ91" s="14">
        <f t="shared" si="97"/>
        <v>1.3509285393066301E-12</v>
      </c>
      <c r="DR91" s="22">
        <f t="shared" si="70"/>
        <v>2.5073107750038623E-12</v>
      </c>
      <c r="DS91" s="62">
        <f t="shared" si="71"/>
        <v>277.80856857166555</v>
      </c>
      <c r="DT91" s="62">
        <f ca="1">AVERAGE(OFFSET($DS$3,0,0,'Données projet'!$E$14+1,1))-AVERAGE(OFFSET($H$3,0,0,'Données projet'!$E$14+1,1))</f>
        <v>308.39181291575227</v>
      </c>
      <c r="DU91" s="62">
        <f t="shared" si="98"/>
        <v>298.58225298824334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5.6</v>
      </c>
      <c r="EJ91" s="13">
        <f>IF('Données projet'!$A$192&gt;35,EJ90+EI91-ER90,IF(A91&lt;'Données projet'!$A$192,$EG$205^A91,IF(A91='Données projet'!$A$192,'Données projet'!$B$192,EJ90+EI91-ER90)))</f>
        <v>284.8</v>
      </c>
      <c r="EK91" s="18">
        <f>EJ91*VLOOKUP('Données projet'!$B$15,Paramètres!$A$1:$I$89,3,0)*VLOOKUP('Données projet'!$B$15,Paramètres!$A$1:$I$89,5,0)</f>
        <v>275.45855999999998</v>
      </c>
      <c r="EL91" s="14">
        <f t="shared" si="99"/>
        <v>66.006360579066197</v>
      </c>
      <c r="EM91" s="22">
        <f t="shared" si="73"/>
        <v>594.71807000854017</v>
      </c>
      <c r="EN91" s="62">
        <f t="shared" si="74"/>
        <v>872.52663858020321</v>
      </c>
      <c r="EO91" s="62">
        <f ca="1">AVERAGE(OFFSET($EN$3,0,0,'Données projet'!$E$15+1,1))-AVERAGE(OFFSET($H$3,0,0,'Données projet'!$E$15+1,1))</f>
        <v>487.76433095707876</v>
      </c>
      <c r="EP91" s="62">
        <f t="shared" si="100"/>
        <v>276.24209151398361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5.6</v>
      </c>
      <c r="FE91" s="13">
        <f>IF('Données projet'!$A$218&gt;35,FE90+FD91-FM90,IF(A91&lt;'Données projet'!$A$218,$FB$205^A91,IF(A91='Données projet'!$A$218,'Données projet'!$B$218,FE90+FD91-FM90)))</f>
        <v>284.8</v>
      </c>
      <c r="FF91" s="18">
        <f>FE91*VLOOKUP('Données projet'!$B$16,Paramètres!$A$1:$I$89,3,0)*VLOOKUP('Données projet'!$B$16,Paramètres!$A$1:$I$89,5,0)</f>
        <v>306.55871999999999</v>
      </c>
      <c r="FG91" s="14">
        <f t="shared" si="101"/>
        <v>72.549687694621639</v>
      </c>
      <c r="FH91" s="22">
        <f t="shared" si="76"/>
        <v>660.28047673479932</v>
      </c>
      <c r="FI91" s="62">
        <f t="shared" si="77"/>
        <v>938.08904530646237</v>
      </c>
      <c r="FJ91" s="62">
        <f ca="1">AVERAGE(OFFSET($FI$3,0,0,'Données projet'!$E$16+1,1))-AVERAGE(OFFSET($H$3,0,0,'Données projet'!$E$16+1,1))</f>
        <v>534.33392288300456</v>
      </c>
      <c r="FK91" s="62">
        <f t="shared" si="102"/>
        <v>300.93109615735477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3.5897435897435912</v>
      </c>
      <c r="FZ91" s="13">
        <f>IF('Données projet'!$A$244&gt;35,FZ90+FY91-GH90,IF(A91&lt;'Données projet'!$A$244,$FW$205^A91,IF(A91='Données projet'!$A$244,'Données projet'!$B$244,FZ90+FY91-GH90)))</f>
        <v>267.82051282051265</v>
      </c>
      <c r="GA91" s="18">
        <f>FZ91*VLOOKUP('Données projet'!$B$17,Paramètres!$A$1:$I$89,3,0)*VLOOKUP('Données projet'!$B$17,Paramètres!$A$1:$I$89,5,0)</f>
        <v>179.65399999999988</v>
      </c>
      <c r="GB91" s="14">
        <f t="shared" si="103"/>
        <v>45.245198923213806</v>
      </c>
      <c r="GC91" s="22">
        <f t="shared" si="79"/>
        <v>391.69943812459718</v>
      </c>
      <c r="GD91" s="62">
        <f t="shared" si="80"/>
        <v>669.50800669626028</v>
      </c>
      <c r="GE91" s="62">
        <f ca="1">AVERAGE(OFFSET($GD$3,0,0,'Données projet'!$E$17+1,1))-AVERAGE(OFFSET($H$3,0,0,'Données projet'!$E$17+1,1))</f>
        <v>316.17772895535211</v>
      </c>
      <c r="GF91" s="62">
        <f t="shared" si="104"/>
        <v>251.94445589652992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65.765973246817197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3.95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14.483333333333334</v>
      </c>
      <c r="H92" s="70">
        <f t="shared" si="56"/>
        <v>198.73333333333335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3.4</v>
      </c>
      <c r="N92" s="14">
        <f>IF('Données projet'!$A$36&gt;35,N91+M92-V91,IF(A92&lt;'Données projet'!$A$36,$K$205^A92,IF(A92='Données projet'!$A$36,'Données projet'!$B$36,N91+M92-V91)))</f>
        <v>350.5999999999998</v>
      </c>
      <c r="O92" s="14">
        <f>N92*VLOOKUP('Données projet'!$B$9,Paramètres!$A$1:$I$89,3,0)*VLOOKUP('Données projet'!$B$9,Paramètres!$A$1:$I$89,5,0)</f>
        <v>295.34543999999983</v>
      </c>
      <c r="P92" s="14">
        <f t="shared" si="87"/>
        <v>70.199802677174858</v>
      </c>
      <c r="Q92" s="22">
        <f t="shared" si="54"/>
        <v>636.65796432941249</v>
      </c>
      <c r="R92" s="62">
        <f t="shared" si="55"/>
        <v>914.73585286151615</v>
      </c>
      <c r="S92" s="62">
        <f ca="1">AVERAGE(OFFSET($R$3,0,0,'Données projet'!$E$9+1,1))-AVERAGE(OFFSET($H$3,0,0,'Données projet'!$E$9+1,1))</f>
        <v>508.93703669150443</v>
      </c>
      <c r="T92" s="62">
        <f t="shared" si="88"/>
        <v>277.04920840696707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5.6</v>
      </c>
      <c r="AI92" s="14">
        <f>IF('Données projet'!$A$62&gt;35,AI91+AH92-AQ91,IF(A92&lt;'Données projet'!$A$62,$AF$205^A92,IF(A92='Données projet'!$A$62,'Données projet'!$B$62,AI91+AH92-AQ91)))</f>
        <v>290.40000000000003</v>
      </c>
      <c r="AJ92" s="14">
        <f>AI92*VLOOKUP('Données projet'!$B$10,Paramètres!$A$1:$I$89,3,0)*VLOOKUP('Données projet'!$B$10,Paramètres!$A$1:$I$89,5,0)</f>
        <v>262.75392000000005</v>
      </c>
      <c r="AK92" s="14">
        <f t="shared" si="89"/>
        <v>63.309041956360382</v>
      </c>
      <c r="AL92" s="22">
        <f t="shared" si="58"/>
        <v>567.89299207399438</v>
      </c>
      <c r="AM92" s="62">
        <f t="shared" si="59"/>
        <v>845.97088060609804</v>
      </c>
      <c r="AN92" s="62">
        <f ca="1">AVERAGE(OFFSET($AM$3,0,0,'Données projet'!$E$10+1,1))-AVERAGE(OFFSET($H$3,0,0,'Données projet'!$E$10+1,1))</f>
        <v>461.10503306101145</v>
      </c>
      <c r="AO92" s="62">
        <f t="shared" si="90"/>
        <v>262.10652147273288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-2.2737367544323206E-13</v>
      </c>
      <c r="BE92" s="14">
        <f>BD92*VLOOKUP('Données projet'!$B$11,Paramètres!$A$1:$I$89,3,0)*VLOOKUP('Données projet'!$B$11,Paramètres!$A$1:$I$89,5,0)</f>
        <v>-1.8089849618263545E-13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389.67854939311752</v>
      </c>
      <c r="BJ92" s="62">
        <f t="shared" si="92"/>
        <v>420.05189970516096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2.069999999999999</v>
      </c>
      <c r="BY92" s="13">
        <f>IF('Données projet'!$A$114&gt;35,BY91+BX92-CG91,IF(A92&lt;'Données projet'!$A$114,$BV$205^A92,IF(A92='Données projet'!$A$114,'Données projet'!$B$114,BY91+BX92-CG91)))</f>
        <v>324.38999999999919</v>
      </c>
      <c r="BZ92" s="14">
        <f>BY92*VLOOKUP('Données projet'!$B$12,Paramètres!$A$1:$I$89,3,0)*VLOOKUP('Données projet'!$B$12,Paramètres!$A$1:$I$89,5,0)</f>
        <v>185.55107999999956</v>
      </c>
      <c r="CA92" s="14">
        <f t="shared" si="93"/>
        <v>46.55500756373646</v>
      </c>
      <c r="CB92" s="22">
        <f t="shared" si="64"/>
        <v>404.25143584017354</v>
      </c>
      <c r="CC92" s="62">
        <f t="shared" si="65"/>
        <v>682.32932437227714</v>
      </c>
      <c r="CD92" s="62">
        <f ca="1">AVERAGE(OFFSET($CC$3,0,0,'Données projet'!$E$12+1,1))-AVERAGE(OFFSET($H$3,0,0,'Données projet'!$E$12+1,1))</f>
        <v>312.16891625633968</v>
      </c>
      <c r="CE92" s="62">
        <f t="shared" si="94"/>
        <v>215.34305815516177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2.3398760018208233</v>
      </c>
      <c r="CM92" s="23">
        <f>EXP(-LN(2)/2)*CM91+(1-EXP(-LN(2)/2))/(LN(2)/2)*CG92*CJ92*VLOOKUP('Données projet'!$B$12,Paramètres!$A$1:$I$89,3,0)*0.475*44/12</f>
        <v>1.0731102015292796E-8</v>
      </c>
      <c r="CN92" s="24">
        <f t="shared" si="66"/>
        <v>2.3398760125519256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4.1025641025640995</v>
      </c>
      <c r="CT92" s="13">
        <f>IF('Données projet'!$A$140&gt;35,CT91+CS92-DB91,IF(A92&lt;'Données projet'!$A$140,$CQ$205^A92,IF(A92='Données projet'!$A$140,'Données projet'!$B$140,CT91+CS92-DB91)))</f>
        <v>305.51282051282044</v>
      </c>
      <c r="CU92" s="18">
        <f>CT92*VLOOKUP('Données projet'!$B$13,Paramètres!$A$1:$I$89,3,0)*VLOOKUP('Données projet'!$B$13,Paramètres!$A$1:$I$89,5,0)</f>
        <v>204.93799999999999</v>
      </c>
      <c r="CV92" s="14">
        <f t="shared" si="95"/>
        <v>50.827845390767983</v>
      </c>
      <c r="CW92" s="22">
        <f t="shared" si="67"/>
        <v>445.4588473889209</v>
      </c>
      <c r="CX92" s="62">
        <f t="shared" si="68"/>
        <v>723.5367359210245</v>
      </c>
      <c r="CY92" s="62">
        <f ca="1">AVERAGE(OFFSET($CX$3,0,0,'Données projet'!$E$13+1,1))-AVERAGE(OFFSET($H$3,0,0,'Données projet'!$E$13+1,1))</f>
        <v>369.04754428478793</v>
      </c>
      <c r="CZ92" s="62">
        <f t="shared" si="96"/>
        <v>277.00523259351712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1.1368683772161603E-13</v>
      </c>
      <c r="DP92" s="18">
        <f>DO92*VLOOKUP('Données projet'!$B$14,Paramètres!$A$1:$I$89,3,0)*VLOOKUP('Données projet'!$B$14,Paramètres!$A$1:$I$89,5,0)</f>
        <v>8.8675733422860506E-14</v>
      </c>
      <c r="DQ92" s="14">
        <f t="shared" si="97"/>
        <v>1.3509285393066301E-12</v>
      </c>
      <c r="DR92" s="22">
        <f t="shared" si="70"/>
        <v>2.5073107750038623E-12</v>
      </c>
      <c r="DS92" s="62">
        <f t="shared" si="71"/>
        <v>278.07788853210616</v>
      </c>
      <c r="DT92" s="62">
        <f ca="1">AVERAGE(OFFSET($DS$3,0,0,'Données projet'!$E$14+1,1))-AVERAGE(OFFSET($H$3,0,0,'Données projet'!$E$14+1,1))</f>
        <v>308.39181291575227</v>
      </c>
      <c r="DU92" s="62">
        <f t="shared" si="98"/>
        <v>298.58225298824334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5.6</v>
      </c>
      <c r="EJ92" s="13">
        <f>IF('Données projet'!$A$192&gt;35,EJ91+EI92-ER91,IF(A92&lt;'Données projet'!$A$192,$EG$205^A92,IF(A92='Données projet'!$A$192,'Données projet'!$B$192,EJ91+EI92-ER91)))</f>
        <v>290.40000000000003</v>
      </c>
      <c r="EK92" s="18">
        <f>EJ92*VLOOKUP('Données projet'!$B$15,Paramètres!$A$1:$I$89,3,0)*VLOOKUP('Données projet'!$B$15,Paramètres!$A$1:$I$89,5,0)</f>
        <v>280.87488000000008</v>
      </c>
      <c r="EL92" s="14">
        <f t="shared" si="99"/>
        <v>67.151862592195855</v>
      </c>
      <c r="EM92" s="22">
        <f t="shared" si="73"/>
        <v>606.14657668140785</v>
      </c>
      <c r="EN92" s="62">
        <f t="shared" si="74"/>
        <v>884.22446521351151</v>
      </c>
      <c r="EO92" s="62">
        <f ca="1">AVERAGE(OFFSET($EN$3,0,0,'Données projet'!$E$15+1,1))-AVERAGE(OFFSET($H$3,0,0,'Données projet'!$E$15+1,1))</f>
        <v>487.76433095707876</v>
      </c>
      <c r="EP92" s="62">
        <f t="shared" si="100"/>
        <v>276.24209151398361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5.6</v>
      </c>
      <c r="FE92" s="13">
        <f>IF('Données projet'!$A$218&gt;35,FE91+FD92-FM91,IF(A92&lt;'Données projet'!$A$218,$FB$205^A92,IF(A92='Données projet'!$A$218,'Données projet'!$B$218,FE91+FD92-FM91)))</f>
        <v>290.40000000000003</v>
      </c>
      <c r="FF92" s="18">
        <f>FE92*VLOOKUP('Données projet'!$B$16,Paramètres!$A$1:$I$89,3,0)*VLOOKUP('Données projet'!$B$16,Paramètres!$A$1:$I$89,5,0)</f>
        <v>312.58656000000002</v>
      </c>
      <c r="FG92" s="14">
        <f t="shared" si="101"/>
        <v>73.808745345687967</v>
      </c>
      <c r="FH92" s="22">
        <f t="shared" si="76"/>
        <v>672.97182347707314</v>
      </c>
      <c r="FI92" s="62">
        <f t="shared" si="77"/>
        <v>951.0497120091768</v>
      </c>
      <c r="FJ92" s="62">
        <f ca="1">AVERAGE(OFFSET($FI$3,0,0,'Données projet'!$E$16+1,1))-AVERAGE(OFFSET($H$3,0,0,'Données projet'!$E$16+1,1))</f>
        <v>534.33392288300456</v>
      </c>
      <c r="FK92" s="62">
        <f t="shared" si="102"/>
        <v>300.93109615735477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3.5897435897435912</v>
      </c>
      <c r="FZ92" s="13">
        <f>IF('Données projet'!$A$244&gt;35,FZ91+FY92-GH91,IF(A92&lt;'Données projet'!$A$244,$FW$205^A92,IF(A92='Données projet'!$A$244,'Données projet'!$B$244,FZ91+FY92-GH91)))</f>
        <v>271.41025641025624</v>
      </c>
      <c r="GA92" s="18">
        <f>FZ92*VLOOKUP('Données projet'!$B$17,Paramètres!$A$1:$I$89,3,0)*VLOOKUP('Données projet'!$B$17,Paramètres!$A$1:$I$89,5,0)</f>
        <v>182.0619999999999</v>
      </c>
      <c r="GB92" s="14">
        <f t="shared" si="103"/>
        <v>45.7806386130828</v>
      </c>
      <c r="GC92" s="22">
        <f t="shared" si="79"/>
        <v>396.82592891778563</v>
      </c>
      <c r="GD92" s="62">
        <f t="shared" si="80"/>
        <v>674.90381744988929</v>
      </c>
      <c r="GE92" s="62">
        <f ca="1">AVERAGE(OFFSET($GD$3,0,0,'Données projet'!$E$17+1,1))-AVERAGE(OFFSET($H$3,0,0,'Données projet'!$E$17+1,1))</f>
        <v>316.17772895535211</v>
      </c>
      <c r="GF92" s="62">
        <f t="shared" si="104"/>
        <v>251.94445589652992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65.839424145119182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3.95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14.483333333333334</v>
      </c>
      <c r="H93" s="70">
        <f t="shared" si="56"/>
        <v>198.73333333333335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354</v>
      </c>
      <c r="L93" s="13">
        <f>VLOOKUP(A93,'Données projet'!$A$35:$I$55,9,0)</f>
        <v>3.4</v>
      </c>
      <c r="M93" s="13">
        <f t="array" ref="M93">INDEX(L:L,MIN(IF(ISNUMBER(L93:L289),ROW(L93:L289),"")))</f>
        <v>3.4</v>
      </c>
      <c r="N93" s="14">
        <f>IF('Données projet'!$A$36&gt;35,N92+M93-V92,IF(A93&lt;'Données projet'!$A$36,$K$205^A93,IF(A93='Données projet'!$A$36,'Données projet'!$B$36,N92+M93-V92)))</f>
        <v>353.99999999999977</v>
      </c>
      <c r="O93" s="14">
        <f>N93*VLOOKUP('Données projet'!$B$9,Paramètres!$A$1:$I$89,3,0)*VLOOKUP('Données projet'!$B$9,Paramètres!$A$1:$I$89,5,0)</f>
        <v>298.20959999999985</v>
      </c>
      <c r="P93" s="14">
        <f t="shared" si="87"/>
        <v>70.80099620669624</v>
      </c>
      <c r="Q93" s="22">
        <f t="shared" si="54"/>
        <v>642.6934550599957</v>
      </c>
      <c r="R93" s="62">
        <f t="shared" si="55"/>
        <v>921.03599145333555</v>
      </c>
      <c r="S93" s="62">
        <f ca="1">AVERAGE(OFFSET($R$3,0,0,'Données projet'!$E$9+1,1))-AVERAGE(OFFSET($H$3,0,0,'Données projet'!$E$9+1,1))</f>
        <v>508.93703669150443</v>
      </c>
      <c r="T93" s="62">
        <f t="shared" si="88"/>
        <v>277.04920840696707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56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296</v>
      </c>
      <c r="AG93" s="13">
        <f>VLOOKUP(A93,'Données projet'!$A$61:$I$81,9,0)</f>
        <v>5.6</v>
      </c>
      <c r="AH93" s="13">
        <f t="array" ref="AH93">INDEX(AG:AG,MIN(IF(ISNUMBER(AG93:AG289),ROW(AG93:AG289),"")))</f>
        <v>5.6</v>
      </c>
      <c r="AI93" s="14">
        <f>IF('Données projet'!$A$62&gt;35,AI92+AH93-AQ92,IF(A93&lt;'Données projet'!$A$62,$AF$205^A93,IF(A93='Données projet'!$A$62,'Données projet'!$B$62,AI92+AH93-AQ92)))</f>
        <v>296.00000000000006</v>
      </c>
      <c r="AJ93" s="14">
        <f>AI93*VLOOKUP('Données projet'!$B$10,Paramètres!$A$1:$I$89,3,0)*VLOOKUP('Données projet'!$B$10,Paramètres!$A$1:$I$89,5,0)</f>
        <v>267.82080000000008</v>
      </c>
      <c r="AK93" s="14">
        <f t="shared" si="89"/>
        <v>64.386570147897373</v>
      </c>
      <c r="AL93" s="22">
        <f t="shared" si="58"/>
        <v>578.59450300758806</v>
      </c>
      <c r="AM93" s="62">
        <f t="shared" si="59"/>
        <v>856.93703940092792</v>
      </c>
      <c r="AN93" s="62">
        <f ca="1">AVERAGE(OFFSET($AM$3,0,0,'Données projet'!$E$10+1,1))-AVERAGE(OFFSET($H$3,0,0,'Données projet'!$E$10+1,1))</f>
        <v>461.10503306101145</v>
      </c>
      <c r="AO93" s="62">
        <f t="shared" si="90"/>
        <v>262.10652147273288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42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-2.2737367544323206E-13</v>
      </c>
      <c r="BE93" s="14">
        <f>BD93*VLOOKUP('Données projet'!$B$11,Paramètres!$A$1:$I$89,3,0)*VLOOKUP('Données projet'!$B$11,Paramètres!$A$1:$I$89,5,0)</f>
        <v>-1.8089849618263545E-13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389.67854939311752</v>
      </c>
      <c r="BJ93" s="62">
        <f t="shared" si="92"/>
        <v>420.05189970516096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326.45999999999998</v>
      </c>
      <c r="BW93" s="13">
        <f>VLOOKUP(A93,'Données projet'!$A$113:$I$133,9,0)</f>
        <v>2.069999999999999</v>
      </c>
      <c r="BX93" s="13">
        <f t="array" ref="BX93">INDEX(BW:BW,MIN(IF(ISNUMBER(BW93:BW289),ROW(BW93:BW289),"")))</f>
        <v>2.069999999999999</v>
      </c>
      <c r="BY93" s="13">
        <f>IF('Données projet'!$A$114&gt;35,BY92+BX93-CG92,IF(A93&lt;'Données projet'!$A$114,$BV$205^A93,IF(A93='Données projet'!$A$114,'Données projet'!$B$114,BY92+BX93-CG92)))</f>
        <v>326.45999999999918</v>
      </c>
      <c r="BZ93" s="14">
        <f>BY93*VLOOKUP('Données projet'!$B$12,Paramètres!$A$1:$I$89,3,0)*VLOOKUP('Données projet'!$B$12,Paramètres!$A$1:$I$89,5,0)</f>
        <v>186.73511999999954</v>
      </c>
      <c r="CA93" s="14">
        <f t="shared" si="93"/>
        <v>46.817407700693146</v>
      </c>
      <c r="CB93" s="22">
        <f t="shared" si="64"/>
        <v>406.77065241203974</v>
      </c>
      <c r="CC93" s="62">
        <f t="shared" si="65"/>
        <v>685.11318880537965</v>
      </c>
      <c r="CD93" s="62">
        <f ca="1">AVERAGE(OFFSET($CC$3,0,0,'Données projet'!$E$12+1,1))-AVERAGE(OFFSET($H$3,0,0,'Données projet'!$E$12+1,1))</f>
        <v>312.16891625633968</v>
      </c>
      <c r="CE93" s="62">
        <f t="shared" si="94"/>
        <v>215.34305815516177</v>
      </c>
      <c r="CF93" s="16">
        <f>IF(ISNA(VLOOKUP(A93,'Données projet'!$A$113:$I$133,3,0)),0,VLOOKUP(A93,'Données projet'!$A$113:$I$133,3,0))</f>
        <v>9</v>
      </c>
      <c r="CG93" s="16">
        <f>IF(ISNA(VLOOKUP(A93,'Données projet'!$A$113:$I$133,4,0)),0,VLOOKUP(A93,'Données projet'!$A$113:$I$133,4,0))</f>
        <v>40.51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2.2758919695023017</v>
      </c>
      <c r="CM93" s="23">
        <f>EXP(-LN(2)/2)*CM92+(1-EXP(-LN(2)/2))/(LN(2)/2)*CG93*CJ93*VLOOKUP('Données projet'!$B$12,Paramètres!$A$1:$I$89,3,0)*0.475*44/12</f>
        <v>7.588035004618162E-9</v>
      </c>
      <c r="CN93" s="24">
        <f t="shared" si="66"/>
        <v>2.2758919770903367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309.61538461538458</v>
      </c>
      <c r="CR93" s="13">
        <f>VLOOKUP(A93,'Données projet'!$A$139:$I$159,9,0)</f>
        <v>4.1025641025640995</v>
      </c>
      <c r="CS93" s="13">
        <f t="array" ref="CS93">INDEX(CR:CR,MIN(IF(ISNUMBER(CR93:CR289),ROW(CR93:CR289),"")))</f>
        <v>4.1025641025640995</v>
      </c>
      <c r="CT93" s="13">
        <f>IF('Données projet'!$A$140&gt;35,CT92+CS93-DB92,IF(A93&lt;'Données projet'!$A$140,$CQ$205^A93,IF(A93='Données projet'!$A$140,'Données projet'!$B$140,CT92+CS93-DB92)))</f>
        <v>309.61538461538453</v>
      </c>
      <c r="CU93" s="18">
        <f>CT93*VLOOKUP('Données projet'!$B$13,Paramètres!$A$1:$I$89,3,0)*VLOOKUP('Données projet'!$B$13,Paramètres!$A$1:$I$89,5,0)</f>
        <v>207.68999999999997</v>
      </c>
      <c r="CV93" s="14">
        <f t="shared" si="95"/>
        <v>51.430468080360896</v>
      </c>
      <c r="CW93" s="22">
        <f t="shared" si="67"/>
        <v>451.30148190662845</v>
      </c>
      <c r="CX93" s="62">
        <f t="shared" si="68"/>
        <v>729.64401829996837</v>
      </c>
      <c r="CY93" s="62">
        <f ca="1">AVERAGE(OFFSET($CX$3,0,0,'Données projet'!$E$13+1,1))-AVERAGE(OFFSET($H$3,0,0,'Données projet'!$E$13+1,1))</f>
        <v>369.04754428478793</v>
      </c>
      <c r="CZ93" s="62">
        <f t="shared" si="96"/>
        <v>277.00523259351712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1.1368683772161603E-13</v>
      </c>
      <c r="DP93" s="18">
        <f>DO93*VLOOKUP('Données projet'!$B$14,Paramètres!$A$1:$I$89,3,0)*VLOOKUP('Données projet'!$B$14,Paramètres!$A$1:$I$89,5,0)</f>
        <v>8.8675733422860506E-14</v>
      </c>
      <c r="DQ93" s="14">
        <f t="shared" si="97"/>
        <v>1.3509285393066301E-12</v>
      </c>
      <c r="DR93" s="22">
        <f t="shared" si="70"/>
        <v>2.5073107750038623E-12</v>
      </c>
      <c r="DS93" s="62">
        <f t="shared" si="71"/>
        <v>278.34253639334241</v>
      </c>
      <c r="DT93" s="62">
        <f ca="1">AVERAGE(OFFSET($DS$3,0,0,'Données projet'!$E$14+1,1))-AVERAGE(OFFSET($H$3,0,0,'Données projet'!$E$14+1,1))</f>
        <v>308.39181291575227</v>
      </c>
      <c r="DU93" s="62">
        <f t="shared" si="98"/>
        <v>298.58225298824334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296</v>
      </c>
      <c r="EH93" s="13">
        <f>VLOOKUP(A93,'Données projet'!$A$191:$I$211,9,0)</f>
        <v>5.6</v>
      </c>
      <c r="EI93" s="13">
        <f t="array" ref="EI93">INDEX(EH:EH,MIN(IF(ISNUMBER(EH93:EH289),ROW(EH93:EH289),"")))</f>
        <v>5.6</v>
      </c>
      <c r="EJ93" s="13">
        <f>IF('Données projet'!$A$192&gt;35,EJ92+EI93-ER92,IF(A93&lt;'Données projet'!$A$192,$EG$205^A93,IF(A93='Données projet'!$A$192,'Données projet'!$B$192,EJ92+EI93-ER92)))</f>
        <v>296.00000000000006</v>
      </c>
      <c r="EK93" s="18">
        <f>EJ93*VLOOKUP('Données projet'!$B$15,Paramètres!$A$1:$I$89,3,0)*VLOOKUP('Données projet'!$B$15,Paramètres!$A$1:$I$89,5,0)</f>
        <v>286.29120000000006</v>
      </c>
      <c r="EL93" s="14">
        <f t="shared" si="99"/>
        <v>68.294796094604408</v>
      </c>
      <c r="EM93" s="22">
        <f t="shared" si="73"/>
        <v>617.57060986476938</v>
      </c>
      <c r="EN93" s="62">
        <f t="shared" si="74"/>
        <v>895.91314625810924</v>
      </c>
      <c r="EO93" s="62">
        <f ca="1">AVERAGE(OFFSET($EN$3,0,0,'Données projet'!$E$15+1,1))-AVERAGE(OFFSET($H$3,0,0,'Données projet'!$E$15+1,1))</f>
        <v>487.76433095707876</v>
      </c>
      <c r="EP93" s="62">
        <f t="shared" si="100"/>
        <v>276.24209151398361</v>
      </c>
      <c r="EQ93" s="16">
        <f>IF(ISNA(VLOOKUP(A93,'Données projet'!$A$191:$I$211,3,0)),0,VLOOKUP(A93,'Données projet'!$A$191:$I$211,3,0))</f>
        <v>7</v>
      </c>
      <c r="ER93" s="16">
        <f>IF(ISNA(VLOOKUP(A93,'Données projet'!$A$191:$I$211,4,0)),0,VLOOKUP(A93,'Données projet'!$A$191:$I$211,4,0))</f>
        <v>42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>
        <f>VLOOKUP(A93,'Données projet'!$A$217:$I$237,2,0)</f>
        <v>296</v>
      </c>
      <c r="FC93" s="13">
        <f>VLOOKUP(A93,'Données projet'!$A$217:$I$237,9,0)</f>
        <v>5.6</v>
      </c>
      <c r="FD93" s="13">
        <f t="array" ref="FD93">INDEX(FC:FC,MIN(IF(ISNUMBER(FC93:FC289),ROW(FC93:FC289),"")))</f>
        <v>5.6</v>
      </c>
      <c r="FE93" s="13">
        <f>IF('Données projet'!$A$218&gt;35,FE92+FD93-FM92,IF(A93&lt;'Données projet'!$A$218,$FB$205^A93,IF(A93='Données projet'!$A$218,'Données projet'!$B$218,FE92+FD93-FM92)))</f>
        <v>296.00000000000006</v>
      </c>
      <c r="FF93" s="18">
        <f>FE93*VLOOKUP('Données projet'!$B$16,Paramètres!$A$1:$I$89,3,0)*VLOOKUP('Données projet'!$B$16,Paramètres!$A$1:$I$89,5,0)</f>
        <v>318.61440000000005</v>
      </c>
      <c r="FG93" s="14">
        <f t="shared" si="101"/>
        <v>75.06497986502842</v>
      </c>
      <c r="FH93" s="22">
        <f t="shared" si="76"/>
        <v>685.6582532649245</v>
      </c>
      <c r="FI93" s="62">
        <f t="shared" si="77"/>
        <v>964.00078965826447</v>
      </c>
      <c r="FJ93" s="62">
        <f ca="1">AVERAGE(OFFSET($FI$3,0,0,'Données projet'!$E$16+1,1))-AVERAGE(OFFSET($H$3,0,0,'Données projet'!$E$16+1,1))</f>
        <v>534.33392288300456</v>
      </c>
      <c r="FK93" s="62">
        <f t="shared" si="102"/>
        <v>300.93109615735477</v>
      </c>
      <c r="FL93" s="16">
        <f>IF(ISNA(VLOOKUP(A93,'Données projet'!$A$217:$I$237,3,0)),0,VLOOKUP(A93,'Données projet'!$A$217:$I$237,3,0))</f>
        <v>7</v>
      </c>
      <c r="FM93" s="16">
        <f>IF(ISNA(VLOOKUP(A93,'Données projet'!$A$217:$I$237,4,0)),0,VLOOKUP(A93,'Données projet'!$A$217:$I$237,4,0))</f>
        <v>42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>
        <f>VLOOKUP(A93,'Données projet'!$A$243:$I$263,2,0)</f>
        <v>275</v>
      </c>
      <c r="FX93" s="13">
        <f>VLOOKUP(A93,'Données projet'!$A$243:$I$263,9,0)</f>
        <v>3.5897435897435912</v>
      </c>
      <c r="FY93" s="13">
        <f t="array" ref="FY93">INDEX(FX:FX,MIN(IF(ISNUMBER(FX93:FX289),ROW(FX93:FX289),"")))</f>
        <v>3.5897435897435912</v>
      </c>
      <c r="FZ93" s="13">
        <f>IF('Données projet'!$A$244&gt;35,FZ92+FY93-GH92,IF(A93&lt;'Données projet'!$A$244,$FW$205^A93,IF(A93='Données projet'!$A$244,'Données projet'!$B$244,FZ92+FY93-GH92)))</f>
        <v>274.99999999999983</v>
      </c>
      <c r="GA93" s="18">
        <f>FZ93*VLOOKUP('Données projet'!$B$17,Paramètres!$A$1:$I$89,3,0)*VLOOKUP('Données projet'!$B$17,Paramètres!$A$1:$I$89,5,0)</f>
        <v>184.46999999999989</v>
      </c>
      <c r="GB93" s="14">
        <f t="shared" si="103"/>
        <v>46.315254582516552</v>
      </c>
      <c r="GC93" s="22">
        <f t="shared" si="79"/>
        <v>401.95098506454946</v>
      </c>
      <c r="GD93" s="62">
        <f t="shared" si="80"/>
        <v>680.29352145788937</v>
      </c>
      <c r="GE93" s="62">
        <f ca="1">AVERAGE(OFFSET($GD$3,0,0,'Données projet'!$E$17+1,1))-AVERAGE(OFFSET($H$3,0,0,'Données projet'!$E$17+1,1))</f>
        <v>316.17772895535211</v>
      </c>
      <c r="GF93" s="62">
        <f t="shared" si="104"/>
        <v>251.94445589652992</v>
      </c>
      <c r="GG93" s="16">
        <f>IF(ISNA(VLOOKUP(A93,'Données projet'!$A$243:$I$263,3,0)),0,VLOOKUP(A93,'Données projet'!$A$243:$I$263,3,0))</f>
        <v>8</v>
      </c>
      <c r="GH93" s="16">
        <f>IF(ISNA(VLOOKUP(A93,'Données projet'!$A$243:$I$263,4,0)),0,VLOOKUP(A93,'Données projet'!$A$243:$I$263,4,0))</f>
        <v>23.076923076923077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65.911600834547244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3.95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14.483333333333334</v>
      </c>
      <c r="H94" s="70">
        <f t="shared" si="56"/>
        <v>198.73333333333335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6.3</v>
      </c>
      <c r="N94" s="14">
        <f>IF('Données projet'!$A$36&gt;35,N93+M94-V93,IF(A94&lt;'Données projet'!$A$36,$K$205^A94,IF(A94='Données projet'!$A$36,'Données projet'!$B$36,N93+M94-V93)))</f>
        <v>304.29999999999978</v>
      </c>
      <c r="O94" s="14">
        <f>N94*VLOOKUP('Données projet'!$B$9,Paramètres!$A$1:$I$89,3,0)*VLOOKUP('Données projet'!$B$9,Paramètres!$A$1:$I$89,5,0)</f>
        <v>256.34231999999986</v>
      </c>
      <c r="P94" s="14">
        <f t="shared" si="87"/>
        <v>61.94206666295451</v>
      </c>
      <c r="Q94" s="22">
        <f t="shared" si="54"/>
        <v>554.34530677131215</v>
      </c>
      <c r="R94" s="62">
        <f t="shared" si="55"/>
        <v>832.94789997715975</v>
      </c>
      <c r="S94" s="62">
        <f ca="1">AVERAGE(OFFSET($R$3,0,0,'Données projet'!$E$9+1,1))-AVERAGE(OFFSET($H$3,0,0,'Données projet'!$E$9+1,1))</f>
        <v>508.93703669150443</v>
      </c>
      <c r="T94" s="62">
        <f t="shared" si="88"/>
        <v>277.04920840696707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4.9000000000000004</v>
      </c>
      <c r="AI94" s="14">
        <f>IF('Données projet'!$A$62&gt;35,AI93+AH94-AQ93,IF(A94&lt;'Données projet'!$A$62,$AF$205^A94,IF(A94='Données projet'!$A$62,'Données projet'!$B$62,AI93+AH94-AQ93)))</f>
        <v>258.90000000000003</v>
      </c>
      <c r="AJ94" s="14">
        <f>AI94*VLOOKUP('Données projet'!$B$10,Paramètres!$A$1:$I$89,3,0)*VLOOKUP('Données projet'!$B$10,Paramètres!$A$1:$I$89,5,0)</f>
        <v>234.25272000000001</v>
      </c>
      <c r="AK94" s="14">
        <f t="shared" si="89"/>
        <v>57.201236231171301</v>
      </c>
      <c r="AL94" s="22">
        <f t="shared" si="58"/>
        <v>507.61564043595672</v>
      </c>
      <c r="AM94" s="62">
        <f t="shared" si="59"/>
        <v>786.21823364180432</v>
      </c>
      <c r="AN94" s="62">
        <f ca="1">AVERAGE(OFFSET($AM$3,0,0,'Données projet'!$E$10+1,1))-AVERAGE(OFFSET($H$3,0,0,'Données projet'!$E$10+1,1))</f>
        <v>461.10503306101145</v>
      </c>
      <c r="AO94" s="62">
        <f t="shared" si="90"/>
        <v>262.10652147273288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-2.2737367544323206E-13</v>
      </c>
      <c r="BE94" s="14">
        <f>BD94*VLOOKUP('Données projet'!$B$11,Paramètres!$A$1:$I$89,3,0)*VLOOKUP('Données projet'!$B$11,Paramètres!$A$1:$I$89,5,0)</f>
        <v>-1.8089849618263545E-13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389.67854939311752</v>
      </c>
      <c r="BJ94" s="62">
        <f t="shared" si="92"/>
        <v>420.05189970516096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8.4050000000000011</v>
      </c>
      <c r="BY94" s="13">
        <f>IF('Données projet'!$A$114&gt;35,BY93+BX94-CG93,IF(A94&lt;'Données projet'!$A$114,$BV$205^A94,IF(A94='Données projet'!$A$114,'Données projet'!$B$114,BY93+BX94-CG93)))</f>
        <v>294.35499999999922</v>
      </c>
      <c r="BZ94" s="14">
        <f>BY94*VLOOKUP('Données projet'!$B$12,Paramètres!$A$1:$I$89,3,0)*VLOOKUP('Données projet'!$B$12,Paramètres!$A$1:$I$89,5,0)</f>
        <v>168.37105999999957</v>
      </c>
      <c r="CA94" s="14">
        <f t="shared" si="93"/>
        <v>42.724991029166183</v>
      </c>
      <c r="CB94" s="22">
        <f t="shared" si="64"/>
        <v>367.65895554246367</v>
      </c>
      <c r="CC94" s="62">
        <f t="shared" si="65"/>
        <v>646.26154874831127</v>
      </c>
      <c r="CD94" s="62">
        <f ca="1">AVERAGE(OFFSET($CC$3,0,0,'Données projet'!$E$12+1,1))-AVERAGE(OFFSET($H$3,0,0,'Données projet'!$E$12+1,1))</f>
        <v>312.16891625633968</v>
      </c>
      <c r="CE94" s="62">
        <f t="shared" si="94"/>
        <v>215.34305815516177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2.2136575839123043</v>
      </c>
      <c r="CM94" s="23">
        <f>EXP(-LN(2)/2)*CM93+(1-EXP(-LN(2)/2))/(LN(2)/2)*CG94*CJ94*VLOOKUP('Données projet'!$B$12,Paramètres!$A$1:$I$89,3,0)*0.475*44/12</f>
        <v>5.3655510076463979E-9</v>
      </c>
      <c r="CN94" s="24">
        <f t="shared" si="66"/>
        <v>2.2136575892778554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3.9743589743589838</v>
      </c>
      <c r="CT94" s="13">
        <f>IF('Données projet'!$A$140&gt;35,CT93+CS94-DB93,IF(A94&lt;'Données projet'!$A$140,$CQ$205^A94,IF(A94='Données projet'!$A$140,'Données projet'!$B$140,CT93+CS94-DB93)))</f>
        <v>313.58974358974353</v>
      </c>
      <c r="CU94" s="18">
        <f>CT94*VLOOKUP('Données projet'!$B$13,Paramètres!$A$1:$I$89,3,0)*VLOOKUP('Données projet'!$B$13,Paramètres!$A$1:$I$89,5,0)</f>
        <v>210.35599999999997</v>
      </c>
      <c r="CV94" s="14">
        <f t="shared" si="95"/>
        <v>52.013372984495476</v>
      </c>
      <c r="CW94" s="22">
        <f t="shared" si="67"/>
        <v>456.95999128132956</v>
      </c>
      <c r="CX94" s="62">
        <f t="shared" si="68"/>
        <v>735.56258448717722</v>
      </c>
      <c r="CY94" s="62">
        <f ca="1">AVERAGE(OFFSET($CX$3,0,0,'Données projet'!$E$13+1,1))-AVERAGE(OFFSET($H$3,0,0,'Données projet'!$E$13+1,1))</f>
        <v>369.04754428478793</v>
      </c>
      <c r="CZ94" s="62">
        <f t="shared" si="96"/>
        <v>277.00523259351712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1.1368683772161603E-13</v>
      </c>
      <c r="DP94" s="18">
        <f>DO94*VLOOKUP('Données projet'!$B$14,Paramètres!$A$1:$I$89,3,0)*VLOOKUP('Données projet'!$B$14,Paramètres!$A$1:$I$89,5,0)</f>
        <v>8.8675733422860506E-14</v>
      </c>
      <c r="DQ94" s="14">
        <f t="shared" si="97"/>
        <v>1.3509285393066301E-12</v>
      </c>
      <c r="DR94" s="22">
        <f t="shared" si="70"/>
        <v>2.5073107750038623E-12</v>
      </c>
      <c r="DS94" s="62">
        <f t="shared" si="71"/>
        <v>278.6025932058501</v>
      </c>
      <c r="DT94" s="62">
        <f ca="1">AVERAGE(OFFSET($DS$3,0,0,'Données projet'!$E$14+1,1))-AVERAGE(OFFSET($H$3,0,0,'Données projet'!$E$14+1,1))</f>
        <v>308.39181291575227</v>
      </c>
      <c r="DU94" s="62">
        <f t="shared" si="98"/>
        <v>298.58225298824334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4.9000000000000004</v>
      </c>
      <c r="EJ94" s="13">
        <f>IF('Données projet'!$A$192&gt;35,EJ93+EI94-ER93,IF(A94&lt;'Données projet'!$A$192,$EG$205^A94,IF(A94='Données projet'!$A$192,'Données projet'!$B$192,EJ93+EI94-ER93)))</f>
        <v>258.90000000000003</v>
      </c>
      <c r="EK94" s="18">
        <f>EJ94*VLOOKUP('Données projet'!$B$15,Paramètres!$A$1:$I$89,3,0)*VLOOKUP('Données projet'!$B$15,Paramètres!$A$1:$I$89,5,0)</f>
        <v>250.40808000000004</v>
      </c>
      <c r="EL94" s="14">
        <f t="shared" si="99"/>
        <v>60.67331674592576</v>
      </c>
      <c r="EM94" s="22">
        <f t="shared" si="73"/>
        <v>541.80009933248743</v>
      </c>
      <c r="EN94" s="62">
        <f t="shared" si="74"/>
        <v>820.40269253833503</v>
      </c>
      <c r="EO94" s="62">
        <f ca="1">AVERAGE(OFFSET($EN$3,0,0,'Données projet'!$E$15+1,1))-AVERAGE(OFFSET($H$3,0,0,'Données projet'!$E$15+1,1))</f>
        <v>487.76433095707876</v>
      </c>
      <c r="EP94" s="62">
        <f t="shared" si="100"/>
        <v>276.24209151398361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4.9000000000000004</v>
      </c>
      <c r="FE94" s="13">
        <f>IF('Données projet'!$A$218&gt;35,FE93+FD94-FM93,IF(A94&lt;'Données projet'!$A$218,$FB$205^A94,IF(A94='Données projet'!$A$218,'Données projet'!$B$218,FE93+FD94-FM93)))</f>
        <v>258.90000000000003</v>
      </c>
      <c r="FF94" s="18">
        <f>FE94*VLOOKUP('Données projet'!$B$16,Paramètres!$A$1:$I$89,3,0)*VLOOKUP('Données projet'!$B$16,Paramètres!$A$1:$I$89,5,0)</f>
        <v>278.67996000000005</v>
      </c>
      <c r="FG94" s="14">
        <f t="shared" si="101"/>
        <v>66.687969806197728</v>
      </c>
      <c r="FH94" s="22">
        <f t="shared" si="76"/>
        <v>601.51581107912773</v>
      </c>
      <c r="FI94" s="62">
        <f t="shared" si="77"/>
        <v>880.11840428497533</v>
      </c>
      <c r="FJ94" s="62">
        <f ca="1">AVERAGE(OFFSET($FI$3,0,0,'Données projet'!$E$16+1,1))-AVERAGE(OFFSET($H$3,0,0,'Données projet'!$E$16+1,1))</f>
        <v>534.33392288300456</v>
      </c>
      <c r="FK94" s="62">
        <f t="shared" si="102"/>
        <v>300.93109615735477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3.5897435897435854</v>
      </c>
      <c r="FZ94" s="13">
        <f>IF('Données projet'!$A$244&gt;35,FZ93+FY94-GH93,IF(A94&lt;'Données projet'!$A$244,$FW$205^A94,IF(A94='Données projet'!$A$244,'Données projet'!$B$244,FZ93+FY94-GH93)))</f>
        <v>255.51282051282035</v>
      </c>
      <c r="GA94" s="18">
        <f>FZ94*VLOOKUP('Données projet'!$B$17,Paramètres!$A$1:$I$89,3,0)*VLOOKUP('Données projet'!$B$17,Paramètres!$A$1:$I$89,5,0)</f>
        <v>171.39799999999988</v>
      </c>
      <c r="GB94" s="14">
        <f t="shared" si="103"/>
        <v>43.402979681309937</v>
      </c>
      <c r="GC94" s="22">
        <f t="shared" si="79"/>
        <v>374.11170627828125</v>
      </c>
      <c r="GD94" s="62">
        <f t="shared" si="80"/>
        <v>652.71429948412879</v>
      </c>
      <c r="GE94" s="62">
        <f ca="1">AVERAGE(OFFSET($GD$3,0,0,'Données projet'!$E$17+1,1))-AVERAGE(OFFSET($H$3,0,0,'Données projet'!$E$17+1,1))</f>
        <v>316.17772895535211</v>
      </c>
      <c r="GF94" s="62">
        <f t="shared" si="104"/>
        <v>251.94445589652992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65.982525419776621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3.95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14.483333333333334</v>
      </c>
      <c r="H95" s="70">
        <f t="shared" si="56"/>
        <v>198.73333333333335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6.3</v>
      </c>
      <c r="N95" s="14">
        <f>IF('Données projet'!$A$36&gt;35,N94+M95-V94,IF(A95&lt;'Données projet'!$A$36,$K$205^A95,IF(A95='Données projet'!$A$36,'Données projet'!$B$36,N94+M95-V94)))</f>
        <v>310.5999999999998</v>
      </c>
      <c r="O95" s="14">
        <f>N95*VLOOKUP('Données projet'!$B$9,Paramètres!$A$1:$I$89,3,0)*VLOOKUP('Données projet'!$B$9,Paramètres!$A$1:$I$89,5,0)</f>
        <v>261.64943999999986</v>
      </c>
      <c r="P95" s="14">
        <f t="shared" si="87"/>
        <v>63.073842398428624</v>
      </c>
      <c r="Q95" s="22">
        <f t="shared" si="54"/>
        <v>565.55971684392955</v>
      </c>
      <c r="R95" s="62">
        <f t="shared" si="55"/>
        <v>844.4178554579878</v>
      </c>
      <c r="S95" s="62">
        <f ca="1">AVERAGE(OFFSET($R$3,0,0,'Données projet'!$E$9+1,1))-AVERAGE(OFFSET($H$3,0,0,'Données projet'!$E$9+1,1))</f>
        <v>508.93703669150443</v>
      </c>
      <c r="T95" s="62">
        <f t="shared" si="88"/>
        <v>277.04920840696707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4.9000000000000004</v>
      </c>
      <c r="AI95" s="14">
        <f>IF('Données projet'!$A$62&gt;35,AI94+AH95-AQ94,IF(A95&lt;'Données projet'!$A$62,$AF$205^A95,IF(A95='Données projet'!$A$62,'Données projet'!$B$62,AI94+AH95-AQ94)))</f>
        <v>263.8</v>
      </c>
      <c r="AJ95" s="14">
        <f>AI95*VLOOKUP('Données projet'!$B$10,Paramètres!$A$1:$I$89,3,0)*VLOOKUP('Données projet'!$B$10,Paramètres!$A$1:$I$89,5,0)</f>
        <v>238.68624</v>
      </c>
      <c r="AK95" s="14">
        <f t="shared" si="89"/>
        <v>58.156778382060871</v>
      </c>
      <c r="AL95" s="22">
        <f t="shared" si="58"/>
        <v>517.00159034875594</v>
      </c>
      <c r="AM95" s="62">
        <f t="shared" si="59"/>
        <v>795.85972896281419</v>
      </c>
      <c r="AN95" s="62">
        <f ca="1">AVERAGE(OFFSET($AM$3,0,0,'Données projet'!$E$10+1,1))-AVERAGE(OFFSET($H$3,0,0,'Données projet'!$E$10+1,1))</f>
        <v>461.10503306101145</v>
      </c>
      <c r="AO95" s="62">
        <f t="shared" si="90"/>
        <v>262.10652147273288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-2.2737367544323206E-13</v>
      </c>
      <c r="BE95" s="14">
        <f>BD95*VLOOKUP('Données projet'!$B$11,Paramètres!$A$1:$I$89,3,0)*VLOOKUP('Données projet'!$B$11,Paramètres!$A$1:$I$89,5,0)</f>
        <v>-1.8089849618263545E-13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389.67854939311752</v>
      </c>
      <c r="BJ95" s="62">
        <f t="shared" si="92"/>
        <v>420.05189970516096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8.4050000000000011</v>
      </c>
      <c r="BY95" s="13">
        <f>IF('Données projet'!$A$114&gt;35,BY94+BX95-CG94,IF(A95&lt;'Données projet'!$A$114,$BV$205^A95,IF(A95='Données projet'!$A$114,'Données projet'!$B$114,BY94+BX95-CG94)))</f>
        <v>302.7599999999992</v>
      </c>
      <c r="BZ95" s="14">
        <f>BY95*VLOOKUP('Données projet'!$B$12,Paramètres!$A$1:$I$89,3,0)*VLOOKUP('Données projet'!$B$12,Paramètres!$A$1:$I$89,5,0)</f>
        <v>173.17871999999954</v>
      </c>
      <c r="CA95" s="14">
        <f t="shared" si="93"/>
        <v>43.801181710376184</v>
      </c>
      <c r="CB95" s="22">
        <f t="shared" si="64"/>
        <v>377.90666214557103</v>
      </c>
      <c r="CC95" s="62">
        <f t="shared" si="65"/>
        <v>656.76480075962934</v>
      </c>
      <c r="CD95" s="62">
        <f ca="1">AVERAGE(OFFSET($CC$3,0,0,'Données projet'!$E$12+1,1))-AVERAGE(OFFSET($H$3,0,0,'Données projet'!$E$12+1,1))</f>
        <v>312.16891625633968</v>
      </c>
      <c r="CE95" s="62">
        <f t="shared" si="94"/>
        <v>215.34305815516177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2.1531250008690295</v>
      </c>
      <c r="CM95" s="23">
        <f>EXP(-LN(2)/2)*CM94+(1-EXP(-LN(2)/2))/(LN(2)/2)*CG95*CJ95*VLOOKUP('Données projet'!$B$12,Paramètres!$A$1:$I$89,3,0)*0.475*44/12</f>
        <v>3.794017502309081E-9</v>
      </c>
      <c r="CN95" s="24">
        <f t="shared" si="66"/>
        <v>2.153125004663047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3.9743589743589838</v>
      </c>
      <c r="CT95" s="13">
        <f>IF('Données projet'!$A$140&gt;35,CT94+CS95-DB94,IF(A95&lt;'Données projet'!$A$140,$CQ$205^A95,IF(A95='Données projet'!$A$140,'Données projet'!$B$140,CT94+CS95-DB94)))</f>
        <v>317.56410256410254</v>
      </c>
      <c r="CU95" s="18">
        <f>CT95*VLOOKUP('Données projet'!$B$13,Paramètres!$A$1:$I$89,3,0)*VLOOKUP('Données projet'!$B$13,Paramètres!$A$1:$I$89,5,0)</f>
        <v>213.02199999999996</v>
      </c>
      <c r="CV95" s="14">
        <f t="shared" si="95"/>
        <v>52.595418582472995</v>
      </c>
      <c r="CW95" s="22">
        <f t="shared" si="67"/>
        <v>462.61700403114037</v>
      </c>
      <c r="CX95" s="62">
        <f t="shared" si="68"/>
        <v>741.47514264519873</v>
      </c>
      <c r="CY95" s="62">
        <f ca="1">AVERAGE(OFFSET($CX$3,0,0,'Données projet'!$E$13+1,1))-AVERAGE(OFFSET($H$3,0,0,'Données projet'!$E$13+1,1))</f>
        <v>369.04754428478793</v>
      </c>
      <c r="CZ95" s="62">
        <f t="shared" si="96"/>
        <v>277.00523259351712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1.1368683772161603E-13</v>
      </c>
      <c r="DP95" s="18">
        <f>DO95*VLOOKUP('Données projet'!$B$14,Paramètres!$A$1:$I$89,3,0)*VLOOKUP('Données projet'!$B$14,Paramètres!$A$1:$I$89,5,0)</f>
        <v>8.8675733422860506E-14</v>
      </c>
      <c r="DQ95" s="14">
        <f t="shared" si="97"/>
        <v>1.3509285393066301E-12</v>
      </c>
      <c r="DR95" s="22">
        <f t="shared" si="70"/>
        <v>2.5073107750038623E-12</v>
      </c>
      <c r="DS95" s="62">
        <f t="shared" si="71"/>
        <v>278.85813861406081</v>
      </c>
      <c r="DT95" s="62">
        <f ca="1">AVERAGE(OFFSET($DS$3,0,0,'Données projet'!$E$14+1,1))-AVERAGE(OFFSET($H$3,0,0,'Données projet'!$E$14+1,1))</f>
        <v>308.39181291575227</v>
      </c>
      <c r="DU95" s="62">
        <f t="shared" si="98"/>
        <v>298.58225298824334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4.9000000000000004</v>
      </c>
      <c r="EJ95" s="13">
        <f>IF('Données projet'!$A$192&gt;35,EJ94+EI95-ER94,IF(A95&lt;'Données projet'!$A$192,$EG$205^A95,IF(A95='Données projet'!$A$192,'Données projet'!$B$192,EJ94+EI95-ER94)))</f>
        <v>263.8</v>
      </c>
      <c r="EK95" s="18">
        <f>EJ95*VLOOKUP('Données projet'!$B$15,Paramètres!$A$1:$I$89,3,0)*VLOOKUP('Données projet'!$B$15,Paramètres!$A$1:$I$89,5,0)</f>
        <v>255.14736000000002</v>
      </c>
      <c r="EL95" s="14">
        <f t="shared" si="99"/>
        <v>61.686859728645651</v>
      </c>
      <c r="EM95" s="22">
        <f t="shared" si="73"/>
        <v>551.81959936072451</v>
      </c>
      <c r="EN95" s="62">
        <f t="shared" si="74"/>
        <v>830.67773797478276</v>
      </c>
      <c r="EO95" s="62">
        <f ca="1">AVERAGE(OFFSET($EN$3,0,0,'Données projet'!$E$15+1,1))-AVERAGE(OFFSET($H$3,0,0,'Données projet'!$E$15+1,1))</f>
        <v>487.76433095707876</v>
      </c>
      <c r="EP95" s="62">
        <f t="shared" si="100"/>
        <v>276.24209151398361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4.9000000000000004</v>
      </c>
      <c r="FE95" s="13">
        <f>IF('Données projet'!$A$218&gt;35,FE94+FD95-FM94,IF(A95&lt;'Données projet'!$A$218,$FB$205^A95,IF(A95='Données projet'!$A$218,'Données projet'!$B$218,FE94+FD95-FM94)))</f>
        <v>263.8</v>
      </c>
      <c r="FF95" s="18">
        <f>FE95*VLOOKUP('Données projet'!$B$16,Paramètres!$A$1:$I$89,3,0)*VLOOKUP('Données projet'!$B$16,Paramètres!$A$1:$I$89,5,0)</f>
        <v>283.95432</v>
      </c>
      <c r="FG95" s="14">
        <f t="shared" si="101"/>
        <v>67.801987095081913</v>
      </c>
      <c r="FH95" s="22">
        <f t="shared" si="76"/>
        <v>612.64223485726768</v>
      </c>
      <c r="FI95" s="62">
        <f t="shared" si="77"/>
        <v>891.50037347132593</v>
      </c>
      <c r="FJ95" s="62">
        <f ca="1">AVERAGE(OFFSET($FI$3,0,0,'Données projet'!$E$16+1,1))-AVERAGE(OFFSET($H$3,0,0,'Données projet'!$E$16+1,1))</f>
        <v>534.33392288300456</v>
      </c>
      <c r="FK95" s="62">
        <f t="shared" si="102"/>
        <v>300.93109615735477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3.5897435897435854</v>
      </c>
      <c r="FZ95" s="13">
        <f>IF('Données projet'!$A$244&gt;35,FZ94+FY95-GH94,IF(A95&lt;'Données projet'!$A$244,$FW$205^A95,IF(A95='Données projet'!$A$244,'Données projet'!$B$244,FZ94+FY95-GH94)))</f>
        <v>259.10256410256392</v>
      </c>
      <c r="GA95" s="18">
        <f>FZ95*VLOOKUP('Données projet'!$B$17,Paramètres!$A$1:$I$89,3,0)*VLOOKUP('Données projet'!$B$17,Paramètres!$A$1:$I$89,5,0)</f>
        <v>173.80599999999987</v>
      </c>
      <c r="GB95" s="14">
        <f t="shared" si="103"/>
        <v>43.941339425962099</v>
      </c>
      <c r="GC95" s="22">
        <f t="shared" si="79"/>
        <v>379.24328283355038</v>
      </c>
      <c r="GD95" s="62">
        <f t="shared" si="80"/>
        <v>658.10142144760869</v>
      </c>
      <c r="GE95" s="62">
        <f ca="1">AVERAGE(OFFSET($GD$3,0,0,'Données projet'!$E$17+1,1))-AVERAGE(OFFSET($H$3,0,0,'Données projet'!$E$17+1,1))</f>
        <v>316.17772895535211</v>
      </c>
      <c r="GF95" s="62">
        <f t="shared" si="104"/>
        <v>251.94445589652992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66.052219622015897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3.95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14.483333333333334</v>
      </c>
      <c r="H96" s="70">
        <f t="shared" si="56"/>
        <v>198.73333333333335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6.3</v>
      </c>
      <c r="N96" s="14">
        <f>IF('Données projet'!$A$36&gt;35,N95+M96-V95,IF(A96&lt;'Données projet'!$A$36,$K$205^A96,IF(A96='Données projet'!$A$36,'Données projet'!$B$36,N95+M96-V95)))</f>
        <v>316.89999999999981</v>
      </c>
      <c r="O96" s="14">
        <f>N96*VLOOKUP('Données projet'!$B$9,Paramètres!$A$1:$I$89,3,0)*VLOOKUP('Données projet'!$B$9,Paramètres!$A$1:$I$89,5,0)</f>
        <v>266.95655999999991</v>
      </c>
      <c r="P96" s="14">
        <f t="shared" si="87"/>
        <v>64.202948993881023</v>
      </c>
      <c r="Q96" s="22">
        <f t="shared" si="54"/>
        <v>576.76947816434256</v>
      </c>
      <c r="R96" s="62">
        <f t="shared" si="55"/>
        <v>855.878729045093</v>
      </c>
      <c r="S96" s="62">
        <f ca="1">AVERAGE(OFFSET($R$3,0,0,'Données projet'!$E$9+1,1))-AVERAGE(OFFSET($H$3,0,0,'Données projet'!$E$9+1,1))</f>
        <v>508.93703669150443</v>
      </c>
      <c r="T96" s="62">
        <f t="shared" si="88"/>
        <v>277.04920840696707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4.9000000000000004</v>
      </c>
      <c r="AI96" s="14">
        <f>IF('Données projet'!$A$62&gt;35,AI95+AH96-AQ95,IF(A96&lt;'Données projet'!$A$62,$AF$205^A96,IF(A96='Données projet'!$A$62,'Données projet'!$B$62,AI95+AH96-AQ95)))</f>
        <v>268.7</v>
      </c>
      <c r="AJ96" s="14">
        <f>AI96*VLOOKUP('Données projet'!$B$10,Paramètres!$A$1:$I$89,3,0)*VLOOKUP('Données projet'!$B$10,Paramètres!$A$1:$I$89,5,0)</f>
        <v>243.11975999999996</v>
      </c>
      <c r="AK96" s="14">
        <f t="shared" si="89"/>
        <v>59.110256668778533</v>
      </c>
      <c r="AL96" s="22">
        <f t="shared" si="58"/>
        <v>526.3839456981226</v>
      </c>
      <c r="AM96" s="62">
        <f t="shared" si="59"/>
        <v>805.49319657887304</v>
      </c>
      <c r="AN96" s="62">
        <f ca="1">AVERAGE(OFFSET($AM$3,0,0,'Données projet'!$E$10+1,1))-AVERAGE(OFFSET($H$3,0,0,'Données projet'!$E$10+1,1))</f>
        <v>461.10503306101145</v>
      </c>
      <c r="AO96" s="62">
        <f t="shared" si="90"/>
        <v>262.10652147273288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-2.2737367544323206E-13</v>
      </c>
      <c r="BE96" s="14">
        <f>BD96*VLOOKUP('Données projet'!$B$11,Paramètres!$A$1:$I$89,3,0)*VLOOKUP('Données projet'!$B$11,Paramètres!$A$1:$I$89,5,0)</f>
        <v>-1.8089849618263545E-13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389.67854939311752</v>
      </c>
      <c r="BJ96" s="62">
        <f t="shared" si="92"/>
        <v>420.05189970516096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8.4050000000000011</v>
      </c>
      <c r="BY96" s="13">
        <f>IF('Données projet'!$A$114&gt;35,BY95+BX96-CG95,IF(A96&lt;'Données projet'!$A$114,$BV$205^A96,IF(A96='Données projet'!$A$114,'Données projet'!$B$114,BY95+BX96-CG95)))</f>
        <v>311.16499999999917</v>
      </c>
      <c r="BZ96" s="14">
        <f>BY96*VLOOKUP('Données projet'!$B$12,Paramètres!$A$1:$I$89,3,0)*VLOOKUP('Données projet'!$B$12,Paramètres!$A$1:$I$89,5,0)</f>
        <v>177.98637999999951</v>
      </c>
      <c r="CA96" s="14">
        <f t="shared" si="93"/>
        <v>44.873899918597274</v>
      </c>
      <c r="CB96" s="22">
        <f t="shared" si="64"/>
        <v>388.14832085822269</v>
      </c>
      <c r="CC96" s="62">
        <f t="shared" si="65"/>
        <v>667.25757173897318</v>
      </c>
      <c r="CD96" s="62">
        <f ca="1">AVERAGE(OFFSET($CC$3,0,0,'Données projet'!$E$12+1,1))-AVERAGE(OFFSET($H$3,0,0,'Données projet'!$E$12+1,1))</f>
        <v>312.16891625633968</v>
      </c>
      <c r="CE96" s="62">
        <f t="shared" si="94"/>
        <v>215.34305815516177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2.094247684492343</v>
      </c>
      <c r="CM96" s="23">
        <f>EXP(-LN(2)/2)*CM95+(1-EXP(-LN(2)/2))/(LN(2)/2)*CG96*CJ96*VLOOKUP('Données projet'!$B$12,Paramètres!$A$1:$I$89,3,0)*0.475*44/12</f>
        <v>2.6827755038231989E-9</v>
      </c>
      <c r="CN96" s="24">
        <f t="shared" si="66"/>
        <v>2.0942476871751183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3.9743589743589838</v>
      </c>
      <c r="CT96" s="13">
        <f>IF('Données projet'!$A$140&gt;35,CT95+CS96-DB95,IF(A96&lt;'Données projet'!$A$140,$CQ$205^A96,IF(A96='Données projet'!$A$140,'Données projet'!$B$140,CT95+CS96-DB95)))</f>
        <v>321.53846153846155</v>
      </c>
      <c r="CU96" s="18">
        <f>CT96*VLOOKUP('Données projet'!$B$13,Paramètres!$A$1:$I$89,3,0)*VLOOKUP('Données projet'!$B$13,Paramètres!$A$1:$I$89,5,0)</f>
        <v>215.68800000000002</v>
      </c>
      <c r="CV96" s="14">
        <f t="shared" si="95"/>
        <v>53.17661687232367</v>
      </c>
      <c r="CW96" s="22">
        <f t="shared" si="67"/>
        <v>468.2725410526304</v>
      </c>
      <c r="CX96" s="62">
        <f t="shared" si="68"/>
        <v>747.38179193338078</v>
      </c>
      <c r="CY96" s="62">
        <f ca="1">AVERAGE(OFFSET($CX$3,0,0,'Données projet'!$E$13+1,1))-AVERAGE(OFFSET($H$3,0,0,'Données projet'!$E$13+1,1))</f>
        <v>369.04754428478793</v>
      </c>
      <c r="CZ96" s="62">
        <f t="shared" si="96"/>
        <v>277.00523259351712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1.1368683772161603E-13</v>
      </c>
      <c r="DP96" s="18">
        <f>DO96*VLOOKUP('Données projet'!$B$14,Paramètres!$A$1:$I$89,3,0)*VLOOKUP('Données projet'!$B$14,Paramètres!$A$1:$I$89,5,0)</f>
        <v>8.8675733422860506E-14</v>
      </c>
      <c r="DQ96" s="14">
        <f t="shared" si="97"/>
        <v>1.3509285393066301E-12</v>
      </c>
      <c r="DR96" s="22">
        <f t="shared" si="70"/>
        <v>2.5073107750038623E-12</v>
      </c>
      <c r="DS96" s="62">
        <f t="shared" si="71"/>
        <v>279.10925088075294</v>
      </c>
      <c r="DT96" s="62">
        <f ca="1">AVERAGE(OFFSET($DS$3,0,0,'Données projet'!$E$14+1,1))-AVERAGE(OFFSET($H$3,0,0,'Données projet'!$E$14+1,1))</f>
        <v>308.39181291575227</v>
      </c>
      <c r="DU96" s="62">
        <f t="shared" si="98"/>
        <v>298.58225298824334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4.9000000000000004</v>
      </c>
      <c r="EJ96" s="13">
        <f>IF('Données projet'!$A$192&gt;35,EJ95+EI96-ER95,IF(A96&lt;'Données projet'!$A$192,$EG$205^A96,IF(A96='Données projet'!$A$192,'Données projet'!$B$192,EJ95+EI96-ER95)))</f>
        <v>268.7</v>
      </c>
      <c r="EK96" s="18">
        <f>EJ96*VLOOKUP('Données projet'!$B$15,Paramètres!$A$1:$I$89,3,0)*VLOOKUP('Données projet'!$B$15,Paramètres!$A$1:$I$89,5,0)</f>
        <v>259.88664</v>
      </c>
      <c r="EL96" s="14">
        <f t="shared" si="99"/>
        <v>62.698213571884004</v>
      </c>
      <c r="EM96" s="22">
        <f t="shared" si="73"/>
        <v>561.835286637698</v>
      </c>
      <c r="EN96" s="62">
        <f t="shared" si="74"/>
        <v>840.94453751844844</v>
      </c>
      <c r="EO96" s="62">
        <f ca="1">AVERAGE(OFFSET($EN$3,0,0,'Données projet'!$E$15+1,1))-AVERAGE(OFFSET($H$3,0,0,'Données projet'!$E$15+1,1))</f>
        <v>487.76433095707876</v>
      </c>
      <c r="EP96" s="62">
        <f t="shared" si="100"/>
        <v>276.24209151398361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4.9000000000000004</v>
      </c>
      <c r="FE96" s="13">
        <f>IF('Données projet'!$A$218&gt;35,FE95+FD96-FM95,IF(A96&lt;'Données projet'!$A$218,$FB$205^A96,IF(A96='Données projet'!$A$218,'Données projet'!$B$218,FE95+FD96-FM95)))</f>
        <v>268.7</v>
      </c>
      <c r="FF96" s="18">
        <f>FE96*VLOOKUP('Données projet'!$B$16,Paramètres!$A$1:$I$89,3,0)*VLOOKUP('Données projet'!$B$16,Paramètres!$A$1:$I$89,5,0)</f>
        <v>289.22868</v>
      </c>
      <c r="FG96" s="14">
        <f t="shared" si="101"/>
        <v>68.913598231220931</v>
      </c>
      <c r="FH96" s="22">
        <f t="shared" si="76"/>
        <v>623.76446791937644</v>
      </c>
      <c r="FI96" s="62">
        <f t="shared" si="77"/>
        <v>902.87371880012688</v>
      </c>
      <c r="FJ96" s="62">
        <f ca="1">AVERAGE(OFFSET($FI$3,0,0,'Données projet'!$E$16+1,1))-AVERAGE(OFFSET($H$3,0,0,'Données projet'!$E$16+1,1))</f>
        <v>534.33392288300456</v>
      </c>
      <c r="FK96" s="62">
        <f t="shared" si="102"/>
        <v>300.93109615735477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3.5897435897435854</v>
      </c>
      <c r="FZ96" s="13">
        <f>IF('Données projet'!$A$244&gt;35,FZ95+FY96-GH95,IF(A96&lt;'Données projet'!$A$244,$FW$205^A96,IF(A96='Données projet'!$A$244,'Données projet'!$B$244,FZ95+FY96-GH95)))</f>
        <v>262.69230769230751</v>
      </c>
      <c r="GA96" s="18">
        <f>FZ96*VLOOKUP('Données projet'!$B$17,Paramètres!$A$1:$I$89,3,0)*VLOOKUP('Données projet'!$B$17,Paramètres!$A$1:$I$89,5,0)</f>
        <v>176.21399999999988</v>
      </c>
      <c r="GB96" s="14">
        <f t="shared" si="103"/>
        <v>44.478831645954152</v>
      </c>
      <c r="GC96" s="22">
        <f t="shared" si="79"/>
        <v>384.37334845003653</v>
      </c>
      <c r="GD96" s="62">
        <f t="shared" si="80"/>
        <v>663.48259933078702</v>
      </c>
      <c r="GE96" s="62">
        <f ca="1">AVERAGE(OFFSET($GD$3,0,0,'Données projet'!$E$17+1,1))-AVERAGE(OFFSET($H$3,0,0,'Données projet'!$E$17+1,1))</f>
        <v>316.17772895535211</v>
      </c>
      <c r="GF96" s="62">
        <f t="shared" si="104"/>
        <v>251.94445589652992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66.120704785659214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3.95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14.483333333333334</v>
      </c>
      <c r="H97" s="70">
        <f t="shared" si="56"/>
        <v>198.73333333333335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6.3</v>
      </c>
      <c r="N97" s="14">
        <f>IF('Données projet'!$A$36&gt;35,N96+M97-V96,IF(A97&lt;'Données projet'!$A$36,$K$205^A97,IF(A97='Données projet'!$A$36,'Données projet'!$B$36,N96+M97-V96)))</f>
        <v>323.19999999999982</v>
      </c>
      <c r="O97" s="14">
        <f>N97*VLOOKUP('Données projet'!$B$9,Paramètres!$A$1:$I$89,3,0)*VLOOKUP('Données projet'!$B$9,Paramètres!$A$1:$I$89,5,0)</f>
        <v>272.26367999999985</v>
      </c>
      <c r="P97" s="14">
        <f t="shared" si="87"/>
        <v>65.329445627932671</v>
      </c>
      <c r="Q97" s="22">
        <f t="shared" si="54"/>
        <v>587.97469380198243</v>
      </c>
      <c r="R97" s="62">
        <f t="shared" si="55"/>
        <v>867.33070071300085</v>
      </c>
      <c r="S97" s="62">
        <f ca="1">AVERAGE(OFFSET($R$3,0,0,'Données projet'!$E$9+1,1))-AVERAGE(OFFSET($H$3,0,0,'Données projet'!$E$9+1,1))</f>
        <v>508.93703669150443</v>
      </c>
      <c r="T97" s="62">
        <f t="shared" si="88"/>
        <v>277.04920840696707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4.9000000000000004</v>
      </c>
      <c r="AI97" s="14">
        <f>IF('Données projet'!$A$62&gt;35,AI96+AH97-AQ96,IF(A97&lt;'Données projet'!$A$62,$AF$205^A97,IF(A97='Données projet'!$A$62,'Données projet'!$B$62,AI96+AH97-AQ96)))</f>
        <v>273.59999999999997</v>
      </c>
      <c r="AJ97" s="14">
        <f>AI97*VLOOKUP('Données projet'!$B$10,Paramètres!$A$1:$I$89,3,0)*VLOOKUP('Données projet'!$B$10,Paramètres!$A$1:$I$89,5,0)</f>
        <v>247.55327999999994</v>
      </c>
      <c r="AK97" s="14">
        <f t="shared" si="89"/>
        <v>60.061713068870255</v>
      </c>
      <c r="AL97" s="22">
        <f t="shared" si="58"/>
        <v>535.76277959494894</v>
      </c>
      <c r="AM97" s="62">
        <f t="shared" si="59"/>
        <v>815.11878650596736</v>
      </c>
      <c r="AN97" s="62">
        <f ca="1">AVERAGE(OFFSET($AM$3,0,0,'Données projet'!$E$10+1,1))-AVERAGE(OFFSET($H$3,0,0,'Données projet'!$E$10+1,1))</f>
        <v>461.10503306101145</v>
      </c>
      <c r="AO97" s="62">
        <f t="shared" si="90"/>
        <v>262.10652147273288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-2.2737367544323206E-13</v>
      </c>
      <c r="BE97" s="14">
        <f>BD97*VLOOKUP('Données projet'!$B$11,Paramètres!$A$1:$I$89,3,0)*VLOOKUP('Données projet'!$B$11,Paramètres!$A$1:$I$89,5,0)</f>
        <v>-1.8089849618263545E-13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389.67854939311752</v>
      </c>
      <c r="BJ97" s="62">
        <f t="shared" si="92"/>
        <v>420.05189970516096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8.4050000000000011</v>
      </c>
      <c r="BY97" s="13">
        <f>IF('Données projet'!$A$114&gt;35,BY96+BX97-CG96,IF(A97&lt;'Données projet'!$A$114,$BV$205^A97,IF(A97='Données projet'!$A$114,'Données projet'!$B$114,BY96+BX97-CG96)))</f>
        <v>319.56999999999914</v>
      </c>
      <c r="BZ97" s="14">
        <f>BY97*VLOOKUP('Données projet'!$B$12,Paramètres!$A$1:$I$89,3,0)*VLOOKUP('Données projet'!$B$12,Paramètres!$A$1:$I$89,5,0)</f>
        <v>182.79403999999951</v>
      </c>
      <c r="CA97" s="14">
        <f t="shared" si="93"/>
        <v>45.943250229359606</v>
      </c>
      <c r="CB97" s="22">
        <f t="shared" si="64"/>
        <v>398.38411381613378</v>
      </c>
      <c r="CC97" s="62">
        <f t="shared" si="65"/>
        <v>677.7401207271522</v>
      </c>
      <c r="CD97" s="62">
        <f ca="1">AVERAGE(OFFSET($CC$3,0,0,'Données projet'!$E$12+1,1))-AVERAGE(OFFSET($H$3,0,0,'Données projet'!$E$12+1,1))</f>
        <v>312.16891625633968</v>
      </c>
      <c r="CE97" s="62">
        <f t="shared" si="94"/>
        <v>215.34305815516177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2.0369803714282004</v>
      </c>
      <c r="CM97" s="23">
        <f>EXP(-LN(2)/2)*CM96+(1-EXP(-LN(2)/2))/(LN(2)/2)*CG97*CJ97*VLOOKUP('Données projet'!$B$12,Paramètres!$A$1:$I$89,3,0)*0.475*44/12</f>
        <v>1.8970087511545405E-9</v>
      </c>
      <c r="CN97" s="24">
        <f t="shared" si="66"/>
        <v>2.0369803733252092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3.9743589743589838</v>
      </c>
      <c r="CT97" s="13">
        <f>IF('Données projet'!$A$140&gt;35,CT96+CS97-DB96,IF(A97&lt;'Données projet'!$A$140,$CQ$205^A97,IF(A97='Données projet'!$A$140,'Données projet'!$B$140,CT96+CS97-DB96)))</f>
        <v>325.51282051282055</v>
      </c>
      <c r="CU97" s="18">
        <f>CT97*VLOOKUP('Données projet'!$B$13,Paramètres!$A$1:$I$89,3,0)*VLOOKUP('Données projet'!$B$13,Paramètres!$A$1:$I$89,5,0)</f>
        <v>218.35400000000001</v>
      </c>
      <c r="CV97" s="14">
        <f t="shared" si="95"/>
        <v>53.756979538415074</v>
      </c>
      <c r="CW97" s="22">
        <f t="shared" si="67"/>
        <v>473.92662269607291</v>
      </c>
      <c r="CX97" s="62">
        <f t="shared" si="68"/>
        <v>753.28262960709139</v>
      </c>
      <c r="CY97" s="62">
        <f ca="1">AVERAGE(OFFSET($CX$3,0,0,'Données projet'!$E$13+1,1))-AVERAGE(OFFSET($H$3,0,0,'Données projet'!$E$13+1,1))</f>
        <v>369.04754428478793</v>
      </c>
      <c r="CZ97" s="62">
        <f t="shared" si="96"/>
        <v>277.00523259351712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1.1368683772161603E-13</v>
      </c>
      <c r="DP97" s="18">
        <f>DO97*VLOOKUP('Données projet'!$B$14,Paramètres!$A$1:$I$89,3,0)*VLOOKUP('Données projet'!$B$14,Paramètres!$A$1:$I$89,5,0)</f>
        <v>8.8675733422860506E-14</v>
      </c>
      <c r="DQ97" s="14">
        <f t="shared" si="97"/>
        <v>1.3509285393066301E-12</v>
      </c>
      <c r="DR97" s="22">
        <f t="shared" si="70"/>
        <v>2.5073107750038623E-12</v>
      </c>
      <c r="DS97" s="62">
        <f t="shared" si="71"/>
        <v>279.35600691102093</v>
      </c>
      <c r="DT97" s="62">
        <f ca="1">AVERAGE(OFFSET($DS$3,0,0,'Données projet'!$E$14+1,1))-AVERAGE(OFFSET($H$3,0,0,'Données projet'!$E$14+1,1))</f>
        <v>308.39181291575227</v>
      </c>
      <c r="DU97" s="62">
        <f t="shared" si="98"/>
        <v>298.58225298824334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4.9000000000000004</v>
      </c>
      <c r="EJ97" s="13">
        <f>IF('Données projet'!$A$192&gt;35,EJ96+EI97-ER96,IF(A97&lt;'Données projet'!$A$192,$EG$205^A97,IF(A97='Données projet'!$A$192,'Données projet'!$B$192,EJ96+EI97-ER96)))</f>
        <v>273.59999999999997</v>
      </c>
      <c r="EK97" s="18">
        <f>EJ97*VLOOKUP('Données projet'!$B$15,Paramètres!$A$1:$I$89,3,0)*VLOOKUP('Données projet'!$B$15,Paramètres!$A$1:$I$89,5,0)</f>
        <v>264.62591999999995</v>
      </c>
      <c r="EL97" s="14">
        <f t="shared" si="99"/>
        <v>63.707422801198604</v>
      </c>
      <c r="EM97" s="22">
        <f t="shared" si="73"/>
        <v>571.84723871208746</v>
      </c>
      <c r="EN97" s="62">
        <f t="shared" si="74"/>
        <v>851.20324562310589</v>
      </c>
      <c r="EO97" s="62">
        <f ca="1">AVERAGE(OFFSET($EN$3,0,0,'Données projet'!$E$15+1,1))-AVERAGE(OFFSET($H$3,0,0,'Données projet'!$E$15+1,1))</f>
        <v>487.76433095707876</v>
      </c>
      <c r="EP97" s="62">
        <f t="shared" si="100"/>
        <v>276.24209151398361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4.9000000000000004</v>
      </c>
      <c r="FE97" s="13">
        <f>IF('Données projet'!$A$218&gt;35,FE96+FD97-FM96,IF(A97&lt;'Données projet'!$A$218,$FB$205^A97,IF(A97='Données projet'!$A$218,'Données projet'!$B$218,FE96+FD97-FM96)))</f>
        <v>273.59999999999997</v>
      </c>
      <c r="FF97" s="18">
        <f>FE97*VLOOKUP('Données projet'!$B$16,Paramètres!$A$1:$I$89,3,0)*VLOOKUP('Données projet'!$B$16,Paramètres!$A$1:$I$89,5,0)</f>
        <v>294.50303999999994</v>
      </c>
      <c r="FG97" s="14">
        <f t="shared" si="101"/>
        <v>70.022852154069838</v>
      </c>
      <c r="FH97" s="22">
        <f t="shared" si="76"/>
        <v>634.88259550167152</v>
      </c>
      <c r="FI97" s="62">
        <f t="shared" si="77"/>
        <v>914.23860241268994</v>
      </c>
      <c r="FJ97" s="62">
        <f ca="1">AVERAGE(OFFSET($FI$3,0,0,'Données projet'!$E$16+1,1))-AVERAGE(OFFSET($H$3,0,0,'Données projet'!$E$16+1,1))</f>
        <v>534.33392288300456</v>
      </c>
      <c r="FK97" s="62">
        <f t="shared" si="102"/>
        <v>300.93109615735477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3.5897435897435854</v>
      </c>
      <c r="FZ97" s="13">
        <f>IF('Données projet'!$A$244&gt;35,FZ96+FY97-GH96,IF(A97&lt;'Données projet'!$A$244,$FW$205^A97,IF(A97='Données projet'!$A$244,'Données projet'!$B$244,FZ96+FY97-GH96)))</f>
        <v>266.2820512820511</v>
      </c>
      <c r="GA97" s="18">
        <f>FZ97*VLOOKUP('Données projet'!$B$17,Paramètres!$A$1:$I$89,3,0)*VLOOKUP('Données projet'!$B$17,Paramètres!$A$1:$I$89,5,0)</f>
        <v>178.6219999999999</v>
      </c>
      <c r="GB97" s="14">
        <f t="shared" si="103"/>
        <v>45.015469566404633</v>
      </c>
      <c r="GC97" s="22">
        <f t="shared" si="79"/>
        <v>389.50192616148792</v>
      </c>
      <c r="GD97" s="62">
        <f t="shared" si="80"/>
        <v>668.85793307250628</v>
      </c>
      <c r="GE97" s="62">
        <f ca="1">AVERAGE(OFFSET($GD$3,0,0,'Données projet'!$E$17+1,1))-AVERAGE(OFFSET($H$3,0,0,'Données projet'!$E$17+1,1))</f>
        <v>316.17772895535211</v>
      </c>
      <c r="GF97" s="62">
        <f t="shared" si="104"/>
        <v>251.94445589652992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66.188001884823208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3.95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14.483333333333334</v>
      </c>
      <c r="H98" s="70">
        <f t="shared" si="56"/>
        <v>198.73333333333335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6.3</v>
      </c>
      <c r="N98" s="14">
        <f>IF('Données projet'!$A$36&gt;35,N97+M98-V97,IF(A98&lt;'Données projet'!$A$36,$K$205^A98,IF(A98='Données projet'!$A$36,'Données projet'!$B$36,N97+M98-V97)))</f>
        <v>329.49999999999983</v>
      </c>
      <c r="O98" s="14">
        <f>N98*VLOOKUP('Données projet'!$B$9,Paramètres!$A$1:$I$89,3,0)*VLOOKUP('Données projet'!$B$9,Paramètres!$A$1:$I$89,5,0)</f>
        <v>277.57079999999991</v>
      </c>
      <c r="P98" s="14">
        <f t="shared" si="87"/>
        <v>66.453389040149204</v>
      </c>
      <c r="Q98" s="22">
        <f t="shared" si="54"/>
        <v>599.17546257825973</v>
      </c>
      <c r="R98" s="62">
        <f t="shared" si="55"/>
        <v>878.77394485408479</v>
      </c>
      <c r="S98" s="62">
        <f ca="1">AVERAGE(OFFSET($R$3,0,0,'Données projet'!$E$9+1,1))-AVERAGE(OFFSET($H$3,0,0,'Données projet'!$E$9+1,1))</f>
        <v>508.93703669150443</v>
      </c>
      <c r="T98" s="62">
        <f t="shared" si="88"/>
        <v>277.04920840696707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4.9000000000000004</v>
      </c>
      <c r="AI98" s="14">
        <f>IF('Données projet'!$A$62&gt;35,AI97+AH98-AQ97,IF(A98&lt;'Données projet'!$A$62,$AF$205^A98,IF(A98='Données projet'!$A$62,'Données projet'!$B$62,AI97+AH98-AQ97)))</f>
        <v>278.49999999999994</v>
      </c>
      <c r="AJ98" s="14">
        <f>AI98*VLOOKUP('Données projet'!$B$10,Paramètres!$A$1:$I$89,3,0)*VLOOKUP('Données projet'!$B$10,Paramètres!$A$1:$I$89,5,0)</f>
        <v>251.98679999999993</v>
      </c>
      <c r="AK98" s="14">
        <f t="shared" si="89"/>
        <v>61.011187970195053</v>
      </c>
      <c r="AL98" s="22">
        <f t="shared" si="58"/>
        <v>545.13816238142283</v>
      </c>
      <c r="AM98" s="62">
        <f t="shared" si="59"/>
        <v>824.73664465724789</v>
      </c>
      <c r="AN98" s="62">
        <f ca="1">AVERAGE(OFFSET($AM$3,0,0,'Données projet'!$E$10+1,1))-AVERAGE(OFFSET($H$3,0,0,'Données projet'!$E$10+1,1))</f>
        <v>461.10503306101145</v>
      </c>
      <c r="AO98" s="62">
        <f t="shared" si="90"/>
        <v>262.10652147273288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-2.2737367544323206E-13</v>
      </c>
      <c r="BE98" s="14">
        <f>BD98*VLOOKUP('Données projet'!$B$11,Paramètres!$A$1:$I$89,3,0)*VLOOKUP('Données projet'!$B$11,Paramètres!$A$1:$I$89,5,0)</f>
        <v>-1.8089849618263545E-13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389.67854939311752</v>
      </c>
      <c r="BJ98" s="62">
        <f t="shared" si="92"/>
        <v>420.05189970516096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8.4050000000000011</v>
      </c>
      <c r="BY98" s="13">
        <f>IF('Données projet'!$A$114&gt;35,BY97+BX98-CG97,IF(A98&lt;'Données projet'!$A$114,$BV$205^A98,IF(A98='Données projet'!$A$114,'Données projet'!$B$114,BY97+BX98-CG97)))</f>
        <v>327.97499999999911</v>
      </c>
      <c r="BZ98" s="14">
        <f>BY98*VLOOKUP('Données projet'!$B$12,Paramètres!$A$1:$I$89,3,0)*VLOOKUP('Données projet'!$B$12,Paramètres!$A$1:$I$89,5,0)</f>
        <v>187.60169999999948</v>
      </c>
      <c r="CA98" s="14">
        <f t="shared" si="93"/>
        <v>47.009331404044985</v>
      </c>
      <c r="CB98" s="22">
        <f t="shared" si="64"/>
        <v>408.61421302871076</v>
      </c>
      <c r="CC98" s="62">
        <f t="shared" si="65"/>
        <v>688.21269530453583</v>
      </c>
      <c r="CD98" s="62">
        <f ca="1">AVERAGE(OFFSET($CC$3,0,0,'Données projet'!$E$12+1,1))-AVERAGE(OFFSET($H$3,0,0,'Données projet'!$E$12+1,1))</f>
        <v>312.16891625633968</v>
      </c>
      <c r="CE98" s="62">
        <f t="shared" si="94"/>
        <v>215.34305815516177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1.9812790360513541</v>
      </c>
      <c r="CM98" s="23">
        <f>EXP(-LN(2)/2)*CM97+(1-EXP(-LN(2)/2))/(LN(2)/2)*CG98*CJ98*VLOOKUP('Données projet'!$B$12,Paramètres!$A$1:$I$89,3,0)*0.475*44/12</f>
        <v>1.3413877519115995E-9</v>
      </c>
      <c r="CN98" s="24">
        <f t="shared" si="66"/>
        <v>1.9812790373927418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329.4871794871795</v>
      </c>
      <c r="CR98" s="13">
        <f>VLOOKUP(A98,'Données projet'!$A$139:$I$159,9,0)</f>
        <v>3.9743589743589838</v>
      </c>
      <c r="CS98" s="13">
        <f t="array" ref="CS98">INDEX(CR:CR,MIN(IF(ISNUMBER(CR98:CR294),ROW(CR98:CR294),"")))</f>
        <v>3.9743589743589838</v>
      </c>
      <c r="CT98" s="13">
        <f>IF('Données projet'!$A$140&gt;35,CT97+CS98-DB97,IF(A98&lt;'Données projet'!$A$140,$CQ$205^A98,IF(A98='Données projet'!$A$140,'Données projet'!$B$140,CT97+CS98-DB97)))</f>
        <v>329.48717948717956</v>
      </c>
      <c r="CU98" s="18">
        <f>CT98*VLOOKUP('Données projet'!$B$13,Paramètres!$A$1:$I$89,3,0)*VLOOKUP('Données projet'!$B$13,Paramètres!$A$1:$I$89,5,0)</f>
        <v>221.02000000000007</v>
      </c>
      <c r="CV98" s="14">
        <f t="shared" si="95"/>
        <v>54.336517963380317</v>
      </c>
      <c r="CW98" s="22">
        <f t="shared" si="67"/>
        <v>479.57926878622084</v>
      </c>
      <c r="CX98" s="62">
        <f t="shared" si="68"/>
        <v>759.1777510620459</v>
      </c>
      <c r="CY98" s="62">
        <f ca="1">AVERAGE(OFFSET($CX$3,0,0,'Données projet'!$E$13+1,1))-AVERAGE(OFFSET($H$3,0,0,'Données projet'!$E$13+1,1))</f>
        <v>369.04754428478793</v>
      </c>
      <c r="CZ98" s="62">
        <f t="shared" si="96"/>
        <v>277.00523259351712</v>
      </c>
      <c r="DA98" s="16">
        <f>IF(ISNA(VLOOKUP(A98,'Données projet'!$A$139:$I$159,3,0)),0,VLOOKUP(A98,'Données projet'!$A$139:$I$159,3,0))</f>
        <v>9</v>
      </c>
      <c r="DB98" s="16">
        <f>IF(ISNA(VLOOKUP(A98,'Données projet'!$A$139:$I$159,4,0)),0,VLOOKUP(A98,'Données projet'!$A$139:$I$159,4,0))</f>
        <v>25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1.1368683772161603E-13</v>
      </c>
      <c r="DP98" s="18">
        <f>DO98*VLOOKUP('Données projet'!$B$14,Paramètres!$A$1:$I$89,3,0)*VLOOKUP('Données projet'!$B$14,Paramètres!$A$1:$I$89,5,0)</f>
        <v>8.8675733422860506E-14</v>
      </c>
      <c r="DQ98" s="14">
        <f t="shared" si="97"/>
        <v>1.3509285393066301E-12</v>
      </c>
      <c r="DR98" s="22">
        <f t="shared" si="70"/>
        <v>2.5073107750038623E-12</v>
      </c>
      <c r="DS98" s="62">
        <f t="shared" si="71"/>
        <v>279.59848227582756</v>
      </c>
      <c r="DT98" s="62">
        <f ca="1">AVERAGE(OFFSET($DS$3,0,0,'Données projet'!$E$14+1,1))-AVERAGE(OFFSET($H$3,0,0,'Données projet'!$E$14+1,1))</f>
        <v>308.39181291575227</v>
      </c>
      <c r="DU98" s="62">
        <f t="shared" si="98"/>
        <v>298.58225298824334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4.9000000000000004</v>
      </c>
      <c r="EJ98" s="13">
        <f>IF('Données projet'!$A$192&gt;35,EJ97+EI98-ER97,IF(A98&lt;'Données projet'!$A$192,$EG$205^A98,IF(A98='Données projet'!$A$192,'Données projet'!$B$192,EJ97+EI98-ER97)))</f>
        <v>278.49999999999994</v>
      </c>
      <c r="EK98" s="18">
        <f>EJ98*VLOOKUP('Données projet'!$B$15,Paramètres!$A$1:$I$89,3,0)*VLOOKUP('Données projet'!$B$15,Paramètres!$A$1:$I$89,5,0)</f>
        <v>269.36519999999996</v>
      </c>
      <c r="EL98" s="14">
        <f t="shared" si="99"/>
        <v>64.714530255967034</v>
      </c>
      <c r="EM98" s="22">
        <f t="shared" si="73"/>
        <v>581.85553019580914</v>
      </c>
      <c r="EN98" s="62">
        <f t="shared" si="74"/>
        <v>861.4540124716342</v>
      </c>
      <c r="EO98" s="62">
        <f ca="1">AVERAGE(OFFSET($EN$3,0,0,'Données projet'!$E$15+1,1))-AVERAGE(OFFSET($H$3,0,0,'Données projet'!$E$15+1,1))</f>
        <v>487.76433095707876</v>
      </c>
      <c r="EP98" s="62">
        <f t="shared" si="100"/>
        <v>276.24209151398361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4.9000000000000004</v>
      </c>
      <c r="FE98" s="13">
        <f>IF('Données projet'!$A$218&gt;35,FE97+FD98-FM97,IF(A98&lt;'Données projet'!$A$218,$FB$205^A98,IF(A98='Données projet'!$A$218,'Données projet'!$B$218,FE97+FD98-FM97)))</f>
        <v>278.49999999999994</v>
      </c>
      <c r="FF98" s="18">
        <f>FE98*VLOOKUP('Données projet'!$B$16,Paramètres!$A$1:$I$89,3,0)*VLOOKUP('Données projet'!$B$16,Paramètres!$A$1:$I$89,5,0)</f>
        <v>299.77739999999989</v>
      </c>
      <c r="FG98" s="14">
        <f t="shared" si="101"/>
        <v>71.129795949749251</v>
      </c>
      <c r="FH98" s="22">
        <f t="shared" si="76"/>
        <v>645.9966996124798</v>
      </c>
      <c r="FI98" s="62">
        <f t="shared" si="77"/>
        <v>925.59518188830486</v>
      </c>
      <c r="FJ98" s="62">
        <f ca="1">AVERAGE(OFFSET($FI$3,0,0,'Données projet'!$E$16+1,1))-AVERAGE(OFFSET($H$3,0,0,'Données projet'!$E$16+1,1))</f>
        <v>534.33392288300456</v>
      </c>
      <c r="FK98" s="62">
        <f t="shared" si="102"/>
        <v>300.93109615735477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>
        <f>VLOOKUP(A98,'Données projet'!$A$243:$I$263,2,0)</f>
        <v>269.87179487179486</v>
      </c>
      <c r="FX98" s="13">
        <f>VLOOKUP(A98,'Données projet'!$A$243:$I$263,9,0)</f>
        <v>3.5897435897435854</v>
      </c>
      <c r="FY98" s="13">
        <f t="array" ref="FY98">INDEX(FX:FX,MIN(IF(ISNUMBER(FX98:FX294),ROW(FX98:FX294),"")))</f>
        <v>3.5897435897435854</v>
      </c>
      <c r="FZ98" s="13">
        <f>IF('Données projet'!$A$244&gt;35,FZ97+FY98-GH97,IF(A98&lt;'Données projet'!$A$244,$FW$205^A98,IF(A98='Données projet'!$A$244,'Données projet'!$B$244,FZ97+FY98-GH97)))</f>
        <v>269.87179487179469</v>
      </c>
      <c r="GA98" s="18">
        <f>FZ98*VLOOKUP('Données projet'!$B$17,Paramètres!$A$1:$I$89,3,0)*VLOOKUP('Données projet'!$B$17,Paramètres!$A$1:$I$89,5,0)</f>
        <v>181.02999999999989</v>
      </c>
      <c r="GB98" s="14">
        <f t="shared" si="103"/>
        <v>45.551266035366233</v>
      </c>
      <c r="GC98" s="22">
        <f t="shared" si="79"/>
        <v>394.62903834492931</v>
      </c>
      <c r="GD98" s="62">
        <f t="shared" si="80"/>
        <v>674.22752062075438</v>
      </c>
      <c r="GE98" s="62">
        <f ca="1">AVERAGE(OFFSET($GD$3,0,0,'Données projet'!$E$17+1,1))-AVERAGE(OFFSET($H$3,0,0,'Données projet'!$E$17+1,1))</f>
        <v>316.17772895535211</v>
      </c>
      <c r="GF98" s="62">
        <f t="shared" si="104"/>
        <v>251.94445589652992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66.254131529770476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3.95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14.483333333333334</v>
      </c>
      <c r="H99" s="70">
        <f t="shared" si="56"/>
        <v>198.73333333333335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6.3</v>
      </c>
      <c r="N99" s="14">
        <f>IF('Données projet'!$A$36&gt;35,N98+M99-V98,IF(A99&lt;'Données projet'!$A$36,$K$205^A99,IF(A99='Données projet'!$A$36,'Données projet'!$B$36,N98+M99-V98)))</f>
        <v>335.79999999999984</v>
      </c>
      <c r="O99" s="14">
        <f>N99*VLOOKUP('Données projet'!$B$9,Paramètres!$A$1:$I$89,3,0)*VLOOKUP('Données projet'!$B$9,Paramètres!$A$1:$I$89,5,0)</f>
        <v>282.8779199999999</v>
      </c>
      <c r="P99" s="14">
        <f t="shared" si="87"/>
        <v>67.574833676246314</v>
      </c>
      <c r="Q99" s="22">
        <f t="shared" ref="Q99:Q130" si="107">(O99+P99)*0.475*44/12</f>
        <v>610.37187931946221</v>
      </c>
      <c r="R99" s="62">
        <f t="shared" si="55"/>
        <v>890.20863055460836</v>
      </c>
      <c r="S99" s="62">
        <f ca="1">AVERAGE(OFFSET($R$3,0,0,'Données projet'!$E$9+1,1))-AVERAGE(OFFSET($H$3,0,0,'Données projet'!$E$9+1,1))</f>
        <v>508.93703669150443</v>
      </c>
      <c r="T99" s="62">
        <f t="shared" si="88"/>
        <v>277.04920840696707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4.9000000000000004</v>
      </c>
      <c r="AI99" s="14">
        <f>IF('Données projet'!$A$62&gt;35,AI98+AH99-AQ98,IF(A99&lt;'Données projet'!$A$62,$AF$205^A99,IF(A99='Données projet'!$A$62,'Données projet'!$B$62,AI98+AH99-AQ98)))</f>
        <v>283.39999999999992</v>
      </c>
      <c r="AJ99" s="14">
        <f>AI99*VLOOKUP('Données projet'!$B$10,Paramètres!$A$1:$I$89,3,0)*VLOOKUP('Données projet'!$B$10,Paramètres!$A$1:$I$89,5,0)</f>
        <v>256.42031999999989</v>
      </c>
      <c r="AK99" s="14">
        <f t="shared" si="89"/>
        <v>61.958720258016918</v>
      </c>
      <c r="AL99" s="22">
        <f t="shared" si="58"/>
        <v>554.51016178271254</v>
      </c>
      <c r="AM99" s="62">
        <f t="shared" si="59"/>
        <v>834.3469130178587</v>
      </c>
      <c r="AN99" s="62">
        <f ca="1">AVERAGE(OFFSET($AM$3,0,0,'Données projet'!$E$10+1,1))-AVERAGE(OFFSET($H$3,0,0,'Données projet'!$E$10+1,1))</f>
        <v>461.10503306101145</v>
      </c>
      <c r="AO99" s="62">
        <f t="shared" si="90"/>
        <v>262.10652147273288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-2.2737367544323206E-13</v>
      </c>
      <c r="BE99" s="14">
        <f>BD99*VLOOKUP('Données projet'!$B$11,Paramètres!$A$1:$I$89,3,0)*VLOOKUP('Données projet'!$B$11,Paramètres!$A$1:$I$89,5,0)</f>
        <v>-1.8089849618263545E-13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389.67854939311752</v>
      </c>
      <c r="BJ99" s="62">
        <f t="shared" si="92"/>
        <v>420.05189970516096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8.4050000000000011</v>
      </c>
      <c r="BY99" s="13">
        <f>IF('Données projet'!$A$114&gt;35,BY98+BX99-CG98,IF(A99&lt;'Données projet'!$A$114,$BV$205^A99,IF(A99='Données projet'!$A$114,'Données projet'!$B$114,BY98+BX99-CG98)))</f>
        <v>336.37999999999909</v>
      </c>
      <c r="BZ99" s="14">
        <f>BY99*VLOOKUP('Données projet'!$B$12,Paramètres!$A$1:$I$89,3,0)*VLOOKUP('Données projet'!$B$12,Paramètres!$A$1:$I$89,5,0)</f>
        <v>192.40935999999948</v>
      </c>
      <c r="CA99" s="14">
        <f t="shared" si="93"/>
        <v>48.072236853740399</v>
      </c>
      <c r="CB99" s="22">
        <f t="shared" si="64"/>
        <v>418.83878118693025</v>
      </c>
      <c r="CC99" s="62">
        <f t="shared" si="65"/>
        <v>698.67553242207634</v>
      </c>
      <c r="CD99" s="62">
        <f ca="1">AVERAGE(OFFSET($CC$3,0,0,'Données projet'!$E$12+1,1))-AVERAGE(OFFSET($H$3,0,0,'Données projet'!$E$12+1,1))</f>
        <v>312.16891625633968</v>
      </c>
      <c r="CE99" s="62">
        <f t="shared" si="94"/>
        <v>215.34305815516177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1.9271008566195935</v>
      </c>
      <c r="CM99" s="23">
        <f>EXP(-LN(2)/2)*CM98+(1-EXP(-LN(2)/2))/(LN(2)/2)*CG99*CJ99*VLOOKUP('Données projet'!$B$12,Paramètres!$A$1:$I$89,3,0)*0.475*44/12</f>
        <v>9.4850437557727025E-10</v>
      </c>
      <c r="CN99" s="24">
        <f t="shared" si="66"/>
        <v>1.9271008575680979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3.717948717948707</v>
      </c>
      <c r="CT99" s="13">
        <f>IF('Données projet'!$A$140&gt;35,CT98+CS99-DB98,IF(A99&lt;'Données projet'!$A$140,$CQ$205^A99,IF(A99='Données projet'!$A$140,'Données projet'!$B$140,CT98+CS99-DB98)))</f>
        <v>308.20512820512829</v>
      </c>
      <c r="CU99" s="18">
        <f>CT99*VLOOKUP('Données projet'!$B$13,Paramètres!$A$1:$I$89,3,0)*VLOOKUP('Données projet'!$B$13,Paramètres!$A$1:$I$89,5,0)</f>
        <v>206.74400000000009</v>
      </c>
      <c r="CV99" s="14">
        <f t="shared" si="95"/>
        <v>51.223421985771196</v>
      </c>
      <c r="CW99" s="22">
        <f t="shared" si="67"/>
        <v>449.29325995855169</v>
      </c>
      <c r="CX99" s="62">
        <f t="shared" si="68"/>
        <v>729.13001119369778</v>
      </c>
      <c r="CY99" s="62">
        <f ca="1">AVERAGE(OFFSET($CX$3,0,0,'Données projet'!$E$13+1,1))-AVERAGE(OFFSET($H$3,0,0,'Données projet'!$E$13+1,1))</f>
        <v>369.04754428478793</v>
      </c>
      <c r="CZ99" s="62">
        <f t="shared" si="96"/>
        <v>277.00523259351712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1.1368683772161603E-13</v>
      </c>
      <c r="DP99" s="18">
        <f>DO99*VLOOKUP('Données projet'!$B$14,Paramètres!$A$1:$I$89,3,0)*VLOOKUP('Données projet'!$B$14,Paramètres!$A$1:$I$89,5,0)</f>
        <v>8.8675733422860506E-14</v>
      </c>
      <c r="DQ99" s="14">
        <f t="shared" si="97"/>
        <v>1.3509285393066301E-12</v>
      </c>
      <c r="DR99" s="22">
        <f t="shared" si="70"/>
        <v>2.5073107750038623E-12</v>
      </c>
      <c r="DS99" s="62">
        <f t="shared" si="71"/>
        <v>279.8367512351486</v>
      </c>
      <c r="DT99" s="62">
        <f ca="1">AVERAGE(OFFSET($DS$3,0,0,'Données projet'!$E$14+1,1))-AVERAGE(OFFSET($H$3,0,0,'Données projet'!$E$14+1,1))</f>
        <v>308.39181291575227</v>
      </c>
      <c r="DU99" s="62">
        <f t="shared" si="98"/>
        <v>298.58225298824334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4.9000000000000004</v>
      </c>
      <c r="EJ99" s="13">
        <f>IF('Données projet'!$A$192&gt;35,EJ98+EI99-ER98,IF(A99&lt;'Données projet'!$A$192,$EG$205^A99,IF(A99='Données projet'!$A$192,'Données projet'!$B$192,EJ98+EI99-ER98)))</f>
        <v>283.39999999999992</v>
      </c>
      <c r="EK99" s="18">
        <f>EJ99*VLOOKUP('Données projet'!$B$15,Paramètres!$A$1:$I$89,3,0)*VLOOKUP('Données projet'!$B$15,Paramètres!$A$1:$I$89,5,0)</f>
        <v>274.10447999999991</v>
      </c>
      <c r="EL99" s="14">
        <f t="shared" si="99"/>
        <v>65.719577181765516</v>
      </c>
      <c r="EM99" s="22">
        <f t="shared" si="73"/>
        <v>591.86023292490802</v>
      </c>
      <c r="EN99" s="62">
        <f t="shared" si="74"/>
        <v>871.69698416005417</v>
      </c>
      <c r="EO99" s="62">
        <f ca="1">AVERAGE(OFFSET($EN$3,0,0,'Données projet'!$E$15+1,1))-AVERAGE(OFFSET($H$3,0,0,'Données projet'!$E$15+1,1))</f>
        <v>487.76433095707876</v>
      </c>
      <c r="EP99" s="62">
        <f t="shared" si="100"/>
        <v>276.24209151398361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4.9000000000000004</v>
      </c>
      <c r="FE99" s="13">
        <f>IF('Données projet'!$A$218&gt;35,FE98+FD99-FM98,IF(A99&lt;'Données projet'!$A$218,$FB$205^A99,IF(A99='Données projet'!$A$218,'Données projet'!$B$218,FE98+FD99-FM98)))</f>
        <v>283.39999999999992</v>
      </c>
      <c r="FF99" s="18">
        <f>FE99*VLOOKUP('Données projet'!$B$16,Paramètres!$A$1:$I$89,3,0)*VLOOKUP('Données projet'!$B$16,Paramètres!$A$1:$I$89,5,0)</f>
        <v>305.05175999999989</v>
      </c>
      <c r="FG99" s="14">
        <f t="shared" si="101"/>
        <v>72.23447495258219</v>
      </c>
      <c r="FH99" s="22">
        <f t="shared" si="76"/>
        <v>657.10685920908043</v>
      </c>
      <c r="FI99" s="62">
        <f t="shared" si="77"/>
        <v>936.94361044422658</v>
      </c>
      <c r="FJ99" s="62">
        <f ca="1">AVERAGE(OFFSET($FI$3,0,0,'Données projet'!$E$16+1,1))-AVERAGE(OFFSET($H$3,0,0,'Données projet'!$E$16+1,1))</f>
        <v>534.33392288300456</v>
      </c>
      <c r="FK99" s="62">
        <f t="shared" si="102"/>
        <v>300.93109615735477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3.333333333333337</v>
      </c>
      <c r="FZ99" s="13">
        <f>IF('Données projet'!$A$244&gt;35,FZ98+FY99-GH98,IF(A99&lt;'Données projet'!$A$244,$FW$205^A99,IF(A99='Données projet'!$A$244,'Données projet'!$B$244,FZ98+FY99-GH98)))</f>
        <v>273.20512820512801</v>
      </c>
      <c r="GA99" s="18">
        <f>FZ99*VLOOKUP('Données projet'!$B$17,Paramètres!$A$1:$I$89,3,0)*VLOOKUP('Données projet'!$B$17,Paramètres!$A$1:$I$89,5,0)</f>
        <v>183.26599999999988</v>
      </c>
      <c r="GB99" s="14">
        <f t="shared" si="103"/>
        <v>46.048048805304745</v>
      </c>
      <c r="GC99" s="22">
        <f t="shared" si="79"/>
        <v>399.38863500257224</v>
      </c>
      <c r="GD99" s="62">
        <f t="shared" si="80"/>
        <v>679.22538623771834</v>
      </c>
      <c r="GE99" s="62">
        <f ca="1">AVERAGE(OFFSET($GD$3,0,0,'Données projet'!$E$17+1,1))-AVERAGE(OFFSET($H$3,0,0,'Données projet'!$E$17+1,1))</f>
        <v>316.17772895535211</v>
      </c>
      <c r="GF99" s="62">
        <f t="shared" si="104"/>
        <v>251.94445589652992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66.319113973221661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3.95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14.483333333333334</v>
      </c>
      <c r="H100" s="70">
        <f t="shared" si="56"/>
        <v>198.73333333333335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6.3</v>
      </c>
      <c r="N100" s="14">
        <f>IF('Données projet'!$A$36&gt;35,N99+M100-V99,IF(A100&lt;'Données projet'!$A$36,$K$205^A100,IF(A100='Données projet'!$A$36,'Données projet'!$B$36,N99+M100-V99)))</f>
        <v>342.09999999999985</v>
      </c>
      <c r="O100" s="14">
        <f>N100*VLOOKUP('Données projet'!$B$9,Paramètres!$A$1:$I$89,3,0)*VLOOKUP('Données projet'!$B$9,Paramètres!$A$1:$I$89,5,0)</f>
        <v>288.1850399999999</v>
      </c>
      <c r="P100" s="14">
        <f t="shared" si="87"/>
        <v>68.693831822089905</v>
      </c>
      <c r="Q100" s="22">
        <f t="shared" si="107"/>
        <v>621.56403509013978</v>
      </c>
      <c r="R100" s="62">
        <f t="shared" si="55"/>
        <v>901.63492185085215</v>
      </c>
      <c r="S100" s="62">
        <f ca="1">AVERAGE(OFFSET($R$3,0,0,'Données projet'!$E$9+1,1))-AVERAGE(OFFSET($H$3,0,0,'Données projet'!$E$9+1,1))</f>
        <v>508.93703669150443</v>
      </c>
      <c r="T100" s="62">
        <f t="shared" si="88"/>
        <v>277.04920840696707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4.9000000000000004</v>
      </c>
      <c r="AI100" s="14">
        <f>IF('Données projet'!$A$62&gt;35,AI99+AH100-AQ99,IF(A100&lt;'Données projet'!$A$62,$AF$205^A100,IF(A100='Données projet'!$A$62,'Données projet'!$B$62,AI99+AH100-AQ99)))</f>
        <v>288.2999999999999</v>
      </c>
      <c r="AJ100" s="14">
        <f>AI100*VLOOKUP('Données projet'!$B$10,Paramètres!$A$1:$I$89,3,0)*VLOOKUP('Données projet'!$B$10,Paramètres!$A$1:$I$89,5,0)</f>
        <v>260.85383999999993</v>
      </c>
      <c r="AK100" s="14">
        <f t="shared" si="89"/>
        <v>62.904347395903763</v>
      </c>
      <c r="AL100" s="22">
        <f t="shared" si="58"/>
        <v>563.87884304786564</v>
      </c>
      <c r="AM100" s="62">
        <f t="shared" si="59"/>
        <v>843.94972980857801</v>
      </c>
      <c r="AN100" s="62">
        <f ca="1">AVERAGE(OFFSET($AM$3,0,0,'Données projet'!$E$10+1,1))-AVERAGE(OFFSET($H$3,0,0,'Données projet'!$E$10+1,1))</f>
        <v>461.10503306101145</v>
      </c>
      <c r="AO100" s="62">
        <f t="shared" si="90"/>
        <v>262.10652147273288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-2.2737367544323206E-13</v>
      </c>
      <c r="BE100" s="14">
        <f>BD100*VLOOKUP('Données projet'!$B$11,Paramètres!$A$1:$I$89,3,0)*VLOOKUP('Données projet'!$B$11,Paramètres!$A$1:$I$89,5,0)</f>
        <v>-1.8089849618263545E-13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389.67854939311752</v>
      </c>
      <c r="BJ100" s="62">
        <f t="shared" si="92"/>
        <v>420.05189970516096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8.4050000000000011</v>
      </c>
      <c r="BY100" s="13">
        <f>IF('Données projet'!$A$114&gt;35,BY99+BX100-CG99,IF(A100&lt;'Données projet'!$A$114,$BV$205^A100,IF(A100='Données projet'!$A$114,'Données projet'!$B$114,BY99+BX100-CG99)))</f>
        <v>344.78499999999906</v>
      </c>
      <c r="BZ100" s="14">
        <f>BY100*VLOOKUP('Données projet'!$B$12,Paramètres!$A$1:$I$89,3,0)*VLOOKUP('Données projet'!$B$12,Paramètres!$A$1:$I$89,5,0)</f>
        <v>197.21701999999948</v>
      </c>
      <c r="CA100" s="14">
        <f t="shared" si="93"/>
        <v>49.132055055425582</v>
      </c>
      <c r="CB100" s="22">
        <f t="shared" si="64"/>
        <v>429.05797238819861</v>
      </c>
      <c r="CC100" s="62">
        <f t="shared" si="65"/>
        <v>709.12885914891103</v>
      </c>
      <c r="CD100" s="62">
        <f ca="1">AVERAGE(OFFSET($CC$3,0,0,'Données projet'!$E$12+1,1))-AVERAGE(OFFSET($H$3,0,0,'Données projet'!$E$12+1,1))</f>
        <v>312.16891625633968</v>
      </c>
      <c r="CE100" s="62">
        <f t="shared" si="94"/>
        <v>215.34305815516177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1.8744041823535011</v>
      </c>
      <c r="CM100" s="23">
        <f>EXP(-LN(2)/2)*CM99+(1-EXP(-LN(2)/2))/(LN(2)/2)*CG100*CJ100*VLOOKUP('Données projet'!$B$12,Paramètres!$A$1:$I$89,3,0)*0.475*44/12</f>
        <v>6.7069387595579973E-10</v>
      </c>
      <c r="CN100" s="24">
        <f t="shared" si="66"/>
        <v>1.8744041830241951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3.717948717948707</v>
      </c>
      <c r="CT100" s="13">
        <f>IF('Données projet'!$A$140&gt;35,CT99+CS100-DB99,IF(A100&lt;'Données projet'!$A$140,$CQ$205^A100,IF(A100='Données projet'!$A$140,'Données projet'!$B$140,CT99+CS100-DB99)))</f>
        <v>311.92307692307702</v>
      </c>
      <c r="CU100" s="18">
        <f>CT100*VLOOKUP('Données projet'!$B$13,Paramètres!$A$1:$I$89,3,0)*VLOOKUP('Données projet'!$B$13,Paramètres!$A$1:$I$89,5,0)</f>
        <v>209.23800000000006</v>
      </c>
      <c r="CV100" s="14">
        <f t="shared" si="95"/>
        <v>51.769034313723793</v>
      </c>
      <c r="CW100" s="22">
        <f t="shared" si="67"/>
        <v>454.58725142973572</v>
      </c>
      <c r="CX100" s="62">
        <f t="shared" si="68"/>
        <v>734.6581381904482</v>
      </c>
      <c r="CY100" s="62">
        <f ca="1">AVERAGE(OFFSET($CX$3,0,0,'Données projet'!$E$13+1,1))-AVERAGE(OFFSET($H$3,0,0,'Données projet'!$E$13+1,1))</f>
        <v>369.04754428478793</v>
      </c>
      <c r="CZ100" s="62">
        <f t="shared" si="96"/>
        <v>277.00523259351712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1.1368683772161603E-13</v>
      </c>
      <c r="DP100" s="18">
        <f>DO100*VLOOKUP('Données projet'!$B$14,Paramètres!$A$1:$I$89,3,0)*VLOOKUP('Données projet'!$B$14,Paramètres!$A$1:$I$89,5,0)</f>
        <v>8.8675733422860506E-14</v>
      </c>
      <c r="DQ100" s="14">
        <f t="shared" si="97"/>
        <v>1.3509285393066301E-12</v>
      </c>
      <c r="DR100" s="22">
        <f t="shared" si="70"/>
        <v>2.5073107750038623E-12</v>
      </c>
      <c r="DS100" s="62">
        <f t="shared" si="71"/>
        <v>280.07088676071493</v>
      </c>
      <c r="DT100" s="62">
        <f ca="1">AVERAGE(OFFSET($DS$3,0,0,'Données projet'!$E$14+1,1))-AVERAGE(OFFSET($H$3,0,0,'Données projet'!$E$14+1,1))</f>
        <v>308.39181291575227</v>
      </c>
      <c r="DU100" s="62">
        <f t="shared" si="98"/>
        <v>298.58225298824334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4.9000000000000004</v>
      </c>
      <c r="EJ100" s="13">
        <f>IF('Données projet'!$A$192&gt;35,EJ99+EI100-ER99,IF(A100&lt;'Données projet'!$A$192,$EG$205^A100,IF(A100='Données projet'!$A$192,'Données projet'!$B$192,EJ99+EI100-ER99)))</f>
        <v>288.2999999999999</v>
      </c>
      <c r="EK100" s="18">
        <f>EJ100*VLOOKUP('Données projet'!$B$15,Paramètres!$A$1:$I$89,3,0)*VLOOKUP('Données projet'!$B$15,Paramètres!$A$1:$I$89,5,0)</f>
        <v>278.84375999999992</v>
      </c>
      <c r="EL100" s="14">
        <f t="shared" si="99"/>
        <v>66.722603316177725</v>
      </c>
      <c r="EM100" s="22">
        <f t="shared" si="73"/>
        <v>601.86141610900938</v>
      </c>
      <c r="EN100" s="62">
        <f t="shared" si="74"/>
        <v>881.93230286972175</v>
      </c>
      <c r="EO100" s="62">
        <f ca="1">AVERAGE(OFFSET($EN$3,0,0,'Données projet'!$E$15+1,1))-AVERAGE(OFFSET($H$3,0,0,'Données projet'!$E$15+1,1))</f>
        <v>487.76433095707876</v>
      </c>
      <c r="EP100" s="62">
        <f t="shared" si="100"/>
        <v>276.24209151398361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4.9000000000000004</v>
      </c>
      <c r="FE100" s="13">
        <f>IF('Données projet'!$A$218&gt;35,FE99+FD100-FM99,IF(A100&lt;'Données projet'!$A$218,$FB$205^A100,IF(A100='Données projet'!$A$218,'Données projet'!$B$218,FE99+FD100-FM99)))</f>
        <v>288.2999999999999</v>
      </c>
      <c r="FF100" s="18">
        <f>FE100*VLOOKUP('Données projet'!$B$16,Paramètres!$A$1:$I$89,3,0)*VLOOKUP('Données projet'!$B$16,Paramètres!$A$1:$I$89,5,0)</f>
        <v>310.32611999999989</v>
      </c>
      <c r="FG100" s="14">
        <f t="shared" si="101"/>
        <v>73.336932839409357</v>
      </c>
      <c r="FH100" s="22">
        <f t="shared" si="76"/>
        <v>668.21315036197109</v>
      </c>
      <c r="FI100" s="62">
        <f t="shared" si="77"/>
        <v>948.28403712268346</v>
      </c>
      <c r="FJ100" s="62">
        <f ca="1">AVERAGE(OFFSET($FI$3,0,0,'Données projet'!$E$16+1,1))-AVERAGE(OFFSET($H$3,0,0,'Données projet'!$E$16+1,1))</f>
        <v>534.33392288300456</v>
      </c>
      <c r="FK100" s="62">
        <f t="shared" si="102"/>
        <v>300.93109615735477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3.333333333333337</v>
      </c>
      <c r="FZ100" s="13">
        <f>IF('Données projet'!$A$244&gt;35,FZ99+FY100-GH99,IF(A100&lt;'Données projet'!$A$244,$FW$205^A100,IF(A100='Données projet'!$A$244,'Données projet'!$B$244,FZ99+FY100-GH99)))</f>
        <v>276.53846153846132</v>
      </c>
      <c r="GA100" s="18">
        <f>FZ100*VLOOKUP('Données projet'!$B$17,Paramètres!$A$1:$I$89,3,0)*VLOOKUP('Données projet'!$B$17,Paramètres!$A$1:$I$89,5,0)</f>
        <v>185.50199999999987</v>
      </c>
      <c r="GB100" s="14">
        <f t="shared" si="103"/>
        <v>46.544126537371142</v>
      </c>
      <c r="GC100" s="22">
        <f t="shared" si="79"/>
        <v>404.14700371925454</v>
      </c>
      <c r="GD100" s="62">
        <f t="shared" si="80"/>
        <v>684.21789047996697</v>
      </c>
      <c r="GE100" s="62">
        <f ca="1">AVERAGE(OFFSET($GD$3,0,0,'Données projet'!$E$17+1,1))-AVERAGE(OFFSET($H$3,0,0,'Données projet'!$E$17+1,1))</f>
        <v>316.17772895535211</v>
      </c>
      <c r="GF100" s="62">
        <f t="shared" si="104"/>
        <v>251.94445589652992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66.382969116557931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3.95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14.483333333333334</v>
      </c>
      <c r="H101" s="70">
        <f t="shared" si="56"/>
        <v>198.73333333333335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6.3</v>
      </c>
      <c r="N101" s="14">
        <f>IF('Données projet'!$A$36&gt;35,N100+M101-V100,IF(A101&lt;'Données projet'!$A$36,$K$205^A101,IF(A101='Données projet'!$A$36,'Données projet'!$B$36,N100+M101-V100)))</f>
        <v>348.39999999999986</v>
      </c>
      <c r="O101" s="14">
        <f>N101*VLOOKUP('Données projet'!$B$9,Paramètres!$A$1:$I$89,3,0)*VLOOKUP('Données projet'!$B$9,Paramètres!$A$1:$I$89,5,0)</f>
        <v>293.4921599999999</v>
      </c>
      <c r="P101" s="14">
        <f t="shared" si="87"/>
        <v>69.810433727546467</v>
      </c>
      <c r="Q101" s="22">
        <f t="shared" si="107"/>
        <v>632.75201740880993</v>
      </c>
      <c r="R101" s="62">
        <f t="shared" si="55"/>
        <v>913.05297796716877</v>
      </c>
      <c r="S101" s="62">
        <f ca="1">AVERAGE(OFFSET($R$3,0,0,'Données projet'!$E$9+1,1))-AVERAGE(OFFSET($H$3,0,0,'Données projet'!$E$9+1,1))</f>
        <v>508.93703669150443</v>
      </c>
      <c r="T101" s="62">
        <f t="shared" si="88"/>
        <v>277.04920840696707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4.9000000000000004</v>
      </c>
      <c r="AI101" s="14">
        <f>IF('Données projet'!$A$62&gt;35,AI100+AH101-AQ100,IF(A101&lt;'Données projet'!$A$62,$AF$205^A101,IF(A101='Données projet'!$A$62,'Données projet'!$B$62,AI100+AH101-AQ100)))</f>
        <v>293.19999999999987</v>
      </c>
      <c r="AJ101" s="14">
        <f>AI101*VLOOKUP('Données projet'!$B$10,Paramètres!$A$1:$I$89,3,0)*VLOOKUP('Données projet'!$B$10,Paramètres!$A$1:$I$89,5,0)</f>
        <v>265.28735999999992</v>
      </c>
      <c r="AK101" s="14">
        <f t="shared" si="89"/>
        <v>63.84810550096995</v>
      </c>
      <c r="AL101" s="22">
        <f t="shared" si="58"/>
        <v>573.24426908085582</v>
      </c>
      <c r="AM101" s="62">
        <f t="shared" si="59"/>
        <v>853.54522963921454</v>
      </c>
      <c r="AN101" s="62">
        <f ca="1">AVERAGE(OFFSET($AM$3,0,0,'Données projet'!$E$10+1,1))-AVERAGE(OFFSET($H$3,0,0,'Données projet'!$E$10+1,1))</f>
        <v>461.10503306101145</v>
      </c>
      <c r="AO101" s="62">
        <f t="shared" si="90"/>
        <v>262.10652147273288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-2.2737367544323206E-13</v>
      </c>
      <c r="BE101" s="14">
        <f>BD101*VLOOKUP('Données projet'!$B$11,Paramètres!$A$1:$I$89,3,0)*VLOOKUP('Données projet'!$B$11,Paramètres!$A$1:$I$89,5,0)</f>
        <v>-1.8089849618263545E-13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389.67854939311752</v>
      </c>
      <c r="BJ101" s="62">
        <f t="shared" si="92"/>
        <v>420.05189970516096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8.4050000000000011</v>
      </c>
      <c r="BY101" s="13">
        <f>IF('Données projet'!$A$114&gt;35,BY100+BX101-CG100,IF(A101&lt;'Données projet'!$A$114,$BV$205^A101,IF(A101='Données projet'!$A$114,'Données projet'!$B$114,BY100+BX101-CG100)))</f>
        <v>353.18999999999903</v>
      </c>
      <c r="BZ101" s="14">
        <f>BY101*VLOOKUP('Données projet'!$B$12,Paramètres!$A$1:$I$89,3,0)*VLOOKUP('Données projet'!$B$12,Paramètres!$A$1:$I$89,5,0)</f>
        <v>202.02467999999948</v>
      </c>
      <c r="CA101" s="14">
        <f t="shared" si="93"/>
        <v>50.188869926435679</v>
      </c>
      <c r="CB101" s="22">
        <f t="shared" si="64"/>
        <v>439.27193278854128</v>
      </c>
      <c r="CC101" s="62">
        <f t="shared" si="65"/>
        <v>719.57289334690006</v>
      </c>
      <c r="CD101" s="62">
        <f ca="1">AVERAGE(OFFSET($CC$3,0,0,'Données projet'!$E$12+1,1))-AVERAGE(OFFSET($H$3,0,0,'Données projet'!$E$12+1,1))</f>
        <v>312.16891625633968</v>
      </c>
      <c r="CE101" s="62">
        <f t="shared" si="94"/>
        <v>215.34305815516177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1.8231485014164128</v>
      </c>
      <c r="CM101" s="23">
        <f>EXP(-LN(2)/2)*CM100+(1-EXP(-LN(2)/2))/(LN(2)/2)*CG101*CJ101*VLOOKUP('Données projet'!$B$12,Paramètres!$A$1:$I$89,3,0)*0.475*44/12</f>
        <v>4.7425218778863513E-10</v>
      </c>
      <c r="CN101" s="24">
        <f t="shared" si="66"/>
        <v>1.823148501890665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3.717948717948707</v>
      </c>
      <c r="CT101" s="13">
        <f>IF('Données projet'!$A$140&gt;35,CT100+CS101-DB100,IF(A101&lt;'Données projet'!$A$140,$CQ$205^A101,IF(A101='Données projet'!$A$140,'Données projet'!$B$140,CT100+CS101-DB100)))</f>
        <v>315.64102564102575</v>
      </c>
      <c r="CU101" s="18">
        <f>CT101*VLOOKUP('Données projet'!$B$13,Paramètres!$A$1:$I$89,3,0)*VLOOKUP('Données projet'!$B$13,Paramètres!$A$1:$I$89,5,0)</f>
        <v>211.73200000000008</v>
      </c>
      <c r="CV101" s="14">
        <f t="shared" si="95"/>
        <v>52.313890152569769</v>
      </c>
      <c r="CW101" s="22">
        <f t="shared" si="67"/>
        <v>459.87992534905925</v>
      </c>
      <c r="CX101" s="62">
        <f t="shared" si="68"/>
        <v>740.18088590741809</v>
      </c>
      <c r="CY101" s="62">
        <f ca="1">AVERAGE(OFFSET($CX$3,0,0,'Données projet'!$E$13+1,1))-AVERAGE(OFFSET($H$3,0,0,'Données projet'!$E$13+1,1))</f>
        <v>369.04754428478793</v>
      </c>
      <c r="CZ101" s="62">
        <f t="shared" si="96"/>
        <v>277.00523259351712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1.1368683772161603E-13</v>
      </c>
      <c r="DP101" s="18">
        <f>DO101*VLOOKUP('Données projet'!$B$14,Paramètres!$A$1:$I$89,3,0)*VLOOKUP('Données projet'!$B$14,Paramètres!$A$1:$I$89,5,0)</f>
        <v>8.8675733422860506E-14</v>
      </c>
      <c r="DQ101" s="14">
        <f t="shared" si="97"/>
        <v>1.3509285393066301E-12</v>
      </c>
      <c r="DR101" s="22">
        <f t="shared" si="70"/>
        <v>2.5073107750038623E-12</v>
      </c>
      <c r="DS101" s="62">
        <f t="shared" si="71"/>
        <v>280.30096055836128</v>
      </c>
      <c r="DT101" s="62">
        <f ca="1">AVERAGE(OFFSET($DS$3,0,0,'Données projet'!$E$14+1,1))-AVERAGE(OFFSET($H$3,0,0,'Données projet'!$E$14+1,1))</f>
        <v>308.39181291575227</v>
      </c>
      <c r="DU101" s="62">
        <f t="shared" si="98"/>
        <v>298.58225298824334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4.9000000000000004</v>
      </c>
      <c r="EJ101" s="13">
        <f>IF('Données projet'!$A$192&gt;35,EJ100+EI101-ER100,IF(A101&lt;'Données projet'!$A$192,$EG$205^A101,IF(A101='Données projet'!$A$192,'Données projet'!$B$192,EJ100+EI101-ER100)))</f>
        <v>293.19999999999987</v>
      </c>
      <c r="EK101" s="18">
        <f>EJ101*VLOOKUP('Données projet'!$B$15,Paramètres!$A$1:$I$89,3,0)*VLOOKUP('Données projet'!$B$15,Paramètres!$A$1:$I$89,5,0)</f>
        <v>283.58303999999993</v>
      </c>
      <c r="EL101" s="14">
        <f t="shared" si="99"/>
        <v>67.723646968605209</v>
      </c>
      <c r="EM101" s="22">
        <f t="shared" si="73"/>
        <v>611.85914647032064</v>
      </c>
      <c r="EN101" s="62">
        <f t="shared" si="74"/>
        <v>892.16010702867948</v>
      </c>
      <c r="EO101" s="62">
        <f ca="1">AVERAGE(OFFSET($EN$3,0,0,'Données projet'!$E$15+1,1))-AVERAGE(OFFSET($H$3,0,0,'Données projet'!$E$15+1,1))</f>
        <v>487.76433095707876</v>
      </c>
      <c r="EP101" s="62">
        <f t="shared" si="100"/>
        <v>276.24209151398361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4.9000000000000004</v>
      </c>
      <c r="FE101" s="13">
        <f>IF('Données projet'!$A$218&gt;35,FE100+FD101-FM100,IF(A101&lt;'Données projet'!$A$218,$FB$205^A101,IF(A101='Données projet'!$A$218,'Données projet'!$B$218,FE100+FD101-FM100)))</f>
        <v>293.19999999999987</v>
      </c>
      <c r="FF101" s="18">
        <f>FE101*VLOOKUP('Données projet'!$B$16,Paramètres!$A$1:$I$89,3,0)*VLOOKUP('Données projet'!$B$16,Paramètres!$A$1:$I$89,5,0)</f>
        <v>315.60047999999989</v>
      </c>
      <c r="FG101" s="14">
        <f t="shared" si="101"/>
        <v>74.437211717310802</v>
      </c>
      <c r="FH101" s="22">
        <f t="shared" si="76"/>
        <v>679.31564640764952</v>
      </c>
      <c r="FI101" s="62">
        <f t="shared" si="77"/>
        <v>959.61660696600825</v>
      </c>
      <c r="FJ101" s="62">
        <f ca="1">AVERAGE(OFFSET($FI$3,0,0,'Données projet'!$E$16+1,1))-AVERAGE(OFFSET($H$3,0,0,'Données projet'!$E$16+1,1))</f>
        <v>534.33392288300456</v>
      </c>
      <c r="FK101" s="62">
        <f t="shared" si="102"/>
        <v>300.93109615735477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3.333333333333337</v>
      </c>
      <c r="FZ101" s="13">
        <f>IF('Données projet'!$A$244&gt;35,FZ100+FY101-GH100,IF(A101&lt;'Données projet'!$A$244,$FW$205^A101,IF(A101='Données projet'!$A$244,'Données projet'!$B$244,FZ100+FY101-GH100)))</f>
        <v>279.87179487179463</v>
      </c>
      <c r="GA101" s="18">
        <f>FZ101*VLOOKUP('Données projet'!$B$17,Paramètres!$A$1:$I$89,3,0)*VLOOKUP('Données projet'!$B$17,Paramètres!$A$1:$I$89,5,0)</f>
        <v>187.73799999999986</v>
      </c>
      <c r="GB101" s="14">
        <f t="shared" si="103"/>
        <v>47.039508712954913</v>
      </c>
      <c r="GC101" s="22">
        <f t="shared" si="79"/>
        <v>408.90416100839622</v>
      </c>
      <c r="GD101" s="62">
        <f t="shared" si="80"/>
        <v>689.205121566755</v>
      </c>
      <c r="GE101" s="62">
        <f ca="1">AVERAGE(OFFSET($GD$3,0,0,'Données projet'!$E$17+1,1))-AVERAGE(OFFSET($H$3,0,0,'Données projet'!$E$17+1,1))</f>
        <v>316.17772895535211</v>
      </c>
      <c r="GF101" s="62">
        <f t="shared" si="104"/>
        <v>251.94445589652992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66.445716515916033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3.95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14.483333333333334</v>
      </c>
      <c r="H102" s="70">
        <f t="shared" si="56"/>
        <v>198.73333333333335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6.3</v>
      </c>
      <c r="N102" s="14">
        <f>IF('Données projet'!$A$36&gt;35,N101+M102-V101,IF(A102&lt;'Données projet'!$A$36,$K$205^A102,IF(A102='Données projet'!$A$36,'Données projet'!$B$36,N101+M102-V101)))</f>
        <v>354.69999999999987</v>
      </c>
      <c r="O102" s="14">
        <f>N102*VLOOKUP('Données projet'!$B$9,Paramètres!$A$1:$I$89,3,0)*VLOOKUP('Données projet'!$B$9,Paramètres!$A$1:$I$89,5,0)</f>
        <v>298.79927999999995</v>
      </c>
      <c r="P102" s="14">
        <f t="shared" si="87"/>
        <v>70.9246877211216</v>
      </c>
      <c r="Q102" s="22">
        <f t="shared" si="107"/>
        <v>643.9359104476199</v>
      </c>
      <c r="R102" s="62">
        <f t="shared" si="55"/>
        <v>924.46295353760388</v>
      </c>
      <c r="S102" s="62">
        <f ca="1">AVERAGE(OFFSET($R$3,0,0,'Données projet'!$E$9+1,1))-AVERAGE(OFFSET($H$3,0,0,'Données projet'!$E$9+1,1))</f>
        <v>508.93703669150443</v>
      </c>
      <c r="T102" s="62">
        <f t="shared" si="88"/>
        <v>277.04920840696707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4.9000000000000004</v>
      </c>
      <c r="AI102" s="14">
        <f>IF('Données projet'!$A$62&gt;35,AI101+AH102-AQ101,IF(A102&lt;'Données projet'!$A$62,$AF$205^A102,IF(A102='Données projet'!$A$62,'Données projet'!$B$62,AI101+AH102-AQ101)))</f>
        <v>298.09999999999985</v>
      </c>
      <c r="AJ102" s="14">
        <f>AI102*VLOOKUP('Données projet'!$B$10,Paramètres!$A$1:$I$89,3,0)*VLOOKUP('Données projet'!$B$10,Paramètres!$A$1:$I$89,5,0)</f>
        <v>269.72087999999985</v>
      </c>
      <c r="AK102" s="14">
        <f t="shared" si="89"/>
        <v>64.790029413946939</v>
      </c>
      <c r="AL102" s="22">
        <f t="shared" si="58"/>
        <v>582.60650056262409</v>
      </c>
      <c r="AM102" s="62">
        <f t="shared" si="59"/>
        <v>863.13354365260807</v>
      </c>
      <c r="AN102" s="62">
        <f ca="1">AVERAGE(OFFSET($AM$3,0,0,'Données projet'!$E$10+1,1))-AVERAGE(OFFSET($H$3,0,0,'Données projet'!$E$10+1,1))</f>
        <v>461.10503306101145</v>
      </c>
      <c r="AO102" s="62">
        <f t="shared" si="90"/>
        <v>262.10652147273288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-2.2737367544323206E-13</v>
      </c>
      <c r="BE102" s="14">
        <f>BD102*VLOOKUP('Données projet'!$B$11,Paramètres!$A$1:$I$89,3,0)*VLOOKUP('Données projet'!$B$11,Paramètres!$A$1:$I$89,5,0)</f>
        <v>-1.8089849618263545E-13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389.67854939311752</v>
      </c>
      <c r="BJ102" s="62">
        <f t="shared" si="92"/>
        <v>420.05189970516096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8.4050000000000011</v>
      </c>
      <c r="BY102" s="13">
        <f>IF('Données projet'!$A$114&gt;35,BY101+BX102-CG101,IF(A102&lt;'Données projet'!$A$114,$BV$205^A102,IF(A102='Données projet'!$A$114,'Données projet'!$B$114,BY101+BX102-CG101)))</f>
        <v>361.594999999999</v>
      </c>
      <c r="BZ102" s="14">
        <f>BY102*VLOOKUP('Données projet'!$B$12,Paramètres!$A$1:$I$89,3,0)*VLOOKUP('Données projet'!$B$12,Paramètres!$A$1:$I$89,5,0)</f>
        <v>206.83233999999945</v>
      </c>
      <c r="CA102" s="14">
        <f t="shared" si="93"/>
        <v>51.242761162274945</v>
      </c>
      <c r="CB102" s="22">
        <f t="shared" si="64"/>
        <v>449.48080119096113</v>
      </c>
      <c r="CC102" s="62">
        <f t="shared" si="65"/>
        <v>730.00784428094516</v>
      </c>
      <c r="CD102" s="62">
        <f ca="1">AVERAGE(OFFSET($CC$3,0,0,'Données projet'!$E$12+1,1))-AVERAGE(OFFSET($H$3,0,0,'Données projet'!$E$12+1,1))</f>
        <v>312.16891625633968</v>
      </c>
      <c r="CE102" s="62">
        <f t="shared" si="94"/>
        <v>215.34305815516177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1.7732944097699681</v>
      </c>
      <c r="CM102" s="23">
        <f>EXP(-LN(2)/2)*CM101+(1-EXP(-LN(2)/2))/(LN(2)/2)*CG102*CJ102*VLOOKUP('Données projet'!$B$12,Paramètres!$A$1:$I$89,3,0)*0.475*44/12</f>
        <v>3.3534693797789987E-10</v>
      </c>
      <c r="CN102" s="24">
        <f t="shared" si="66"/>
        <v>1.773294410105315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3.717948717948707</v>
      </c>
      <c r="CT102" s="13">
        <f>IF('Données projet'!$A$140&gt;35,CT101+CS102-DB101,IF(A102&lt;'Données projet'!$A$140,$CQ$205^A102,IF(A102='Données projet'!$A$140,'Données projet'!$B$140,CT101+CS102-DB101)))</f>
        <v>319.35897435897448</v>
      </c>
      <c r="CU102" s="18">
        <f>CT102*VLOOKUP('Données projet'!$B$13,Paramètres!$A$1:$I$89,3,0)*VLOOKUP('Données projet'!$B$13,Paramètres!$A$1:$I$89,5,0)</f>
        <v>214.22600000000008</v>
      </c>
      <c r="CV102" s="14">
        <f t="shared" si="95"/>
        <v>52.857999443878597</v>
      </c>
      <c r="CW102" s="22">
        <f t="shared" si="67"/>
        <v>465.171299031422</v>
      </c>
      <c r="CX102" s="62">
        <f t="shared" si="68"/>
        <v>745.69834212140597</v>
      </c>
      <c r="CY102" s="62">
        <f ca="1">AVERAGE(OFFSET($CX$3,0,0,'Données projet'!$E$13+1,1))-AVERAGE(OFFSET($H$3,0,0,'Données projet'!$E$13+1,1))</f>
        <v>369.04754428478793</v>
      </c>
      <c r="CZ102" s="62">
        <f t="shared" si="96"/>
        <v>277.00523259351712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1.1368683772161603E-13</v>
      </c>
      <c r="DP102" s="18">
        <f>DO102*VLOOKUP('Données projet'!$B$14,Paramètres!$A$1:$I$89,3,0)*VLOOKUP('Données projet'!$B$14,Paramètres!$A$1:$I$89,5,0)</f>
        <v>8.8675733422860506E-14</v>
      </c>
      <c r="DQ102" s="14">
        <f t="shared" si="97"/>
        <v>1.3509285393066301E-12</v>
      </c>
      <c r="DR102" s="22">
        <f t="shared" si="70"/>
        <v>2.5073107750038623E-12</v>
      </c>
      <c r="DS102" s="62">
        <f t="shared" si="71"/>
        <v>280.52704308998648</v>
      </c>
      <c r="DT102" s="62">
        <f ca="1">AVERAGE(OFFSET($DS$3,0,0,'Données projet'!$E$14+1,1))-AVERAGE(OFFSET($H$3,0,0,'Données projet'!$E$14+1,1))</f>
        <v>308.39181291575227</v>
      </c>
      <c r="DU102" s="62">
        <f t="shared" si="98"/>
        <v>298.58225298824334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4.9000000000000004</v>
      </c>
      <c r="EJ102" s="13">
        <f>IF('Données projet'!$A$192&gt;35,EJ101+EI102-ER101,IF(A102&lt;'Données projet'!$A$192,$EG$205^A102,IF(A102='Données projet'!$A$192,'Données projet'!$B$192,EJ101+EI102-ER101)))</f>
        <v>298.09999999999985</v>
      </c>
      <c r="EK102" s="18">
        <f>EJ102*VLOOKUP('Données projet'!$B$15,Paramètres!$A$1:$I$89,3,0)*VLOOKUP('Données projet'!$B$15,Paramètres!$A$1:$I$89,5,0)</f>
        <v>288.32231999999988</v>
      </c>
      <c r="EL102" s="14">
        <f t="shared" si="99"/>
        <v>68.722745094590621</v>
      </c>
      <c r="EM102" s="22">
        <f t="shared" si="73"/>
        <v>621.85348837307845</v>
      </c>
      <c r="EN102" s="62">
        <f t="shared" si="74"/>
        <v>902.38053146306243</v>
      </c>
      <c r="EO102" s="62">
        <f ca="1">AVERAGE(OFFSET($EN$3,0,0,'Données projet'!$E$15+1,1))-AVERAGE(OFFSET($H$3,0,0,'Données projet'!$E$15+1,1))</f>
        <v>487.76433095707876</v>
      </c>
      <c r="EP102" s="62">
        <f t="shared" si="100"/>
        <v>276.24209151398361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4.9000000000000004</v>
      </c>
      <c r="FE102" s="13">
        <f>IF('Données projet'!$A$218&gt;35,FE101+FD102-FM101,IF(A102&lt;'Données projet'!$A$218,$FB$205^A102,IF(A102='Données projet'!$A$218,'Données projet'!$B$218,FE101+FD102-FM101)))</f>
        <v>298.09999999999985</v>
      </c>
      <c r="FF102" s="18">
        <f>FE102*VLOOKUP('Données projet'!$B$16,Paramètres!$A$1:$I$89,3,0)*VLOOKUP('Données projet'!$B$16,Paramètres!$A$1:$I$89,5,0)</f>
        <v>320.87483999999984</v>
      </c>
      <c r="FG102" s="14">
        <f t="shared" si="101"/>
        <v>75.535352205297585</v>
      </c>
      <c r="FH102" s="22">
        <f t="shared" si="76"/>
        <v>690.41441809089304</v>
      </c>
      <c r="FI102" s="62">
        <f t="shared" si="77"/>
        <v>970.94146118087701</v>
      </c>
      <c r="FJ102" s="62">
        <f ca="1">AVERAGE(OFFSET($FI$3,0,0,'Données projet'!$E$16+1,1))-AVERAGE(OFFSET($H$3,0,0,'Données projet'!$E$16+1,1))</f>
        <v>534.33392288300456</v>
      </c>
      <c r="FK102" s="62">
        <f t="shared" si="102"/>
        <v>300.93109615735477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3.333333333333337</v>
      </c>
      <c r="FZ102" s="13">
        <f>IF('Données projet'!$A$244&gt;35,FZ101+FY102-GH101,IF(A102&lt;'Données projet'!$A$244,$FW$205^A102,IF(A102='Données projet'!$A$244,'Données projet'!$B$244,FZ101+FY102-GH101)))</f>
        <v>283.20512820512795</v>
      </c>
      <c r="GA102" s="18">
        <f>FZ102*VLOOKUP('Données projet'!$B$17,Paramètres!$A$1:$I$89,3,0)*VLOOKUP('Données projet'!$B$17,Paramètres!$A$1:$I$89,5,0)</f>
        <v>189.97399999999982</v>
      </c>
      <c r="GB102" s="14">
        <f t="shared" si="103"/>
        <v>47.534204574599109</v>
      </c>
      <c r="GC102" s="22">
        <f t="shared" si="79"/>
        <v>413.6601229674265</v>
      </c>
      <c r="GD102" s="62">
        <f t="shared" si="80"/>
        <v>694.18716605741042</v>
      </c>
      <c r="GE102" s="62">
        <f ca="1">AVERAGE(OFFSET($GD$3,0,0,'Données projet'!$E$17+1,1))-AVERAGE(OFFSET($H$3,0,0,'Données projet'!$E$17+1,1))</f>
        <v>316.17772895535211</v>
      </c>
      <c r="GF102" s="62">
        <f t="shared" si="104"/>
        <v>251.94445589652992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66.507375388177451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3.95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14.483333333333334</v>
      </c>
      <c r="H103" s="70">
        <f t="shared" si="56"/>
        <v>198.73333333333335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361</v>
      </c>
      <c r="L103" s="13">
        <f>VLOOKUP(A103,'Données projet'!$A$35:$I$55,9,0)</f>
        <v>6.3</v>
      </c>
      <c r="M103" s="13">
        <f t="array" ref="M103">INDEX(L:L,MIN(IF(ISNUMBER(L103:L299),ROW(L103:L299),"")))</f>
        <v>6.3</v>
      </c>
      <c r="N103" s="14">
        <f>IF('Données projet'!$A$36&gt;35,N102+M103-V102,IF(A103&lt;'Données projet'!$A$36,$K$205^A103,IF(A103='Données projet'!$A$36,'Données projet'!$B$36,N102+M103-V102)))</f>
        <v>360.99999999999989</v>
      </c>
      <c r="O103" s="14">
        <f>N103*VLOOKUP('Données projet'!$B$9,Paramètres!$A$1:$I$89,3,0)*VLOOKUP('Données projet'!$B$9,Paramètres!$A$1:$I$89,5,0)</f>
        <v>304.10639999999989</v>
      </c>
      <c r="P103" s="14">
        <f t="shared" si="87"/>
        <v>72.036640316223298</v>
      </c>
      <c r="Q103" s="22">
        <f t="shared" si="107"/>
        <v>655.11579521742192</v>
      </c>
      <c r="R103" s="62">
        <f t="shared" si="55"/>
        <v>935.86499881255213</v>
      </c>
      <c r="S103" s="62">
        <f ca="1">AVERAGE(OFFSET($R$3,0,0,'Données projet'!$E$9+1,1))-AVERAGE(OFFSET($H$3,0,0,'Données projet'!$E$9+1,1))</f>
        <v>508.93703669150443</v>
      </c>
      <c r="T103" s="62">
        <f t="shared" si="88"/>
        <v>277.04920840696707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55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303</v>
      </c>
      <c r="AG103" s="13">
        <f>VLOOKUP(A103,'Données projet'!$A$61:$I$81,9,0)</f>
        <v>4.9000000000000004</v>
      </c>
      <c r="AH103" s="13">
        <f t="array" ref="AH103">INDEX(AG:AG,MIN(IF(ISNUMBER(AG103:AG299),ROW(AG103:AG299),"")))</f>
        <v>4.9000000000000004</v>
      </c>
      <c r="AI103" s="14">
        <f>IF('Données projet'!$A$62&gt;35,AI102+AH103-AQ102,IF(A103&lt;'Données projet'!$A$62,$AF$205^A103,IF(A103='Données projet'!$A$62,'Données projet'!$B$62,AI102+AH103-AQ102)))</f>
        <v>302.99999999999983</v>
      </c>
      <c r="AJ103" s="14">
        <f>AI103*VLOOKUP('Données projet'!$B$10,Paramètres!$A$1:$I$89,3,0)*VLOOKUP('Données projet'!$B$10,Paramètres!$A$1:$I$89,5,0)</f>
        <v>274.15439999999984</v>
      </c>
      <c r="AK103" s="14">
        <f t="shared" si="89"/>
        <v>65.730152764515779</v>
      </c>
      <c r="AL103" s="22">
        <f t="shared" si="58"/>
        <v>591.9655960648646</v>
      </c>
      <c r="AM103" s="62">
        <f t="shared" si="59"/>
        <v>872.71479965999492</v>
      </c>
      <c r="AN103" s="62">
        <f ca="1">AVERAGE(OFFSET($AM$3,0,0,'Données projet'!$E$10+1,1))-AVERAGE(OFFSET($H$3,0,0,'Données projet'!$E$10+1,1))</f>
        <v>461.10503306101145</v>
      </c>
      <c r="AO103" s="62">
        <f t="shared" si="90"/>
        <v>262.10652147273288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42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-2.2737367544323206E-13</v>
      </c>
      <c r="BE103" s="14">
        <f>BD103*VLOOKUP('Données projet'!$B$11,Paramètres!$A$1:$I$89,3,0)*VLOOKUP('Données projet'!$B$11,Paramètres!$A$1:$I$89,5,0)</f>
        <v>-1.8089849618263545E-13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389.67854939311752</v>
      </c>
      <c r="BJ103" s="62">
        <f t="shared" si="92"/>
        <v>420.05189970516096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370</v>
      </c>
      <c r="BW103" s="13">
        <f>VLOOKUP(A103,'Données projet'!$A$113:$I$133,9,0)</f>
        <v>8.4050000000000011</v>
      </c>
      <c r="BX103" s="13">
        <f t="array" ref="BX103">INDEX(BW:BW,MIN(IF(ISNUMBER(BW103:BW299),ROW(BW103:BW299),"")))</f>
        <v>8.4050000000000011</v>
      </c>
      <c r="BY103" s="13">
        <f>IF('Données projet'!$A$114&gt;35,BY102+BX103-CG102,IF(A103&lt;'Données projet'!$A$114,$BV$205^A103,IF(A103='Données projet'!$A$114,'Données projet'!$B$114,BY102+BX103-CG102)))</f>
        <v>369.99999999999898</v>
      </c>
      <c r="BZ103" s="14">
        <f>BY103*VLOOKUP('Données projet'!$B$12,Paramètres!$A$1:$I$89,3,0)*VLOOKUP('Données projet'!$B$12,Paramètres!$A$1:$I$89,5,0)</f>
        <v>211.63999999999942</v>
      </c>
      <c r="CA103" s="14">
        <f t="shared" si="93"/>
        <v>52.293804542136449</v>
      </c>
      <c r="CB103" s="22">
        <f t="shared" si="64"/>
        <v>459.68470957755329</v>
      </c>
      <c r="CC103" s="62">
        <f t="shared" si="65"/>
        <v>740.43391317268356</v>
      </c>
      <c r="CD103" s="62">
        <f ca="1">AVERAGE(OFFSET($CC$3,0,0,'Données projet'!$E$12+1,1))-AVERAGE(OFFSET($H$3,0,0,'Données projet'!$E$12+1,1))</f>
        <v>312.16891625633968</v>
      </c>
      <c r="CE103" s="62">
        <f t="shared" si="94"/>
        <v>215.34305815516177</v>
      </c>
      <c r="CF103" s="16">
        <f>IF(ISNA(VLOOKUP(A103,'Données projet'!$A$113:$I$133,3,0)),0,VLOOKUP(A103,'Données projet'!$A$113:$I$133,3,0))</f>
        <v>10</v>
      </c>
      <c r="CG103" s="16">
        <f>IF(ISNA(VLOOKUP(A103,'Données projet'!$A$113:$I$133,4,0)),0,VLOOKUP(A103,'Données projet'!$A$113:$I$133,4,0))</f>
        <v>219.7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1.7248035808813083</v>
      </c>
      <c r="CM103" s="23">
        <f>EXP(-LN(2)/2)*CM102+(1-EXP(-LN(2)/2))/(LN(2)/2)*CG103*CJ103*VLOOKUP('Données projet'!$B$12,Paramètres!$A$1:$I$89,3,0)*0.475*44/12</f>
        <v>2.3712609389431756E-10</v>
      </c>
      <c r="CN103" s="24">
        <f t="shared" si="66"/>
        <v>1.7248035811184343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323.07692307692304</v>
      </c>
      <c r="CR103" s="13">
        <f>VLOOKUP(A103,'Données projet'!$A$139:$I$159,9,0)</f>
        <v>3.717948717948707</v>
      </c>
      <c r="CS103" s="13">
        <f t="array" ref="CS103">INDEX(CR:CR,MIN(IF(ISNUMBER(CR103:CR299),ROW(CR103:CR299),"")))</f>
        <v>3.717948717948707</v>
      </c>
      <c r="CT103" s="13">
        <f>IF('Données projet'!$A$140&gt;35,CT102+CS103-DB102,IF(A103&lt;'Données projet'!$A$140,$CQ$205^A103,IF(A103='Données projet'!$A$140,'Données projet'!$B$140,CT102+CS103-DB102)))</f>
        <v>323.07692307692321</v>
      </c>
      <c r="CU103" s="18">
        <f>CT103*VLOOKUP('Données projet'!$B$13,Paramètres!$A$1:$I$89,3,0)*VLOOKUP('Données projet'!$B$13,Paramètres!$A$1:$I$89,5,0)</f>
        <v>216.72000000000011</v>
      </c>
      <c r="CV103" s="14">
        <f t="shared" si="95"/>
        <v>53.401371884419554</v>
      </c>
      <c r="CW103" s="22">
        <f t="shared" si="67"/>
        <v>470.46138936536425</v>
      </c>
      <c r="CX103" s="62">
        <f t="shared" si="68"/>
        <v>751.21059296049452</v>
      </c>
      <c r="CY103" s="62">
        <f ca="1">AVERAGE(OFFSET($CX$3,0,0,'Données projet'!$E$13+1,1))-AVERAGE(OFFSET($H$3,0,0,'Données projet'!$E$13+1,1))</f>
        <v>369.04754428478793</v>
      </c>
      <c r="CZ103" s="62">
        <f t="shared" si="96"/>
        <v>277.00523259351712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1.1368683772161603E-13</v>
      </c>
      <c r="DP103" s="18">
        <f>DO103*VLOOKUP('Données projet'!$B$14,Paramètres!$A$1:$I$89,3,0)*VLOOKUP('Données projet'!$B$14,Paramètres!$A$1:$I$89,5,0)</f>
        <v>8.8675733422860506E-14</v>
      </c>
      <c r="DQ103" s="14">
        <f t="shared" si="97"/>
        <v>1.3509285393066301E-12</v>
      </c>
      <c r="DR103" s="22">
        <f t="shared" si="70"/>
        <v>2.5073107750038623E-12</v>
      </c>
      <c r="DS103" s="62">
        <f t="shared" si="71"/>
        <v>280.74920359513277</v>
      </c>
      <c r="DT103" s="62">
        <f ca="1">AVERAGE(OFFSET($DS$3,0,0,'Données projet'!$E$14+1,1))-AVERAGE(OFFSET($H$3,0,0,'Données projet'!$E$14+1,1))</f>
        <v>308.39181291575227</v>
      </c>
      <c r="DU103" s="62">
        <f t="shared" si="98"/>
        <v>298.58225298824334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>
        <f>VLOOKUP(A103,'Données projet'!$A$191:$I$211,2,0)</f>
        <v>303</v>
      </c>
      <c r="EH103" s="13">
        <f>VLOOKUP(A103,'Données projet'!$A$191:$I$211,9,0)</f>
        <v>4.9000000000000004</v>
      </c>
      <c r="EI103" s="13">
        <f t="array" ref="EI103">INDEX(EH:EH,MIN(IF(ISNUMBER(EH103:EH299),ROW(EH103:EH299),"")))</f>
        <v>4.9000000000000004</v>
      </c>
      <c r="EJ103" s="13">
        <f>IF('Données projet'!$A$192&gt;35,EJ102+EI103-ER102,IF(A103&lt;'Données projet'!$A$192,$EG$205^A103,IF(A103='Données projet'!$A$192,'Données projet'!$B$192,EJ102+EI103-ER102)))</f>
        <v>302.99999999999983</v>
      </c>
      <c r="EK103" s="18">
        <f>EJ103*VLOOKUP('Données projet'!$B$15,Paramètres!$A$1:$I$89,3,0)*VLOOKUP('Données projet'!$B$15,Paramètres!$A$1:$I$89,5,0)</f>
        <v>293.06159999999983</v>
      </c>
      <c r="EL103" s="14">
        <f t="shared" si="99"/>
        <v>69.719933365116546</v>
      </c>
      <c r="EM103" s="22">
        <f t="shared" si="73"/>
        <v>631.84450394424437</v>
      </c>
      <c r="EN103" s="62">
        <f t="shared" si="74"/>
        <v>912.59370753937469</v>
      </c>
      <c r="EO103" s="62">
        <f ca="1">AVERAGE(OFFSET($EN$3,0,0,'Données projet'!$E$15+1,1))-AVERAGE(OFFSET($H$3,0,0,'Données projet'!$E$15+1,1))</f>
        <v>487.76433095707876</v>
      </c>
      <c r="EP103" s="62">
        <f t="shared" si="100"/>
        <v>276.24209151398361</v>
      </c>
      <c r="EQ103" s="16">
        <f>IF(ISNA(VLOOKUP(A103,'Données projet'!$A$191:$I$211,3,0)),0,VLOOKUP(A103,'Données projet'!$A$191:$I$211,3,0))</f>
        <v>8</v>
      </c>
      <c r="ER103" s="16">
        <f>IF(ISNA(VLOOKUP(A103,'Données projet'!$A$191:$I$211,4,0)),0,VLOOKUP(A103,'Données projet'!$A$191:$I$211,4,0))</f>
        <v>42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>
        <f>VLOOKUP(A103,'Données projet'!$A$217:$I$237,2,0)</f>
        <v>303</v>
      </c>
      <c r="FC103" s="13">
        <f>VLOOKUP(A103,'Données projet'!$A$217:$I$237,9,0)</f>
        <v>4.9000000000000004</v>
      </c>
      <c r="FD103" s="13">
        <f t="array" ref="FD103">INDEX(FC:FC,MIN(IF(ISNUMBER(FC103:FC299),ROW(FC103:FC299),"")))</f>
        <v>4.9000000000000004</v>
      </c>
      <c r="FE103" s="13">
        <f>IF('Données projet'!$A$218&gt;35,FE102+FD103-FM102,IF(A103&lt;'Données projet'!$A$218,$FB$205^A103,IF(A103='Données projet'!$A$218,'Données projet'!$B$218,FE102+FD103-FM102)))</f>
        <v>302.99999999999983</v>
      </c>
      <c r="FF103" s="18">
        <f>FE103*VLOOKUP('Données projet'!$B$16,Paramètres!$A$1:$I$89,3,0)*VLOOKUP('Données projet'!$B$16,Paramètres!$A$1:$I$89,5,0)</f>
        <v>326.14919999999984</v>
      </c>
      <c r="FG103" s="14">
        <f t="shared" si="101"/>
        <v>76.631393510479555</v>
      </c>
      <c r="FH103" s="22">
        <f t="shared" si="76"/>
        <v>701.50953369741819</v>
      </c>
      <c r="FI103" s="62">
        <f t="shared" si="77"/>
        <v>982.2587372925484</v>
      </c>
      <c r="FJ103" s="62">
        <f ca="1">AVERAGE(OFFSET($FI$3,0,0,'Données projet'!$E$16+1,1))-AVERAGE(OFFSET($H$3,0,0,'Données projet'!$E$16+1,1))</f>
        <v>534.33392288300456</v>
      </c>
      <c r="FK103" s="62">
        <f t="shared" si="102"/>
        <v>300.93109615735477</v>
      </c>
      <c r="FL103" s="16">
        <f>IF(ISNA(VLOOKUP(A103,'Données projet'!$A$217:$I$237,3,0)),0,VLOOKUP(A103,'Données projet'!$A$217:$I$237,3,0))</f>
        <v>8</v>
      </c>
      <c r="FM103" s="16">
        <f>IF(ISNA(VLOOKUP(A103,'Données projet'!$A$217:$I$237,4,0)),0,VLOOKUP(A103,'Données projet'!$A$217:$I$237,4,0))</f>
        <v>42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>
        <f>VLOOKUP(A103,'Données projet'!$A$243:$I$263,2,0)</f>
        <v>286.53846153846155</v>
      </c>
      <c r="FX103" s="13">
        <f>VLOOKUP(A103,'Données projet'!$A$243:$I$263,9,0)</f>
        <v>3.333333333333337</v>
      </c>
      <c r="FY103" s="13">
        <f t="array" ref="FY103">INDEX(FX:FX,MIN(IF(ISNUMBER(FX103:FX299),ROW(FX103:FX299),"")))</f>
        <v>3.333333333333337</v>
      </c>
      <c r="FZ103" s="13">
        <f>IF('Données projet'!$A$244&gt;35,FZ102+FY103-GH102,IF(A103&lt;'Données projet'!$A$244,$FW$205^A103,IF(A103='Données projet'!$A$244,'Données projet'!$B$244,FZ102+FY103-GH102)))</f>
        <v>286.53846153846126</v>
      </c>
      <c r="GA103" s="18">
        <f>FZ103*VLOOKUP('Données projet'!$B$17,Paramètres!$A$1:$I$89,3,0)*VLOOKUP('Données projet'!$B$17,Paramètres!$A$1:$I$89,5,0)</f>
        <v>192.20999999999981</v>
      </c>
      <c r="GB103" s="14">
        <f t="shared" si="103"/>
        <v>48.028223134756018</v>
      </c>
      <c r="GC103" s="22">
        <f t="shared" si="79"/>
        <v>418.41490529303309</v>
      </c>
      <c r="GD103" s="62">
        <f t="shared" si="80"/>
        <v>699.16410888816336</v>
      </c>
      <c r="GE103" s="62">
        <f ca="1">AVERAGE(OFFSET($GD$3,0,0,'Données projet'!$E$17+1,1))-AVERAGE(OFFSET($H$3,0,0,'Données projet'!$E$17+1,1))</f>
        <v>316.17772895535211</v>
      </c>
      <c r="GF103" s="62">
        <f t="shared" si="104"/>
        <v>251.94445589652992</v>
      </c>
      <c r="GG103" s="16">
        <f>IF(ISNA(VLOOKUP(A103,'Données projet'!$A$243:$I$263,3,0)),0,VLOOKUP(A103,'Données projet'!$A$243:$I$263,3,0))</f>
        <v>9</v>
      </c>
      <c r="GH103" s="16">
        <f>IF(ISNA(VLOOKUP(A103,'Données projet'!$A$243:$I$263,4,0)),0,VLOOKUP(A103,'Données projet'!$A$243:$I$263,4,0))</f>
        <v>21.153846153846153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66.5679646168537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3.95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14.483333333333334</v>
      </c>
      <c r="H104" s="70">
        <f t="shared" si="56"/>
        <v>198.73333333333335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5.2</v>
      </c>
      <c r="N104" s="14">
        <f>IF('Données projet'!$A$36&gt;35,N103+M104-V103,IF(A104&lt;'Données projet'!$A$36,$K$205^A104,IF(A104='Données projet'!$A$36,'Données projet'!$B$36,N103+M104-V103)))</f>
        <v>311.19999999999987</v>
      </c>
      <c r="O104" s="14">
        <f>N104*VLOOKUP('Données projet'!$B$9,Paramètres!$A$1:$I$89,3,0)*VLOOKUP('Données projet'!$B$9,Paramètres!$A$1:$I$89,5,0)</f>
        <v>262.15487999999993</v>
      </c>
      <c r="P104" s="14">
        <f t="shared" si="87"/>
        <v>63.18149040710518</v>
      </c>
      <c r="Q104" s="22">
        <f t="shared" si="107"/>
        <v>566.62751179237466</v>
      </c>
      <c r="R104" s="62">
        <f t="shared" si="55"/>
        <v>847.59502190456351</v>
      </c>
      <c r="S104" s="62">
        <f ca="1">AVERAGE(OFFSET($R$3,0,0,'Données projet'!$E$9+1,1))-AVERAGE(OFFSET($H$3,0,0,'Données projet'!$E$9+1,1))</f>
        <v>508.93703669150443</v>
      </c>
      <c r="T104" s="62">
        <f t="shared" si="88"/>
        <v>277.04920840696707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4.4000000000000004</v>
      </c>
      <c r="AI104" s="14">
        <f>IF('Données projet'!$A$62&gt;35,AI103+AH104-AQ103,IF(A104&lt;'Données projet'!$A$62,$AF$205^A104,IF(A104='Données projet'!$A$62,'Données projet'!$B$62,AI103+AH104-AQ103)))</f>
        <v>265.39999999999981</v>
      </c>
      <c r="AJ104" s="14">
        <f>AI104*VLOOKUP('Données projet'!$B$10,Paramètres!$A$1:$I$89,3,0)*VLOOKUP('Données projet'!$B$10,Paramètres!$A$1:$I$89,5,0)</f>
        <v>240.13391999999982</v>
      </c>
      <c r="AK104" s="14">
        <f t="shared" si="89"/>
        <v>58.468343087048559</v>
      </c>
      <c r="AL104" s="22">
        <f t="shared" si="58"/>
        <v>520.06560820994252</v>
      </c>
      <c r="AM104" s="62">
        <f t="shared" si="59"/>
        <v>801.03311832213126</v>
      </c>
      <c r="AN104" s="62">
        <f ca="1">AVERAGE(OFFSET($AM$3,0,0,'Données projet'!$E$10+1,1))-AVERAGE(OFFSET($H$3,0,0,'Données projet'!$E$10+1,1))</f>
        <v>461.10503306101145</v>
      </c>
      <c r="AO104" s="62">
        <f t="shared" si="90"/>
        <v>262.10652147273288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-2.2737367544323206E-13</v>
      </c>
      <c r="BE104" s="14">
        <f>BD104*VLOOKUP('Données projet'!$B$11,Paramètres!$A$1:$I$89,3,0)*VLOOKUP('Données projet'!$B$11,Paramètres!$A$1:$I$89,5,0)</f>
        <v>-1.8089849618263545E-13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389.67854939311752</v>
      </c>
      <c r="BJ104" s="62">
        <f t="shared" si="92"/>
        <v>420.05189970516096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2.7833333333333314</v>
      </c>
      <c r="BY104" s="13">
        <f>IF('Données projet'!$A$114&gt;35,BY103+BX104-CG103,IF(A104&lt;'Données projet'!$A$114,$BV$205^A104,IF(A104='Données projet'!$A$114,'Données projet'!$B$114,BY103+BX104-CG103)))</f>
        <v>153.08333333333229</v>
      </c>
      <c r="BZ104" s="14">
        <f>BY104*VLOOKUP('Données projet'!$B$12,Paramètres!$A$1:$I$89,3,0)*VLOOKUP('Données projet'!$B$12,Paramètres!$A$1:$I$89,5,0)</f>
        <v>87.56366666666608</v>
      </c>
      <c r="CA104" s="14">
        <f t="shared" si="93"/>
        <v>23.9767048616906</v>
      </c>
      <c r="CB104" s="22">
        <f t="shared" si="64"/>
        <v>194.2661470785545</v>
      </c>
      <c r="CC104" s="62">
        <f t="shared" si="65"/>
        <v>475.23365719074332</v>
      </c>
      <c r="CD104" s="62">
        <f ca="1">AVERAGE(OFFSET($CC$3,0,0,'Données projet'!$E$12+1,1))-AVERAGE(OFFSET($H$3,0,0,'Données projet'!$E$12+1,1))</f>
        <v>312.16891625633968</v>
      </c>
      <c r="CE104" s="62">
        <f t="shared" si="94"/>
        <v>215.34305815516177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1.6776387362586307</v>
      </c>
      <c r="CM104" s="23">
        <f>EXP(-LN(2)/2)*CM103+(1-EXP(-LN(2)/2))/(LN(2)/2)*CG104*CJ104*VLOOKUP('Données projet'!$B$12,Paramètres!$A$1:$I$89,3,0)*0.475*44/12</f>
        <v>1.6767346898894993E-10</v>
      </c>
      <c r="CN104" s="24">
        <f t="shared" si="66"/>
        <v>1.6776387364263041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3.5256410256410278</v>
      </c>
      <c r="CT104" s="13">
        <f>IF('Données projet'!$A$140&gt;35,CT103+CS104-DB103,IF(A104&lt;'Données projet'!$A$140,$CQ$205^A104,IF(A104='Données projet'!$A$140,'Données projet'!$B$140,CT103+CS104-DB103)))</f>
        <v>326.60256410256426</v>
      </c>
      <c r="CU104" s="18">
        <f>CT104*VLOOKUP('Données projet'!$B$13,Paramètres!$A$1:$I$89,3,0)*VLOOKUP('Données projet'!$B$13,Paramètres!$A$1:$I$89,5,0)</f>
        <v>219.08500000000009</v>
      </c>
      <c r="CV104" s="14">
        <f t="shared" si="95"/>
        <v>53.91596677829537</v>
      </c>
      <c r="CW104" s="22">
        <f t="shared" si="67"/>
        <v>475.4766838055312</v>
      </c>
      <c r="CX104" s="62">
        <f t="shared" si="68"/>
        <v>756.44419391771999</v>
      </c>
      <c r="CY104" s="62">
        <f ca="1">AVERAGE(OFFSET($CX$3,0,0,'Données projet'!$E$13+1,1))-AVERAGE(OFFSET($H$3,0,0,'Données projet'!$E$13+1,1))</f>
        <v>369.04754428478793</v>
      </c>
      <c r="CZ104" s="62">
        <f t="shared" si="96"/>
        <v>277.00523259351712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1.1368683772161603E-13</v>
      </c>
      <c r="DP104" s="18">
        <f>DO104*VLOOKUP('Données projet'!$B$14,Paramètres!$A$1:$I$89,3,0)*VLOOKUP('Données projet'!$B$14,Paramètres!$A$1:$I$89,5,0)</f>
        <v>8.8675733422860506E-14</v>
      </c>
      <c r="DQ104" s="14">
        <f t="shared" si="97"/>
        <v>1.3509285393066301E-12</v>
      </c>
      <c r="DR104" s="22">
        <f t="shared" si="70"/>
        <v>2.5073107750038623E-12</v>
      </c>
      <c r="DS104" s="62">
        <f t="shared" si="71"/>
        <v>280.96751011219129</v>
      </c>
      <c r="DT104" s="62">
        <f ca="1">AVERAGE(OFFSET($DS$3,0,0,'Données projet'!$E$14+1,1))-AVERAGE(OFFSET($H$3,0,0,'Données projet'!$E$14+1,1))</f>
        <v>308.39181291575227</v>
      </c>
      <c r="DU104" s="62">
        <f t="shared" si="98"/>
        <v>298.58225298824334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4.4000000000000004</v>
      </c>
      <c r="EJ104" s="13">
        <f>IF('Données projet'!$A$192&gt;35,EJ103+EI104-ER103,IF(A104&lt;'Données projet'!$A$192,$EG$205^A104,IF(A104='Données projet'!$A$192,'Données projet'!$B$192,EJ103+EI104-ER103)))</f>
        <v>265.39999999999981</v>
      </c>
      <c r="EK104" s="18">
        <f>EJ104*VLOOKUP('Données projet'!$B$15,Paramètres!$A$1:$I$89,3,0)*VLOOKUP('Données projet'!$B$15,Paramètres!$A$1:$I$89,5,0)</f>
        <v>256.69487999999984</v>
      </c>
      <c r="EL104" s="14">
        <f t="shared" si="99"/>
        <v>62.017336223177502</v>
      </c>
      <c r="EM104" s="22">
        <f t="shared" si="73"/>
        <v>555.09044325536718</v>
      </c>
      <c r="EN104" s="62">
        <f t="shared" si="74"/>
        <v>836.05795336755591</v>
      </c>
      <c r="EO104" s="62">
        <f ca="1">AVERAGE(OFFSET($EN$3,0,0,'Données projet'!$E$15+1,1))-AVERAGE(OFFSET($H$3,0,0,'Données projet'!$E$15+1,1))</f>
        <v>487.76433095707876</v>
      </c>
      <c r="EP104" s="62">
        <f t="shared" si="100"/>
        <v>276.24209151398361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4.4000000000000004</v>
      </c>
      <c r="FE104" s="13">
        <f>IF('Données projet'!$A$218&gt;35,FE103+FD104-FM103,IF(A104&lt;'Données projet'!$A$218,$FB$205^A104,IF(A104='Données projet'!$A$218,'Données projet'!$B$218,FE103+FD104-FM103)))</f>
        <v>265.39999999999981</v>
      </c>
      <c r="FF104" s="18">
        <f>FE104*VLOOKUP('Données projet'!$B$16,Paramètres!$A$1:$I$89,3,0)*VLOOKUP('Données projet'!$B$16,Paramètres!$A$1:$I$89,5,0)</f>
        <v>285.67655999999977</v>
      </c>
      <c r="FG104" s="14">
        <f t="shared" si="101"/>
        <v>68.165224308258956</v>
      </c>
      <c r="FH104" s="22">
        <f t="shared" si="76"/>
        <v>616.27444100355058</v>
      </c>
      <c r="FI104" s="62">
        <f t="shared" si="77"/>
        <v>897.24195111573931</v>
      </c>
      <c r="FJ104" s="62">
        <f ca="1">AVERAGE(OFFSET($FI$3,0,0,'Données projet'!$E$16+1,1))-AVERAGE(OFFSET($H$3,0,0,'Données projet'!$E$16+1,1))</f>
        <v>534.33392288300456</v>
      </c>
      <c r="FK104" s="62">
        <f t="shared" si="102"/>
        <v>300.93109615735477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3.0769230769230718</v>
      </c>
      <c r="FZ104" s="13">
        <f>IF('Données projet'!$A$244&gt;35,FZ103+FY104-GH103,IF(A104&lt;'Données projet'!$A$244,$FW$205^A104,IF(A104='Données projet'!$A$244,'Données projet'!$B$244,FZ103+FY104-GH103)))</f>
        <v>268.46153846153823</v>
      </c>
      <c r="GA104" s="18">
        <f>FZ104*VLOOKUP('Données projet'!$B$17,Paramètres!$A$1:$I$89,3,0)*VLOOKUP('Données projet'!$B$17,Paramètres!$A$1:$I$89,5,0)</f>
        <v>180.08399999999986</v>
      </c>
      <c r="GB104" s="14">
        <f t="shared" si="103"/>
        <v>45.34087411146556</v>
      </c>
      <c r="GC104" s="22">
        <f t="shared" si="79"/>
        <v>392.61498907746892</v>
      </c>
      <c r="GD104" s="62">
        <f t="shared" si="80"/>
        <v>673.58249918965771</v>
      </c>
      <c r="GE104" s="62">
        <f ca="1">AVERAGE(OFFSET($GD$3,0,0,'Données projet'!$E$17+1,1))-AVERAGE(OFFSET($H$3,0,0,'Données projet'!$E$17+1,1))</f>
        <v>316.17772895535211</v>
      </c>
      <c r="GF104" s="62">
        <f t="shared" si="104"/>
        <v>251.94445589652992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66.627502757869664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3.95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14.483333333333334</v>
      </c>
      <c r="H105" s="70">
        <f t="shared" si="56"/>
        <v>198.73333333333335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5.2</v>
      </c>
      <c r="N105" s="14">
        <f>IF('Données projet'!$A$36&gt;35,N104+M105-V104,IF(A105&lt;'Données projet'!$A$36,$K$205^A105,IF(A105='Données projet'!$A$36,'Données projet'!$B$36,N104+M105-V104)))</f>
        <v>316.39999999999986</v>
      </c>
      <c r="O105" s="14">
        <f>N105*VLOOKUP('Données projet'!$B$9,Paramètres!$A$1:$I$89,3,0)*VLOOKUP('Données projet'!$B$9,Paramètres!$A$1:$I$89,5,0)</f>
        <v>266.53535999999991</v>
      </c>
      <c r="P105" s="14">
        <f t="shared" si="87"/>
        <v>64.113433471449738</v>
      </c>
      <c r="Q105" s="22">
        <f t="shared" si="107"/>
        <v>575.87998196277476</v>
      </c>
      <c r="R105" s="62">
        <f t="shared" si="55"/>
        <v>857.06201146201124</v>
      </c>
      <c r="S105" s="62">
        <f ca="1">AVERAGE(OFFSET($R$3,0,0,'Données projet'!$E$9+1,1))-AVERAGE(OFFSET($H$3,0,0,'Données projet'!$E$9+1,1))</f>
        <v>508.93703669150443</v>
      </c>
      <c r="T105" s="62">
        <f t="shared" si="88"/>
        <v>277.04920840696707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4.4000000000000004</v>
      </c>
      <c r="AI105" s="14">
        <f>IF('Données projet'!$A$62&gt;35,AI104+AH105-AQ104,IF(A105&lt;'Données projet'!$A$62,$AF$205^A105,IF(A105='Données projet'!$A$62,'Données projet'!$B$62,AI104+AH105-AQ104)))</f>
        <v>269.79999999999978</v>
      </c>
      <c r="AJ105" s="14">
        <f>AI105*VLOOKUP('Données projet'!$B$10,Paramètres!$A$1:$I$89,3,0)*VLOOKUP('Données projet'!$B$10,Paramètres!$A$1:$I$89,5,0)</f>
        <v>244.11503999999979</v>
      </c>
      <c r="AK105" s="14">
        <f t="shared" si="89"/>
        <v>59.324023461759012</v>
      </c>
      <c r="AL105" s="22">
        <f t="shared" si="58"/>
        <v>528.48970219589648</v>
      </c>
      <c r="AM105" s="62">
        <f t="shared" si="59"/>
        <v>809.67173169513308</v>
      </c>
      <c r="AN105" s="62">
        <f ca="1">AVERAGE(OFFSET($AM$3,0,0,'Données projet'!$E$10+1,1))-AVERAGE(OFFSET($H$3,0,0,'Données projet'!$E$10+1,1))</f>
        <v>461.10503306101145</v>
      </c>
      <c r="AO105" s="62">
        <f t="shared" si="90"/>
        <v>262.10652147273288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-2.2737367544323206E-13</v>
      </c>
      <c r="BE105" s="14">
        <f>BD105*VLOOKUP('Données projet'!$B$11,Paramètres!$A$1:$I$89,3,0)*VLOOKUP('Données projet'!$B$11,Paramètres!$A$1:$I$89,5,0)</f>
        <v>-1.8089849618263545E-13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389.67854939311752</v>
      </c>
      <c r="BJ105" s="62">
        <f t="shared" si="92"/>
        <v>420.05189970516096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2.7833333333333314</v>
      </c>
      <c r="BY105" s="13">
        <f>IF('Données projet'!$A$114&gt;35,BY104+BX105-CG104,IF(A105&lt;'Données projet'!$A$114,$BV$205^A105,IF(A105='Données projet'!$A$114,'Données projet'!$B$114,BY104+BX105-CG104)))</f>
        <v>155.86666666666562</v>
      </c>
      <c r="BZ105" s="14">
        <f>BY105*VLOOKUP('Données projet'!$B$12,Paramètres!$A$1:$I$89,3,0)*VLOOKUP('Données projet'!$B$12,Paramètres!$A$1:$I$89,5,0)</f>
        <v>89.155733333332748</v>
      </c>
      <c r="CA105" s="14">
        <f t="shared" si="93"/>
        <v>24.361496647358699</v>
      </c>
      <c r="CB105" s="22">
        <f t="shared" si="64"/>
        <v>197.70917554970424</v>
      </c>
      <c r="CC105" s="62">
        <f t="shared" si="65"/>
        <v>478.89120504894078</v>
      </c>
      <c r="CD105" s="62">
        <f ca="1">AVERAGE(OFFSET($CC$3,0,0,'Données projet'!$E$12+1,1))-AVERAGE(OFFSET($H$3,0,0,'Données projet'!$E$12+1,1))</f>
        <v>312.16891625633968</v>
      </c>
      <c r="CE105" s="62">
        <f t="shared" si="94"/>
        <v>215.34305815516177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1.6317636167924516</v>
      </c>
      <c r="CM105" s="23">
        <f>EXP(-LN(2)/2)*CM104+(1-EXP(-LN(2)/2))/(LN(2)/2)*CG105*CJ105*VLOOKUP('Données projet'!$B$12,Paramètres!$A$1:$I$89,3,0)*0.475*44/12</f>
        <v>1.1856304694715878E-10</v>
      </c>
      <c r="CN105" s="24">
        <f t="shared" si="66"/>
        <v>1.6317636169110146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3.5256410256410278</v>
      </c>
      <c r="CT105" s="13">
        <f>IF('Données projet'!$A$140&gt;35,CT104+CS105-DB104,IF(A105&lt;'Données projet'!$A$140,$CQ$205^A105,IF(A105='Données projet'!$A$140,'Données projet'!$B$140,CT104+CS105-DB104)))</f>
        <v>330.12820512820531</v>
      </c>
      <c r="CU105" s="18">
        <f>CT105*VLOOKUP('Données projet'!$B$13,Paramètres!$A$1:$I$89,3,0)*VLOOKUP('Données projet'!$B$13,Paramètres!$A$1:$I$89,5,0)</f>
        <v>221.45000000000013</v>
      </c>
      <c r="CV105" s="14">
        <f t="shared" si="95"/>
        <v>54.429915463097601</v>
      </c>
      <c r="CW105" s="22">
        <f t="shared" si="67"/>
        <v>480.49085276489518</v>
      </c>
      <c r="CX105" s="62">
        <f t="shared" si="68"/>
        <v>761.67288226413166</v>
      </c>
      <c r="CY105" s="62">
        <f ca="1">AVERAGE(OFFSET($CX$3,0,0,'Données projet'!$E$13+1,1))-AVERAGE(OFFSET($H$3,0,0,'Données projet'!$E$13+1,1))</f>
        <v>369.04754428478793</v>
      </c>
      <c r="CZ105" s="62">
        <f t="shared" si="96"/>
        <v>277.00523259351712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1.1368683772161603E-13</v>
      </c>
      <c r="DP105" s="18">
        <f>DO105*VLOOKUP('Données projet'!$B$14,Paramètres!$A$1:$I$89,3,0)*VLOOKUP('Données projet'!$B$14,Paramètres!$A$1:$I$89,5,0)</f>
        <v>8.8675733422860506E-14</v>
      </c>
      <c r="DQ105" s="14">
        <f t="shared" si="97"/>
        <v>1.3509285393066301E-12</v>
      </c>
      <c r="DR105" s="22">
        <f t="shared" si="70"/>
        <v>2.5073107750038623E-12</v>
      </c>
      <c r="DS105" s="62">
        <f t="shared" si="71"/>
        <v>281.18202949923904</v>
      </c>
      <c r="DT105" s="62">
        <f ca="1">AVERAGE(OFFSET($DS$3,0,0,'Données projet'!$E$14+1,1))-AVERAGE(OFFSET($H$3,0,0,'Données projet'!$E$14+1,1))</f>
        <v>308.39181291575227</v>
      </c>
      <c r="DU105" s="62">
        <f t="shared" si="98"/>
        <v>298.58225298824334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4.4000000000000004</v>
      </c>
      <c r="EJ105" s="13">
        <f>IF('Données projet'!$A$192&gt;35,EJ104+EI105-ER104,IF(A105&lt;'Données projet'!$A$192,$EG$205^A105,IF(A105='Données projet'!$A$192,'Données projet'!$B$192,EJ104+EI105-ER104)))</f>
        <v>269.79999999999978</v>
      </c>
      <c r="EK105" s="18">
        <f>EJ105*VLOOKUP('Données projet'!$B$15,Paramètres!$A$1:$I$89,3,0)*VLOOKUP('Données projet'!$B$15,Paramètres!$A$1:$I$89,5,0)</f>
        <v>260.95055999999983</v>
      </c>
      <c r="EL105" s="14">
        <f t="shared" si="99"/>
        <v>62.924955880176938</v>
      </c>
      <c r="EM105" s="22">
        <f t="shared" si="73"/>
        <v>564.08319015797451</v>
      </c>
      <c r="EN105" s="62">
        <f t="shared" si="74"/>
        <v>845.26521965721099</v>
      </c>
      <c r="EO105" s="62">
        <f ca="1">AVERAGE(OFFSET($EN$3,0,0,'Données projet'!$E$15+1,1))-AVERAGE(OFFSET($H$3,0,0,'Données projet'!$E$15+1,1))</f>
        <v>487.76433095707876</v>
      </c>
      <c r="EP105" s="62">
        <f t="shared" si="100"/>
        <v>276.24209151398361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4.4000000000000004</v>
      </c>
      <c r="FE105" s="13">
        <f>IF('Données projet'!$A$218&gt;35,FE104+FD105-FM104,IF(A105&lt;'Données projet'!$A$218,$FB$205^A105,IF(A105='Données projet'!$A$218,'Données projet'!$B$218,FE104+FD105-FM104)))</f>
        <v>269.79999999999978</v>
      </c>
      <c r="FF105" s="18">
        <f>FE105*VLOOKUP('Données projet'!$B$16,Paramètres!$A$1:$I$89,3,0)*VLOOKUP('Données projet'!$B$16,Paramètres!$A$1:$I$89,5,0)</f>
        <v>290.41271999999975</v>
      </c>
      <c r="FG105" s="14">
        <f t="shared" si="101"/>
        <v>69.162817905044719</v>
      </c>
      <c r="FH105" s="22">
        <f t="shared" si="76"/>
        <v>626.26072851795254</v>
      </c>
      <c r="FI105" s="62">
        <f t="shared" si="77"/>
        <v>907.44275801718913</v>
      </c>
      <c r="FJ105" s="62">
        <f ca="1">AVERAGE(OFFSET($FI$3,0,0,'Données projet'!$E$16+1,1))-AVERAGE(OFFSET($H$3,0,0,'Données projet'!$E$16+1,1))</f>
        <v>534.33392288300456</v>
      </c>
      <c r="FK105" s="62">
        <f t="shared" si="102"/>
        <v>300.93109615735477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3.0769230769230718</v>
      </c>
      <c r="FZ105" s="13">
        <f>IF('Données projet'!$A$244&gt;35,FZ104+FY105-GH104,IF(A105&lt;'Données projet'!$A$244,$FW$205^A105,IF(A105='Données projet'!$A$244,'Données projet'!$B$244,FZ104+FY105-GH104)))</f>
        <v>271.53846153846132</v>
      </c>
      <c r="GA105" s="18">
        <f>FZ105*VLOOKUP('Données projet'!$B$17,Paramètres!$A$1:$I$89,3,0)*VLOOKUP('Données projet'!$B$17,Paramètres!$A$1:$I$89,5,0)</f>
        <v>182.14799999999985</v>
      </c>
      <c r="GB105" s="14">
        <f t="shared" si="103"/>
        <v>45.799746152234718</v>
      </c>
      <c r="GC105" s="22">
        <f t="shared" si="79"/>
        <v>397.0089912151418</v>
      </c>
      <c r="GD105" s="62">
        <f t="shared" si="80"/>
        <v>678.19102071437828</v>
      </c>
      <c r="GE105" s="62">
        <f ca="1">AVERAGE(OFFSET($GD$3,0,0,'Données projet'!$E$17+1,1))-AVERAGE(OFFSET($H$3,0,0,'Données projet'!$E$17+1,1))</f>
        <v>316.17772895535211</v>
      </c>
      <c r="GF105" s="62">
        <f t="shared" si="104"/>
        <v>251.94445589652992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66.686008045246325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3.95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14.483333333333334</v>
      </c>
      <c r="H106" s="70">
        <f t="shared" si="56"/>
        <v>198.73333333333335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5.2</v>
      </c>
      <c r="N106" s="14">
        <f>IF('Données projet'!$A$36&gt;35,N105+M106-V105,IF(A106&lt;'Données projet'!$A$36,$K$205^A106,IF(A106='Données projet'!$A$36,'Données projet'!$B$36,N105+M106-V105)))</f>
        <v>321.59999999999985</v>
      </c>
      <c r="O106" s="14">
        <f>N106*VLOOKUP('Données projet'!$B$9,Paramètres!$A$1:$I$89,3,0)*VLOOKUP('Données projet'!$B$9,Paramètres!$A$1:$I$89,5,0)</f>
        <v>270.91583999999989</v>
      </c>
      <c r="P106" s="14">
        <f t="shared" si="87"/>
        <v>65.043595328112488</v>
      </c>
      <c r="Q106" s="22">
        <f t="shared" si="107"/>
        <v>585.12934986312905</v>
      </c>
      <c r="R106" s="62">
        <f t="shared" si="55"/>
        <v>866.52217731764154</v>
      </c>
      <c r="S106" s="62">
        <f ca="1">AVERAGE(OFFSET($R$3,0,0,'Données projet'!$E$9+1,1))-AVERAGE(OFFSET($H$3,0,0,'Données projet'!$E$9+1,1))</f>
        <v>508.93703669150443</v>
      </c>
      <c r="T106" s="62">
        <f t="shared" si="88"/>
        <v>277.04920840696707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4.4000000000000004</v>
      </c>
      <c r="AI106" s="14">
        <f>IF('Données projet'!$A$62&gt;35,AI105+AH106-AQ105,IF(A106&lt;'Données projet'!$A$62,$AF$205^A106,IF(A106='Données projet'!$A$62,'Données projet'!$B$62,AI105+AH106-AQ105)))</f>
        <v>274.19999999999976</v>
      </c>
      <c r="AJ106" s="14">
        <f>AI106*VLOOKUP('Données projet'!$B$10,Paramètres!$A$1:$I$89,3,0)*VLOOKUP('Données projet'!$B$10,Paramètres!$A$1:$I$89,5,0)</f>
        <v>248.0961599999998</v>
      </c>
      <c r="AK106" s="14">
        <f t="shared" si="89"/>
        <v>60.178080967364686</v>
      </c>
      <c r="AL106" s="22">
        <f t="shared" si="58"/>
        <v>536.91096968482657</v>
      </c>
      <c r="AM106" s="62">
        <f t="shared" si="59"/>
        <v>818.30379713933917</v>
      </c>
      <c r="AN106" s="62">
        <f ca="1">AVERAGE(OFFSET($AM$3,0,0,'Données projet'!$E$10+1,1))-AVERAGE(OFFSET($H$3,0,0,'Données projet'!$E$10+1,1))</f>
        <v>461.10503306101145</v>
      </c>
      <c r="AO106" s="62">
        <f t="shared" si="90"/>
        <v>262.10652147273288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-2.2737367544323206E-13</v>
      </c>
      <c r="BE106" s="14">
        <f>BD106*VLOOKUP('Données projet'!$B$11,Paramètres!$A$1:$I$89,3,0)*VLOOKUP('Données projet'!$B$11,Paramètres!$A$1:$I$89,5,0)</f>
        <v>-1.8089849618263545E-13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389.67854939311752</v>
      </c>
      <c r="BJ106" s="62">
        <f t="shared" si="92"/>
        <v>420.05189970516096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>
        <f>VLOOKUP(A106,'Données projet'!$A$113:$I$133,2,0)</f>
        <v>158.65</v>
      </c>
      <c r="BW106" s="13">
        <f>VLOOKUP(A106,'Données projet'!$A$113:$I$133,9,0)</f>
        <v>2.7833333333333314</v>
      </c>
      <c r="BX106" s="13">
        <f t="array" ref="BX106">INDEX(BW:BW,MIN(IF(ISNUMBER(BW106:BW302),ROW(BW106:BW302),"")))</f>
        <v>2.7833333333333314</v>
      </c>
      <c r="BY106" s="13">
        <f>IF('Données projet'!$A$114&gt;35,BY105+BX106-CG105,IF(A106&lt;'Données projet'!$A$114,$BV$205^A106,IF(A106='Données projet'!$A$114,'Données projet'!$B$114,BY105+BX106-CG105)))</f>
        <v>158.64999999999895</v>
      </c>
      <c r="BZ106" s="14">
        <f>BY106*VLOOKUP('Données projet'!$B$12,Paramètres!$A$1:$I$89,3,0)*VLOOKUP('Données projet'!$B$12,Paramètres!$A$1:$I$89,5,0)</f>
        <v>90.747799999999415</v>
      </c>
      <c r="CA106" s="14">
        <f t="shared" si="93"/>
        <v>24.745489401584326</v>
      </c>
      <c r="CB106" s="22">
        <f t="shared" si="64"/>
        <v>201.15081237442499</v>
      </c>
      <c r="CC106" s="62">
        <f t="shared" si="65"/>
        <v>482.54363982893756</v>
      </c>
      <c r="CD106" s="62">
        <f ca="1">AVERAGE(OFFSET($CC$3,0,0,'Données projet'!$E$12+1,1))-AVERAGE(OFFSET($H$3,0,0,'Données projet'!$E$12+1,1))</f>
        <v>312.16891625633968</v>
      </c>
      <c r="CE106" s="62">
        <f t="shared" si="94"/>
        <v>215.34305815516177</v>
      </c>
      <c r="CF106" s="16">
        <f>IF(ISNA(VLOOKUP(A106,'Données projet'!$A$113:$I$133,3,0)),0,VLOOKUP(A106,'Données projet'!$A$113:$I$133,3,0))</f>
        <v>11</v>
      </c>
      <c r="CG106" s="16">
        <f>IF(ISNA(VLOOKUP(A106,'Données projet'!$A$113:$I$133,4,0)),0,VLOOKUP(A106,'Données projet'!$A$113:$I$133,4,0))</f>
        <v>158.65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1.5871429548805429</v>
      </c>
      <c r="CM106" s="23">
        <f>EXP(-LN(2)/2)*CM105+(1-EXP(-LN(2)/2))/(LN(2)/2)*CG106*CJ106*VLOOKUP('Données projet'!$B$12,Paramètres!$A$1:$I$89,3,0)*0.475*44/12</f>
        <v>8.3836734494474967E-11</v>
      </c>
      <c r="CN106" s="24">
        <f t="shared" si="66"/>
        <v>1.5871429549643796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3.5256410256410278</v>
      </c>
      <c r="CT106" s="13">
        <f>IF('Données projet'!$A$140&gt;35,CT105+CS106-DB105,IF(A106&lt;'Données projet'!$A$140,$CQ$205^A106,IF(A106='Données projet'!$A$140,'Données projet'!$B$140,CT105+CS106-DB105)))</f>
        <v>333.65384615384636</v>
      </c>
      <c r="CU106" s="18">
        <f>CT106*VLOOKUP('Données projet'!$B$13,Paramètres!$A$1:$I$89,3,0)*VLOOKUP('Données projet'!$B$13,Paramètres!$A$1:$I$89,5,0)</f>
        <v>223.81500000000014</v>
      </c>
      <c r="CV106" s="14">
        <f t="shared" si="95"/>
        <v>54.943225638902341</v>
      </c>
      <c r="CW106" s="22">
        <f t="shared" si="67"/>
        <v>485.50390965442176</v>
      </c>
      <c r="CX106" s="62">
        <f t="shared" si="68"/>
        <v>766.8967371089343</v>
      </c>
      <c r="CY106" s="62">
        <f ca="1">AVERAGE(OFFSET($CX$3,0,0,'Données projet'!$E$13+1,1))-AVERAGE(OFFSET($H$3,0,0,'Données projet'!$E$13+1,1))</f>
        <v>369.04754428478793</v>
      </c>
      <c r="CZ106" s="62">
        <f t="shared" si="96"/>
        <v>277.00523259351712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1.1368683772161603E-13</v>
      </c>
      <c r="DP106" s="18">
        <f>DO106*VLOOKUP('Données projet'!$B$14,Paramètres!$A$1:$I$89,3,0)*VLOOKUP('Données projet'!$B$14,Paramètres!$A$1:$I$89,5,0)</f>
        <v>8.8675733422860506E-14</v>
      </c>
      <c r="DQ106" s="14">
        <f t="shared" si="97"/>
        <v>1.3509285393066301E-12</v>
      </c>
      <c r="DR106" s="22">
        <f t="shared" si="70"/>
        <v>2.5073107750038623E-12</v>
      </c>
      <c r="DS106" s="62">
        <f t="shared" si="71"/>
        <v>281.39282745451504</v>
      </c>
      <c r="DT106" s="62">
        <f ca="1">AVERAGE(OFFSET($DS$3,0,0,'Données projet'!$E$14+1,1))-AVERAGE(OFFSET($H$3,0,0,'Données projet'!$E$14+1,1))</f>
        <v>308.39181291575227</v>
      </c>
      <c r="DU106" s="62">
        <f t="shared" si="98"/>
        <v>298.58225298824334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4.4000000000000004</v>
      </c>
      <c r="EJ106" s="13">
        <f>IF('Données projet'!$A$192&gt;35,EJ105+EI106-ER105,IF(A106&lt;'Données projet'!$A$192,$EG$205^A106,IF(A106='Données projet'!$A$192,'Données projet'!$B$192,EJ105+EI106-ER105)))</f>
        <v>274.19999999999976</v>
      </c>
      <c r="EK106" s="18">
        <f>EJ106*VLOOKUP('Données projet'!$B$15,Paramètres!$A$1:$I$89,3,0)*VLOOKUP('Données projet'!$B$15,Paramètres!$A$1:$I$89,5,0)</f>
        <v>265.20623999999975</v>
      </c>
      <c r="EL106" s="14">
        <f t="shared" si="99"/>
        <v>63.830854160896386</v>
      </c>
      <c r="EM106" s="22">
        <f t="shared" si="73"/>
        <v>573.07293899689409</v>
      </c>
      <c r="EN106" s="62">
        <f t="shared" si="74"/>
        <v>854.46576645140658</v>
      </c>
      <c r="EO106" s="62">
        <f ca="1">AVERAGE(OFFSET($EN$3,0,0,'Données projet'!$E$15+1,1))-AVERAGE(OFFSET($H$3,0,0,'Données projet'!$E$15+1,1))</f>
        <v>487.76433095707876</v>
      </c>
      <c r="EP106" s="62">
        <f t="shared" si="100"/>
        <v>276.24209151398361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4.4000000000000004</v>
      </c>
      <c r="FE106" s="13">
        <f>IF('Données projet'!$A$218&gt;35,FE105+FD106-FM105,IF(A106&lt;'Données projet'!$A$218,$FB$205^A106,IF(A106='Données projet'!$A$218,'Données projet'!$B$218,FE105+FD106-FM105)))</f>
        <v>274.19999999999976</v>
      </c>
      <c r="FF106" s="18">
        <f>FE106*VLOOKUP('Données projet'!$B$16,Paramètres!$A$1:$I$89,3,0)*VLOOKUP('Données projet'!$B$16,Paramètres!$A$1:$I$89,5,0)</f>
        <v>295.14887999999974</v>
      </c>
      <c r="FG106" s="14">
        <f t="shared" si="101"/>
        <v>70.158519482479349</v>
      </c>
      <c r="FH106" s="22">
        <f t="shared" si="76"/>
        <v>636.24372076531768</v>
      </c>
      <c r="FI106" s="62">
        <f t="shared" si="77"/>
        <v>917.63654821983027</v>
      </c>
      <c r="FJ106" s="62">
        <f ca="1">AVERAGE(OFFSET($FI$3,0,0,'Données projet'!$E$16+1,1))-AVERAGE(OFFSET($H$3,0,0,'Données projet'!$E$16+1,1))</f>
        <v>534.33392288300456</v>
      </c>
      <c r="FK106" s="62">
        <f t="shared" si="102"/>
        <v>300.93109615735477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3.0769230769230718</v>
      </c>
      <c r="FZ106" s="13">
        <f>IF('Données projet'!$A$244&gt;35,FZ105+FY106-GH105,IF(A106&lt;'Données projet'!$A$244,$FW$205^A106,IF(A106='Données projet'!$A$244,'Données projet'!$B$244,FZ105+FY106-GH105)))</f>
        <v>274.61538461538441</v>
      </c>
      <c r="GA106" s="18">
        <f>FZ106*VLOOKUP('Données projet'!$B$17,Paramètres!$A$1:$I$89,3,0)*VLOOKUP('Données projet'!$B$17,Paramètres!$A$1:$I$89,5,0)</f>
        <v>184.21199999999985</v>
      </c>
      <c r="GB106" s="14">
        <f t="shared" si="103"/>
        <v>46.258013335169039</v>
      </c>
      <c r="GC106" s="22">
        <f t="shared" si="79"/>
        <v>401.40193989208575</v>
      </c>
      <c r="GD106" s="62">
        <f t="shared" si="80"/>
        <v>682.79476734659829</v>
      </c>
      <c r="GE106" s="62">
        <f ca="1">AVERAGE(OFFSET($GD$3,0,0,'Données projet'!$E$17+1,1))-AVERAGE(OFFSET($H$3,0,0,'Données projet'!$E$17+1,1))</f>
        <v>316.17772895535211</v>
      </c>
      <c r="GF106" s="62">
        <f t="shared" si="104"/>
        <v>251.94445589652992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66.74349839668524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3.95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14.483333333333334</v>
      </c>
      <c r="H107" s="70">
        <f t="shared" si="56"/>
        <v>198.73333333333335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5.2</v>
      </c>
      <c r="N107" s="14">
        <f>IF('Données projet'!$A$36&gt;35,N106+M107-V106,IF(A107&lt;'Données projet'!$A$36,$K$205^A107,IF(A107='Données projet'!$A$36,'Données projet'!$B$36,N106+M107-V106)))</f>
        <v>326.79999999999984</v>
      </c>
      <c r="O107" s="14">
        <f>N107*VLOOKUP('Données projet'!$B$9,Paramètres!$A$1:$I$89,3,0)*VLOOKUP('Données projet'!$B$9,Paramètres!$A$1:$I$89,5,0)</f>
        <v>275.29631999999987</v>
      </c>
      <c r="P107" s="14">
        <f t="shared" si="87"/>
        <v>65.972008102689301</v>
      </c>
      <c r="Q107" s="22">
        <f t="shared" si="107"/>
        <v>594.3756714455169</v>
      </c>
      <c r="R107" s="62">
        <f t="shared" si="55"/>
        <v>875.9756399820551</v>
      </c>
      <c r="S107" s="62">
        <f ca="1">AVERAGE(OFFSET($R$3,0,0,'Données projet'!$E$9+1,1))-AVERAGE(OFFSET($H$3,0,0,'Données projet'!$E$9+1,1))</f>
        <v>508.93703669150443</v>
      </c>
      <c r="T107" s="62">
        <f t="shared" si="88"/>
        <v>277.04920840696707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4.4000000000000004</v>
      </c>
      <c r="AI107" s="14">
        <f>IF('Données projet'!$A$62&gt;35,AI106+AH107-AQ106,IF(A107&lt;'Données projet'!$A$62,$AF$205^A107,IF(A107='Données projet'!$A$62,'Données projet'!$B$62,AI106+AH107-AQ106)))</f>
        <v>278.59999999999974</v>
      </c>
      <c r="AJ107" s="14">
        <f>AI107*VLOOKUP('Données projet'!$B$10,Paramètres!$A$1:$I$89,3,0)*VLOOKUP('Données projet'!$B$10,Paramètres!$A$1:$I$89,5,0)</f>
        <v>252.07727999999975</v>
      </c>
      <c r="AK107" s="14">
        <f t="shared" si="89"/>
        <v>61.03054465215493</v>
      </c>
      <c r="AL107" s="22">
        <f t="shared" si="58"/>
        <v>545.32946126916943</v>
      </c>
      <c r="AM107" s="62">
        <f t="shared" si="59"/>
        <v>826.92942980570751</v>
      </c>
      <c r="AN107" s="62">
        <f ca="1">AVERAGE(OFFSET($AM$3,0,0,'Données projet'!$E$10+1,1))-AVERAGE(OFFSET($H$3,0,0,'Données projet'!$E$10+1,1))</f>
        <v>461.10503306101145</v>
      </c>
      <c r="AO107" s="62">
        <f t="shared" si="90"/>
        <v>262.10652147273288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-2.2737367544323206E-13</v>
      </c>
      <c r="BE107" s="14">
        <f>BD107*VLOOKUP('Données projet'!$B$11,Paramètres!$A$1:$I$89,3,0)*VLOOKUP('Données projet'!$B$11,Paramètres!$A$1:$I$89,5,0)</f>
        <v>-1.8089849618263545E-13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389.67854939311752</v>
      </c>
      <c r="BJ107" s="62">
        <f t="shared" si="92"/>
        <v>420.05189970516096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-1.0516032489249483E-12</v>
      </c>
      <c r="BZ107" s="14">
        <f>BY107*VLOOKUP('Données projet'!$B$12,Paramètres!$A$1:$I$89,3,0)*VLOOKUP('Données projet'!$B$12,Paramètres!$A$1:$I$89,5,0)</f>
        <v>-6.0151705838507046E-13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312.16891625633968</v>
      </c>
      <c r="CE107" s="62">
        <f t="shared" si="94"/>
        <v>215.34305815516177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1.543742447315114</v>
      </c>
      <c r="CM107" s="23">
        <f>EXP(-LN(2)/2)*CM106+(1-EXP(-LN(2)/2))/(LN(2)/2)*CG107*CJ107*VLOOKUP('Données projet'!$B$12,Paramètres!$A$1:$I$89,3,0)*0.475*44/12</f>
        <v>5.9281523473579391E-11</v>
      </c>
      <c r="CN107" s="24">
        <f t="shared" si="66"/>
        <v>1.5437424473743955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3.5256410256410278</v>
      </c>
      <c r="CT107" s="13">
        <f>IF('Données projet'!$A$140&gt;35,CT106+CS107-DB106,IF(A107&lt;'Données projet'!$A$140,$CQ$205^A107,IF(A107='Données projet'!$A$140,'Données projet'!$B$140,CT106+CS107-DB106)))</f>
        <v>337.17948717948741</v>
      </c>
      <c r="CU107" s="18">
        <f>CT107*VLOOKUP('Données projet'!$B$13,Paramètres!$A$1:$I$89,3,0)*VLOOKUP('Données projet'!$B$13,Paramètres!$A$1:$I$89,5,0)</f>
        <v>226.18000000000018</v>
      </c>
      <c r="CV107" s="14">
        <f t="shared" si="95"/>
        <v>55.455904833681558</v>
      </c>
      <c r="CW107" s="22">
        <f t="shared" si="67"/>
        <v>490.51586758532886</v>
      </c>
      <c r="CX107" s="62">
        <f t="shared" si="68"/>
        <v>772.11583612186701</v>
      </c>
      <c r="CY107" s="62">
        <f ca="1">AVERAGE(OFFSET($CX$3,0,0,'Données projet'!$E$13+1,1))-AVERAGE(OFFSET($H$3,0,0,'Données projet'!$E$13+1,1))</f>
        <v>369.04754428478793</v>
      </c>
      <c r="CZ107" s="62">
        <f t="shared" si="96"/>
        <v>277.00523259351712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1.1368683772161603E-13</v>
      </c>
      <c r="DP107" s="18">
        <f>DO107*VLOOKUP('Données projet'!$B$14,Paramètres!$A$1:$I$89,3,0)*VLOOKUP('Données projet'!$B$14,Paramètres!$A$1:$I$89,5,0)</f>
        <v>8.8675733422860506E-14</v>
      </c>
      <c r="DQ107" s="14">
        <f t="shared" si="97"/>
        <v>1.3509285393066301E-12</v>
      </c>
      <c r="DR107" s="22">
        <f t="shared" si="70"/>
        <v>2.5073107750038623E-12</v>
      </c>
      <c r="DS107" s="62">
        <f t="shared" si="71"/>
        <v>281.59996853654064</v>
      </c>
      <c r="DT107" s="62">
        <f ca="1">AVERAGE(OFFSET($DS$3,0,0,'Données projet'!$E$14+1,1))-AVERAGE(OFFSET($H$3,0,0,'Données projet'!$E$14+1,1))</f>
        <v>308.39181291575227</v>
      </c>
      <c r="DU107" s="62">
        <f t="shared" si="98"/>
        <v>298.58225298824334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4.4000000000000004</v>
      </c>
      <c r="EJ107" s="13">
        <f>IF('Données projet'!$A$192&gt;35,EJ106+EI107-ER106,IF(A107&lt;'Données projet'!$A$192,$EG$205^A107,IF(A107='Données projet'!$A$192,'Données projet'!$B$192,EJ106+EI107-ER106)))</f>
        <v>278.59999999999974</v>
      </c>
      <c r="EK107" s="18">
        <f>EJ107*VLOOKUP('Données projet'!$B$15,Paramètres!$A$1:$I$89,3,0)*VLOOKUP('Données projet'!$B$15,Paramètres!$A$1:$I$89,5,0)</f>
        <v>269.46191999999974</v>
      </c>
      <c r="EL107" s="14">
        <f t="shared" si="99"/>
        <v>64.735061876839055</v>
      </c>
      <c r="EM107" s="22">
        <f t="shared" si="73"/>
        <v>582.05974343549417</v>
      </c>
      <c r="EN107" s="62">
        <f t="shared" si="74"/>
        <v>863.65971197203226</v>
      </c>
      <c r="EO107" s="62">
        <f ca="1">AVERAGE(OFFSET($EN$3,0,0,'Données projet'!$E$15+1,1))-AVERAGE(OFFSET($H$3,0,0,'Données projet'!$E$15+1,1))</f>
        <v>487.76433095707876</v>
      </c>
      <c r="EP107" s="62">
        <f t="shared" si="100"/>
        <v>276.24209151398361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4.4000000000000004</v>
      </c>
      <c r="FE107" s="13">
        <f>IF('Données projet'!$A$218&gt;35,FE106+FD107-FM106,IF(A107&lt;'Données projet'!$A$218,$FB$205^A107,IF(A107='Données projet'!$A$218,'Données projet'!$B$218,FE106+FD107-FM106)))</f>
        <v>278.59999999999974</v>
      </c>
      <c r="FF107" s="18">
        <f>FE107*VLOOKUP('Données projet'!$B$16,Paramètres!$A$1:$I$89,3,0)*VLOOKUP('Données projet'!$B$16,Paramètres!$A$1:$I$89,5,0)</f>
        <v>299.88503999999972</v>
      </c>
      <c r="FG107" s="14">
        <f t="shared" si="101"/>
        <v>71.152362906464575</v>
      </c>
      <c r="FH107" s="22">
        <f t="shared" si="76"/>
        <v>646.22347672875867</v>
      </c>
      <c r="FI107" s="62">
        <f t="shared" si="77"/>
        <v>927.82344526529687</v>
      </c>
      <c r="FJ107" s="62">
        <f ca="1">AVERAGE(OFFSET($FI$3,0,0,'Données projet'!$E$16+1,1))-AVERAGE(OFFSET($H$3,0,0,'Données projet'!$E$16+1,1))</f>
        <v>534.33392288300456</v>
      </c>
      <c r="FK107" s="62">
        <f t="shared" si="102"/>
        <v>300.93109615735477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3.0769230769230718</v>
      </c>
      <c r="FZ107" s="13">
        <f>IF('Données projet'!$A$244&gt;35,FZ106+FY107-GH106,IF(A107&lt;'Données projet'!$A$244,$FW$205^A107,IF(A107='Données projet'!$A$244,'Données projet'!$B$244,FZ106+FY107-GH106)))</f>
        <v>277.69230769230751</v>
      </c>
      <c r="GA107" s="18">
        <f>FZ107*VLOOKUP('Données projet'!$B$17,Paramètres!$A$1:$I$89,3,0)*VLOOKUP('Données projet'!$B$17,Paramètres!$A$1:$I$89,5,0)</f>
        <v>186.2759999999999</v>
      </c>
      <c r="GB107" s="14">
        <f t="shared" si="103"/>
        <v>46.715683221630229</v>
      </c>
      <c r="GC107" s="22">
        <f t="shared" si="79"/>
        <v>405.79384827767245</v>
      </c>
      <c r="GD107" s="62">
        <f t="shared" si="80"/>
        <v>687.3938168142106</v>
      </c>
      <c r="GE107" s="62">
        <f ca="1">AVERAGE(OFFSET($GD$3,0,0,'Données projet'!$E$17+1,1))-AVERAGE(OFFSET($H$3,0,0,'Données projet'!$E$17+1,1))</f>
        <v>316.17772895535211</v>
      </c>
      <c r="GF107" s="62">
        <f t="shared" si="104"/>
        <v>251.94445589652992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66.799991419055857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3.95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14.483333333333334</v>
      </c>
      <c r="H108" s="70">
        <f t="shared" si="56"/>
        <v>198.73333333333335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5.2</v>
      </c>
      <c r="N108" s="14">
        <f>IF('Données projet'!$A$36&gt;35,N107+M108-V107,IF(A108&lt;'Données projet'!$A$36,$K$205^A108,IF(A108='Données projet'!$A$36,'Données projet'!$B$36,N107+M108-V107)))</f>
        <v>331.99999999999983</v>
      </c>
      <c r="O108" s="14">
        <f>N108*VLOOKUP('Données projet'!$B$9,Paramètres!$A$1:$I$89,3,0)*VLOOKUP('Données projet'!$B$9,Paramètres!$A$1:$I$89,5,0)</f>
        <v>279.6767999999999</v>
      </c>
      <c r="P108" s="14">
        <f t="shared" si="87"/>
        <v>66.898702839783041</v>
      </c>
      <c r="Q108" s="22">
        <f t="shared" si="107"/>
        <v>603.61900077928851</v>
      </c>
      <c r="R108" s="62">
        <f t="shared" si="55"/>
        <v>885.42251696317726</v>
      </c>
      <c r="S108" s="62">
        <f ca="1">AVERAGE(OFFSET($R$3,0,0,'Données projet'!$E$9+1,1))-AVERAGE(OFFSET($H$3,0,0,'Données projet'!$E$9+1,1))</f>
        <v>508.93703669150443</v>
      </c>
      <c r="T108" s="62">
        <f t="shared" si="88"/>
        <v>277.04920840696707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4.4000000000000004</v>
      </c>
      <c r="AI108" s="14">
        <f>IF('Données projet'!$A$62&gt;35,AI107+AH108-AQ107,IF(A108&lt;'Données projet'!$A$62,$AF$205^A108,IF(A108='Données projet'!$A$62,'Données projet'!$B$62,AI107+AH108-AQ107)))</f>
        <v>282.99999999999972</v>
      </c>
      <c r="AJ108" s="14">
        <f>AI108*VLOOKUP('Données projet'!$B$10,Paramètres!$A$1:$I$89,3,0)*VLOOKUP('Données projet'!$B$10,Paramètres!$A$1:$I$89,5,0)</f>
        <v>256.05839999999972</v>
      </c>
      <c r="AK108" s="14">
        <f t="shared" si="89"/>
        <v>61.881442594256434</v>
      </c>
      <c r="AL108" s="22">
        <f t="shared" si="58"/>
        <v>553.74522585166278</v>
      </c>
      <c r="AM108" s="62">
        <f t="shared" si="59"/>
        <v>835.54874203555141</v>
      </c>
      <c r="AN108" s="62">
        <f ca="1">AVERAGE(OFFSET($AM$3,0,0,'Données projet'!$E$10+1,1))-AVERAGE(OFFSET($H$3,0,0,'Données projet'!$E$10+1,1))</f>
        <v>461.10503306101145</v>
      </c>
      <c r="AO108" s="62">
        <f t="shared" si="90"/>
        <v>262.10652147273288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-2.2737367544323206E-13</v>
      </c>
      <c r="BE108" s="14">
        <f>BD108*VLOOKUP('Données projet'!$B$11,Paramètres!$A$1:$I$89,3,0)*VLOOKUP('Données projet'!$B$11,Paramètres!$A$1:$I$89,5,0)</f>
        <v>-1.8089849618263545E-13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389.67854939311752</v>
      </c>
      <c r="BJ108" s="62">
        <f t="shared" si="92"/>
        <v>420.05189970516096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-1.0516032489249483E-12</v>
      </c>
      <c r="BZ108" s="14">
        <f>BY108*VLOOKUP('Données projet'!$B$12,Paramètres!$A$1:$I$89,3,0)*VLOOKUP('Données projet'!$B$12,Paramètres!$A$1:$I$89,5,0)</f>
        <v>-6.0151705838507046E-13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312.16891625633968</v>
      </c>
      <c r="CE108" s="62">
        <f t="shared" si="94"/>
        <v>215.34305815516177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1.5015287289113952</v>
      </c>
      <c r="CM108" s="23">
        <f>EXP(-LN(2)/2)*CM107+(1-EXP(-LN(2)/2))/(LN(2)/2)*CG108*CJ108*VLOOKUP('Données projet'!$B$12,Paramètres!$A$1:$I$89,3,0)*0.475*44/12</f>
        <v>4.1918367247237483E-11</v>
      </c>
      <c r="CN108" s="24">
        <f t="shared" si="66"/>
        <v>1.5015287289533137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3.5256410256410278</v>
      </c>
      <c r="CT108" s="13">
        <f>IF('Données projet'!$A$140&gt;35,CT107+CS108-DB107,IF(A108&lt;'Données projet'!$A$140,$CQ$205^A108,IF(A108='Données projet'!$A$140,'Données projet'!$B$140,CT107+CS108-DB107)))</f>
        <v>340.70512820512846</v>
      </c>
      <c r="CU108" s="18">
        <f>CT108*VLOOKUP('Données projet'!$B$13,Paramètres!$A$1:$I$89,3,0)*VLOOKUP('Données projet'!$B$13,Paramètres!$A$1:$I$89,5,0)</f>
        <v>228.54500000000016</v>
      </c>
      <c r="CV108" s="14">
        <f t="shared" si="95"/>
        <v>55.967960408907913</v>
      </c>
      <c r="CW108" s="22">
        <f t="shared" si="67"/>
        <v>495.52673937884811</v>
      </c>
      <c r="CX108" s="62">
        <f t="shared" si="68"/>
        <v>777.33025556273674</v>
      </c>
      <c r="CY108" s="62">
        <f ca="1">AVERAGE(OFFSET($CX$3,0,0,'Données projet'!$E$13+1,1))-AVERAGE(OFFSET($H$3,0,0,'Données projet'!$E$13+1,1))</f>
        <v>369.04754428478793</v>
      </c>
      <c r="CZ108" s="62">
        <f t="shared" si="96"/>
        <v>277.00523259351712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1.1368683772161603E-13</v>
      </c>
      <c r="DP108" s="18">
        <f>DO108*VLOOKUP('Données projet'!$B$14,Paramètres!$A$1:$I$89,3,0)*VLOOKUP('Données projet'!$B$14,Paramètres!$A$1:$I$89,5,0)</f>
        <v>8.8675733422860506E-14</v>
      </c>
      <c r="DQ108" s="14">
        <f t="shared" si="97"/>
        <v>1.3509285393066301E-12</v>
      </c>
      <c r="DR108" s="22">
        <f t="shared" si="70"/>
        <v>2.5073107750038623E-12</v>
      </c>
      <c r="DS108" s="62">
        <f t="shared" si="71"/>
        <v>281.80351618389119</v>
      </c>
      <c r="DT108" s="62">
        <f ca="1">AVERAGE(OFFSET($DS$3,0,0,'Données projet'!$E$14+1,1))-AVERAGE(OFFSET($H$3,0,0,'Données projet'!$E$14+1,1))</f>
        <v>308.39181291575227</v>
      </c>
      <c r="DU108" s="62">
        <f t="shared" si="98"/>
        <v>298.58225298824334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4.4000000000000004</v>
      </c>
      <c r="EJ108" s="13">
        <f>IF('Données projet'!$A$192&gt;35,EJ107+EI108-ER107,IF(A108&lt;'Données projet'!$A$192,$EG$205^A108,IF(A108='Données projet'!$A$192,'Données projet'!$B$192,EJ107+EI108-ER107)))</f>
        <v>282.99999999999972</v>
      </c>
      <c r="EK108" s="18">
        <f>EJ108*VLOOKUP('Données projet'!$B$15,Paramètres!$A$1:$I$89,3,0)*VLOOKUP('Données projet'!$B$15,Paramètres!$A$1:$I$89,5,0)</f>
        <v>273.71759999999972</v>
      </c>
      <c r="EL108" s="14">
        <f t="shared" si="99"/>
        <v>65.637608810456612</v>
      </c>
      <c r="EM108" s="22">
        <f t="shared" si="73"/>
        <v>591.04365534487806</v>
      </c>
      <c r="EN108" s="62">
        <f t="shared" si="74"/>
        <v>872.84717152876669</v>
      </c>
      <c r="EO108" s="62">
        <f ca="1">AVERAGE(OFFSET($EN$3,0,0,'Données projet'!$E$15+1,1))-AVERAGE(OFFSET($H$3,0,0,'Données projet'!$E$15+1,1))</f>
        <v>487.76433095707876</v>
      </c>
      <c r="EP108" s="62">
        <f t="shared" si="100"/>
        <v>276.24209151398361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4.4000000000000004</v>
      </c>
      <c r="FE108" s="13">
        <f>IF('Données projet'!$A$218&gt;35,FE107+FD108-FM107,IF(A108&lt;'Données projet'!$A$218,$FB$205^A108,IF(A108='Données projet'!$A$218,'Données projet'!$B$218,FE107+FD108-FM107)))</f>
        <v>282.99999999999972</v>
      </c>
      <c r="FF108" s="18">
        <f>FE108*VLOOKUP('Données projet'!$B$16,Paramètres!$A$1:$I$89,3,0)*VLOOKUP('Données projet'!$B$16,Paramètres!$A$1:$I$89,5,0)</f>
        <v>304.62119999999965</v>
      </c>
      <c r="FG108" s="14">
        <f t="shared" si="101"/>
        <v>72.144380911839335</v>
      </c>
      <c r="FH108" s="22">
        <f t="shared" si="76"/>
        <v>656.20005342145294</v>
      </c>
      <c r="FI108" s="62">
        <f t="shared" si="77"/>
        <v>938.00356960534168</v>
      </c>
      <c r="FJ108" s="62">
        <f ca="1">AVERAGE(OFFSET($FI$3,0,0,'Données projet'!$E$16+1,1))-AVERAGE(OFFSET($H$3,0,0,'Données projet'!$E$16+1,1))</f>
        <v>534.33392288300456</v>
      </c>
      <c r="FK108" s="62">
        <f t="shared" si="102"/>
        <v>300.93109615735477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>
        <f>VLOOKUP(A108,'Données projet'!$A$243:$I$263,2,0)</f>
        <v>280.76923076923077</v>
      </c>
      <c r="FX108" s="13">
        <f>VLOOKUP(A108,'Données projet'!$A$243:$I$263,9,0)</f>
        <v>3.0769230769230718</v>
      </c>
      <c r="FY108" s="13">
        <f t="array" ref="FY108">INDEX(FX:FX,MIN(IF(ISNUMBER(FX108:FX304),ROW(FX108:FX304),"")))</f>
        <v>3.0769230769230718</v>
      </c>
      <c r="FZ108" s="13">
        <f>IF('Données projet'!$A$244&gt;35,FZ107+FY108-GH107,IF(A108&lt;'Données projet'!$A$244,$FW$205^A108,IF(A108='Données projet'!$A$244,'Données projet'!$B$244,FZ107+FY108-GH107)))</f>
        <v>280.7692307692306</v>
      </c>
      <c r="GA108" s="18">
        <f>FZ108*VLOOKUP('Données projet'!$B$17,Paramètres!$A$1:$I$89,3,0)*VLOOKUP('Données projet'!$B$17,Paramètres!$A$1:$I$89,5,0)</f>
        <v>188.33999999999989</v>
      </c>
      <c r="GB108" s="14">
        <f t="shared" si="103"/>
        <v>47.172763195766144</v>
      </c>
      <c r="GC108" s="22">
        <f t="shared" si="79"/>
        <v>410.18472923262584</v>
      </c>
      <c r="GD108" s="62">
        <f t="shared" si="80"/>
        <v>691.98824541651447</v>
      </c>
      <c r="GE108" s="62">
        <f ca="1">AVERAGE(OFFSET($GD$3,0,0,'Données projet'!$E$17+1,1))-AVERAGE(OFFSET($H$3,0,0,'Données projet'!$E$17+1,1))</f>
        <v>316.17772895535211</v>
      </c>
      <c r="GF108" s="62">
        <f t="shared" si="104"/>
        <v>251.94445589652992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66.855504413787827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3.95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14.483333333333334</v>
      </c>
      <c r="H109" s="70">
        <f t="shared" si="56"/>
        <v>198.73333333333335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5.2</v>
      </c>
      <c r="N109" s="14">
        <f>IF('Données projet'!$A$36&gt;35,N108+M109-V108,IF(A109&lt;'Données projet'!$A$36,$K$205^A109,IF(A109='Données projet'!$A$36,'Données projet'!$B$36,N108+M109-V108)))</f>
        <v>337.19999999999982</v>
      </c>
      <c r="O109" s="14">
        <f>N109*VLOOKUP('Données projet'!$B$9,Paramètres!$A$1:$I$89,3,0)*VLOOKUP('Données projet'!$B$9,Paramètres!$A$1:$I$89,5,0)</f>
        <v>284.05727999999988</v>
      </c>
      <c r="P109" s="14">
        <f t="shared" si="87"/>
        <v>67.823709555728385</v>
      </c>
      <c r="Q109" s="22">
        <f t="shared" si="107"/>
        <v>612.8593901428934</v>
      </c>
      <c r="R109" s="62">
        <f t="shared" si="55"/>
        <v>894.8629228775153</v>
      </c>
      <c r="S109" s="62">
        <f ca="1">AVERAGE(OFFSET($R$3,0,0,'Données projet'!$E$9+1,1))-AVERAGE(OFFSET($H$3,0,0,'Données projet'!$E$9+1,1))</f>
        <v>508.93703669150443</v>
      </c>
      <c r="T109" s="62">
        <f t="shared" si="88"/>
        <v>277.04920840696707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4.4000000000000004</v>
      </c>
      <c r="AI109" s="14">
        <f>IF('Données projet'!$A$62&gt;35,AI108+AH109-AQ108,IF(A109&lt;'Données projet'!$A$62,$AF$205^A109,IF(A109='Données projet'!$A$62,'Données projet'!$B$62,AI108+AH109-AQ108)))</f>
        <v>287.39999999999969</v>
      </c>
      <c r="AJ109" s="14">
        <f>AI109*VLOOKUP('Données projet'!$B$10,Paramètres!$A$1:$I$89,3,0)*VLOOKUP('Données projet'!$B$10,Paramètres!$A$1:$I$89,5,0)</f>
        <v>260.0395199999997</v>
      </c>
      <c r="AK109" s="14">
        <f t="shared" si="89"/>
        <v>62.730801948604821</v>
      </c>
      <c r="AL109" s="22">
        <f t="shared" si="58"/>
        <v>562.15831072715287</v>
      </c>
      <c r="AM109" s="62">
        <f t="shared" si="59"/>
        <v>844.16184346177488</v>
      </c>
      <c r="AN109" s="62">
        <f ca="1">AVERAGE(OFFSET($AM$3,0,0,'Données projet'!$E$10+1,1))-AVERAGE(OFFSET($H$3,0,0,'Données projet'!$E$10+1,1))</f>
        <v>461.10503306101145</v>
      </c>
      <c r="AO109" s="62">
        <f t="shared" si="90"/>
        <v>262.10652147273288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-2.2737367544323206E-13</v>
      </c>
      <c r="BE109" s="14">
        <f>BD109*VLOOKUP('Données projet'!$B$11,Paramètres!$A$1:$I$89,3,0)*VLOOKUP('Données projet'!$B$11,Paramètres!$A$1:$I$89,5,0)</f>
        <v>-1.8089849618263545E-13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389.67854939311752</v>
      </c>
      <c r="BJ109" s="62">
        <f t="shared" si="92"/>
        <v>420.05189970516096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-1.0516032489249483E-12</v>
      </c>
      <c r="BZ109" s="14">
        <f>BY109*VLOOKUP('Données projet'!$B$12,Paramètres!$A$1:$I$89,3,0)*VLOOKUP('Données projet'!$B$12,Paramètres!$A$1:$I$89,5,0)</f>
        <v>-6.0151705838507046E-13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312.16891625633968</v>
      </c>
      <c r="CE109" s="62">
        <f t="shared" si="94"/>
        <v>215.34305815516177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1.4604693468573491</v>
      </c>
      <c r="CM109" s="23">
        <f>EXP(-LN(2)/2)*CM108+(1-EXP(-LN(2)/2))/(LN(2)/2)*CG109*CJ109*VLOOKUP('Données projet'!$B$12,Paramètres!$A$1:$I$89,3,0)*0.475*44/12</f>
        <v>2.9640761736789695E-11</v>
      </c>
      <c r="CN109" s="24">
        <f t="shared" si="66"/>
        <v>1.4604693468869898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3.5256410256410278</v>
      </c>
      <c r="CT109" s="13">
        <f>IF('Données projet'!$A$140&gt;35,CT108+CS109-DB108,IF(A109&lt;'Données projet'!$A$140,$CQ$205^A109,IF(A109='Données projet'!$A$140,'Données projet'!$B$140,CT108+CS109-DB108)))</f>
        <v>344.23076923076951</v>
      </c>
      <c r="CU109" s="18">
        <f>CT109*VLOOKUP('Données projet'!$B$13,Paramètres!$A$1:$I$89,3,0)*VLOOKUP('Données projet'!$B$13,Paramètres!$A$1:$I$89,5,0)</f>
        <v>230.9100000000002</v>
      </c>
      <c r="CV109" s="14">
        <f t="shared" si="95"/>
        <v>56.479399564921678</v>
      </c>
      <c r="CW109" s="22">
        <f t="shared" si="67"/>
        <v>500.53653757557214</v>
      </c>
      <c r="CX109" s="62">
        <f t="shared" si="68"/>
        <v>782.5400703101941</v>
      </c>
      <c r="CY109" s="62">
        <f ca="1">AVERAGE(OFFSET($CX$3,0,0,'Données projet'!$E$13+1,1))-AVERAGE(OFFSET($H$3,0,0,'Données projet'!$E$13+1,1))</f>
        <v>369.04754428478793</v>
      </c>
      <c r="CZ109" s="62">
        <f t="shared" si="96"/>
        <v>277.00523259351712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1.1368683772161603E-13</v>
      </c>
      <c r="DP109" s="18">
        <f>DO109*VLOOKUP('Données projet'!$B$14,Paramètres!$A$1:$I$89,3,0)*VLOOKUP('Données projet'!$B$14,Paramètres!$A$1:$I$89,5,0)</f>
        <v>8.8675733422860506E-14</v>
      </c>
      <c r="DQ109" s="14">
        <f t="shared" si="97"/>
        <v>1.3509285393066301E-12</v>
      </c>
      <c r="DR109" s="22">
        <f t="shared" si="70"/>
        <v>2.5073107750038623E-12</v>
      </c>
      <c r="DS109" s="62">
        <f t="shared" si="71"/>
        <v>282.00353273462446</v>
      </c>
      <c r="DT109" s="62">
        <f ca="1">AVERAGE(OFFSET($DS$3,0,0,'Données projet'!$E$14+1,1))-AVERAGE(OFFSET($H$3,0,0,'Données projet'!$E$14+1,1))</f>
        <v>308.39181291575227</v>
      </c>
      <c r="DU109" s="62">
        <f t="shared" si="98"/>
        <v>298.58225298824334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4.4000000000000004</v>
      </c>
      <c r="EJ109" s="13">
        <f>IF('Données projet'!$A$192&gt;35,EJ108+EI109-ER108,IF(A109&lt;'Données projet'!$A$192,$EG$205^A109,IF(A109='Données projet'!$A$192,'Données projet'!$B$192,EJ108+EI109-ER108)))</f>
        <v>287.39999999999969</v>
      </c>
      <c r="EK109" s="18">
        <f>EJ109*VLOOKUP('Données projet'!$B$15,Paramètres!$A$1:$I$89,3,0)*VLOOKUP('Données projet'!$B$15,Paramètres!$A$1:$I$89,5,0)</f>
        <v>277.9732799999997</v>
      </c>
      <c r="EL109" s="14">
        <f t="shared" si="99"/>
        <v>66.538523764973135</v>
      </c>
      <c r="EM109" s="22">
        <f t="shared" si="73"/>
        <v>600.0247248906611</v>
      </c>
      <c r="EN109" s="62">
        <f t="shared" si="74"/>
        <v>882.028257625283</v>
      </c>
      <c r="EO109" s="62">
        <f ca="1">AVERAGE(OFFSET($EN$3,0,0,'Données projet'!$E$15+1,1))-AVERAGE(OFFSET($H$3,0,0,'Données projet'!$E$15+1,1))</f>
        <v>487.76433095707876</v>
      </c>
      <c r="EP109" s="62">
        <f t="shared" si="100"/>
        <v>276.24209151398361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4.4000000000000004</v>
      </c>
      <c r="FE109" s="13">
        <f>IF('Données projet'!$A$218&gt;35,FE108+FD109-FM108,IF(A109&lt;'Données projet'!$A$218,$FB$205^A109,IF(A109='Données projet'!$A$218,'Données projet'!$B$218,FE108+FD109-FM108)))</f>
        <v>287.39999999999969</v>
      </c>
      <c r="FF109" s="18">
        <f>FE109*VLOOKUP('Données projet'!$B$16,Paramètres!$A$1:$I$89,3,0)*VLOOKUP('Données projet'!$B$16,Paramètres!$A$1:$I$89,5,0)</f>
        <v>309.35735999999969</v>
      </c>
      <c r="FG109" s="14">
        <f t="shared" si="101"/>
        <v>73.134605157142161</v>
      </c>
      <c r="FH109" s="22">
        <f t="shared" si="76"/>
        <v>666.17350598202211</v>
      </c>
      <c r="FI109" s="62">
        <f t="shared" si="77"/>
        <v>948.17703871664412</v>
      </c>
      <c r="FJ109" s="62">
        <f ca="1">AVERAGE(OFFSET($FI$3,0,0,'Données projet'!$E$16+1,1))-AVERAGE(OFFSET($H$3,0,0,'Données projet'!$E$16+1,1))</f>
        <v>534.33392288300456</v>
      </c>
      <c r="FK109" s="62">
        <f t="shared" si="102"/>
        <v>300.93109615735477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3.0769230769230718</v>
      </c>
      <c r="FZ109" s="13">
        <f>IF('Données projet'!$A$244&gt;35,FZ108+FY109-GH108,IF(A109&lt;'Données projet'!$A$244,$FW$205^A109,IF(A109='Données projet'!$A$244,'Données projet'!$B$244,FZ108+FY109-GH108)))</f>
        <v>283.8461538461537</v>
      </c>
      <c r="GA109" s="18">
        <f>FZ109*VLOOKUP('Données projet'!$B$17,Paramètres!$A$1:$I$89,3,0)*VLOOKUP('Données projet'!$B$17,Paramètres!$A$1:$I$89,5,0)</f>
        <v>190.40399999999991</v>
      </c>
      <c r="GB109" s="14">
        <f t="shared" si="103"/>
        <v>47.629260470560219</v>
      </c>
      <c r="GC109" s="22">
        <f t="shared" si="79"/>
        <v>414.57459531955891</v>
      </c>
      <c r="GD109" s="62">
        <f t="shared" si="80"/>
        <v>696.57812805418087</v>
      </c>
      <c r="GE109" s="62">
        <f ca="1">AVERAGE(OFFSET($GD$3,0,0,'Données projet'!$E$17+1,1))-AVERAGE(OFFSET($H$3,0,0,'Données projet'!$E$17+1,1))</f>
        <v>316.17772895535211</v>
      </c>
      <c r="GF109" s="62">
        <f t="shared" si="104"/>
        <v>251.94445589652992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66.910054382169633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3.95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14.483333333333334</v>
      </c>
      <c r="H110" s="70">
        <f t="shared" si="56"/>
        <v>198.73333333333335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5.2</v>
      </c>
      <c r="N110" s="14">
        <f>IF('Données projet'!$A$36&gt;35,N109+M110-V109,IF(A110&lt;'Données projet'!$A$36,$K$205^A110,IF(A110='Données projet'!$A$36,'Données projet'!$B$36,N109+M110-V109)))</f>
        <v>342.39999999999981</v>
      </c>
      <c r="O110" s="14">
        <f>N110*VLOOKUP('Données projet'!$B$9,Paramètres!$A$1:$I$89,3,0)*VLOOKUP('Données projet'!$B$9,Paramètres!$A$1:$I$89,5,0)</f>
        <v>288.43775999999986</v>
      </c>
      <c r="P110" s="14">
        <f t="shared" si="87"/>
        <v>68.747057287972595</v>
      </c>
      <c r="Q110" s="22">
        <f t="shared" si="107"/>
        <v>622.09689010988529</v>
      </c>
      <c r="R110" s="62">
        <f t="shared" si="55"/>
        <v>904.29696955525549</v>
      </c>
      <c r="S110" s="62">
        <f ca="1">AVERAGE(OFFSET($R$3,0,0,'Données projet'!$E$9+1,1))-AVERAGE(OFFSET($H$3,0,0,'Données projet'!$E$9+1,1))</f>
        <v>508.93703669150443</v>
      </c>
      <c r="T110" s="62">
        <f t="shared" si="88"/>
        <v>277.04920840696707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4.4000000000000004</v>
      </c>
      <c r="AI110" s="14">
        <f>IF('Données projet'!$A$62&gt;35,AI109+AH110-AQ109,IF(A110&lt;'Données projet'!$A$62,$AF$205^A110,IF(A110='Données projet'!$A$62,'Données projet'!$B$62,AI109+AH110-AQ109)))</f>
        <v>291.79999999999967</v>
      </c>
      <c r="AJ110" s="14">
        <f>AI110*VLOOKUP('Données projet'!$B$10,Paramètres!$A$1:$I$89,3,0)*VLOOKUP('Données projet'!$B$10,Paramètres!$A$1:$I$89,5,0)</f>
        <v>264.02063999999967</v>
      </c>
      <c r="AK110" s="14">
        <f t="shared" si="89"/>
        <v>63.57864899095906</v>
      </c>
      <c r="AL110" s="22">
        <f t="shared" si="58"/>
        <v>570.56876165925303</v>
      </c>
      <c r="AM110" s="62">
        <f t="shared" si="59"/>
        <v>852.76884110462322</v>
      </c>
      <c r="AN110" s="62">
        <f ca="1">AVERAGE(OFFSET($AM$3,0,0,'Données projet'!$E$10+1,1))-AVERAGE(OFFSET($H$3,0,0,'Données projet'!$E$10+1,1))</f>
        <v>461.10503306101145</v>
      </c>
      <c r="AO110" s="62">
        <f t="shared" si="90"/>
        <v>262.10652147273288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-2.2737367544323206E-13</v>
      </c>
      <c r="BE110" s="14">
        <f>BD110*VLOOKUP('Données projet'!$B$11,Paramètres!$A$1:$I$89,3,0)*VLOOKUP('Données projet'!$B$11,Paramètres!$A$1:$I$89,5,0)</f>
        <v>-1.8089849618263545E-13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389.67854939311752</v>
      </c>
      <c r="BJ110" s="62">
        <f t="shared" si="92"/>
        <v>420.05189970516096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-1.0516032489249483E-12</v>
      </c>
      <c r="BZ110" s="14">
        <f>BY110*VLOOKUP('Données projet'!$B$12,Paramètres!$A$1:$I$89,3,0)*VLOOKUP('Données projet'!$B$12,Paramètres!$A$1:$I$89,5,0)</f>
        <v>-6.0151705838507046E-13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312.16891625633968</v>
      </c>
      <c r="CE110" s="62">
        <f t="shared" si="94"/>
        <v>215.34305815516177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1.4205327357647899</v>
      </c>
      <c r="CM110" s="23">
        <f>EXP(-LN(2)/2)*CM109+(1-EXP(-LN(2)/2))/(LN(2)/2)*CG110*CJ110*VLOOKUP('Données projet'!$B$12,Paramètres!$A$1:$I$89,3,0)*0.475*44/12</f>
        <v>2.0959183623618742E-11</v>
      </c>
      <c r="CN110" s="24">
        <f t="shared" si="66"/>
        <v>1.4205327357857491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3.5256410256410278</v>
      </c>
      <c r="CT110" s="13">
        <f>IF('Données projet'!$A$140&gt;35,CT109+CS110-DB109,IF(A110&lt;'Données projet'!$A$140,$CQ$205^A110,IF(A110='Données projet'!$A$140,'Données projet'!$B$140,CT109+CS110-DB109)))</f>
        <v>347.75641025641056</v>
      </c>
      <c r="CU110" s="18">
        <f>CT110*VLOOKUP('Données projet'!$B$13,Paramètres!$A$1:$I$89,3,0)*VLOOKUP('Données projet'!$B$13,Paramètres!$A$1:$I$89,5,0)</f>
        <v>233.27500000000023</v>
      </c>
      <c r="CV110" s="14">
        <f t="shared" si="95"/>
        <v>56.99022934607077</v>
      </c>
      <c r="CW110" s="22">
        <f t="shared" si="67"/>
        <v>505.54527444440697</v>
      </c>
      <c r="CX110" s="62">
        <f t="shared" si="68"/>
        <v>787.74535388977711</v>
      </c>
      <c r="CY110" s="62">
        <f ca="1">AVERAGE(OFFSET($CX$3,0,0,'Données projet'!$E$13+1,1))-AVERAGE(OFFSET($H$3,0,0,'Données projet'!$E$13+1,1))</f>
        <v>369.04754428478793</v>
      </c>
      <c r="CZ110" s="62">
        <f t="shared" si="96"/>
        <v>277.00523259351712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1.1368683772161603E-13</v>
      </c>
      <c r="DP110" s="18">
        <f>DO110*VLOOKUP('Données projet'!$B$14,Paramètres!$A$1:$I$89,3,0)*VLOOKUP('Données projet'!$B$14,Paramètres!$A$1:$I$89,5,0)</f>
        <v>8.8675733422860506E-14</v>
      </c>
      <c r="DQ110" s="14">
        <f t="shared" si="97"/>
        <v>1.3509285393066301E-12</v>
      </c>
      <c r="DR110" s="22">
        <f t="shared" si="70"/>
        <v>2.5073107750038623E-12</v>
      </c>
      <c r="DS110" s="62">
        <f t="shared" si="71"/>
        <v>282.20007944537269</v>
      </c>
      <c r="DT110" s="62">
        <f ca="1">AVERAGE(OFFSET($DS$3,0,0,'Données projet'!$E$14+1,1))-AVERAGE(OFFSET($H$3,0,0,'Données projet'!$E$14+1,1))</f>
        <v>308.39181291575227</v>
      </c>
      <c r="DU110" s="62">
        <f t="shared" si="98"/>
        <v>298.58225298824334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4.4000000000000004</v>
      </c>
      <c r="EJ110" s="13">
        <f>IF('Données projet'!$A$192&gt;35,EJ109+EI110-ER109,IF(A110&lt;'Données projet'!$A$192,$EG$205^A110,IF(A110='Données projet'!$A$192,'Données projet'!$B$192,EJ109+EI110-ER109)))</f>
        <v>291.79999999999967</v>
      </c>
      <c r="EK110" s="18">
        <f>EJ110*VLOOKUP('Données projet'!$B$15,Paramètres!$A$1:$I$89,3,0)*VLOOKUP('Données projet'!$B$15,Paramètres!$A$1:$I$89,5,0)</f>
        <v>282.22895999999969</v>
      </c>
      <c r="EL110" s="14">
        <f t="shared" si="99"/>
        <v>67.437834611070301</v>
      </c>
      <c r="EM110" s="22">
        <f t="shared" si="73"/>
        <v>609.00300061428027</v>
      </c>
      <c r="EN110" s="62">
        <f t="shared" si="74"/>
        <v>891.20308005965046</v>
      </c>
      <c r="EO110" s="62">
        <f ca="1">AVERAGE(OFFSET($EN$3,0,0,'Données projet'!$E$15+1,1))-AVERAGE(OFFSET($H$3,0,0,'Données projet'!$E$15+1,1))</f>
        <v>487.76433095707876</v>
      </c>
      <c r="EP110" s="62">
        <f t="shared" si="100"/>
        <v>276.24209151398361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4.4000000000000004</v>
      </c>
      <c r="FE110" s="13">
        <f>IF('Données projet'!$A$218&gt;35,FE109+FD110-FM109,IF(A110&lt;'Données projet'!$A$218,$FB$205^A110,IF(A110='Données projet'!$A$218,'Données projet'!$B$218,FE109+FD110-FM109)))</f>
        <v>291.79999999999967</v>
      </c>
      <c r="FF110" s="18">
        <f>FE110*VLOOKUP('Données projet'!$B$16,Paramètres!$A$1:$I$89,3,0)*VLOOKUP('Données projet'!$B$16,Paramètres!$A$1:$I$89,5,0)</f>
        <v>314.09351999999961</v>
      </c>
      <c r="FG110" s="14">
        <f t="shared" si="101"/>
        <v>74.123066275924458</v>
      </c>
      <c r="FH110" s="22">
        <f t="shared" si="76"/>
        <v>676.14388776390103</v>
      </c>
      <c r="FI110" s="62">
        <f t="shared" si="77"/>
        <v>958.34396720927123</v>
      </c>
      <c r="FJ110" s="62">
        <f ca="1">AVERAGE(OFFSET($FI$3,0,0,'Données projet'!$E$16+1,1))-AVERAGE(OFFSET($H$3,0,0,'Données projet'!$E$16+1,1))</f>
        <v>534.33392288300456</v>
      </c>
      <c r="FK110" s="62">
        <f t="shared" si="102"/>
        <v>300.93109615735477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3.0769230769230718</v>
      </c>
      <c r="FZ110" s="13">
        <f>IF('Données projet'!$A$244&gt;35,FZ109+FY110-GH109,IF(A110&lt;'Données projet'!$A$244,$FW$205^A110,IF(A110='Données projet'!$A$244,'Données projet'!$B$244,FZ109+FY110-GH109)))</f>
        <v>286.92307692307679</v>
      </c>
      <c r="GA110" s="18">
        <f>FZ110*VLOOKUP('Données projet'!$B$17,Paramètres!$A$1:$I$89,3,0)*VLOOKUP('Données projet'!$B$17,Paramètres!$A$1:$I$89,5,0)</f>
        <v>192.46799999999993</v>
      </c>
      <c r="GB110" s="14">
        <f t="shared" si="103"/>
        <v>48.085182093610292</v>
      </c>
      <c r="GC110" s="22">
        <f t="shared" si="79"/>
        <v>418.96345881303779</v>
      </c>
      <c r="GD110" s="62">
        <f t="shared" si="80"/>
        <v>701.16353825840793</v>
      </c>
      <c r="GE110" s="62">
        <f ca="1">AVERAGE(OFFSET($GD$3,0,0,'Données projet'!$E$17+1,1))-AVERAGE(OFFSET($H$3,0,0,'Données projet'!$E$17+1,1))</f>
        <v>316.17772895535211</v>
      </c>
      <c r="GF110" s="62">
        <f t="shared" si="104"/>
        <v>251.94445589652992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66.963658030555507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3.95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14.483333333333334</v>
      </c>
      <c r="H111" s="70">
        <f t="shared" si="56"/>
        <v>198.73333333333335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5.2</v>
      </c>
      <c r="N111" s="14">
        <f>IF('Données projet'!$A$36&gt;35,N110+M111-V110,IF(A111&lt;'Données projet'!$A$36,$K$205^A111,IF(A111='Données projet'!$A$36,'Données projet'!$B$36,N110+M111-V110)))</f>
        <v>347.5999999999998</v>
      </c>
      <c r="O111" s="14">
        <f>N111*VLOOKUP('Données projet'!$B$9,Paramètres!$A$1:$I$89,3,0)*VLOOKUP('Données projet'!$B$9,Paramètres!$A$1:$I$89,5,0)</f>
        <v>292.81823999999983</v>
      </c>
      <c r="P111" s="14">
        <f t="shared" si="87"/>
        <v>69.668774141370633</v>
      </c>
      <c r="Q111" s="22">
        <f t="shared" si="107"/>
        <v>631.33154962955359</v>
      </c>
      <c r="R111" s="62">
        <f t="shared" si="55"/>
        <v>913.72476613965318</v>
      </c>
      <c r="S111" s="62">
        <f ca="1">AVERAGE(OFFSET($R$3,0,0,'Données projet'!$E$9+1,1))-AVERAGE(OFFSET($H$3,0,0,'Données projet'!$E$9+1,1))</f>
        <v>508.93703669150443</v>
      </c>
      <c r="T111" s="62">
        <f t="shared" si="88"/>
        <v>277.04920840696707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4.4000000000000004</v>
      </c>
      <c r="AI111" s="14">
        <f>IF('Données projet'!$A$62&gt;35,AI110+AH111-AQ110,IF(A111&lt;'Données projet'!$A$62,$AF$205^A111,IF(A111='Données projet'!$A$62,'Données projet'!$B$62,AI110+AH111-AQ110)))</f>
        <v>296.19999999999965</v>
      </c>
      <c r="AJ111" s="14">
        <f>AI111*VLOOKUP('Données projet'!$B$10,Paramètres!$A$1:$I$89,3,0)*VLOOKUP('Données projet'!$B$10,Paramètres!$A$1:$I$89,5,0)</f>
        <v>268.00175999999971</v>
      </c>
      <c r="AK111" s="14">
        <f t="shared" si="89"/>
        <v>64.425009159185521</v>
      </c>
      <c r="AL111" s="22">
        <f t="shared" si="58"/>
        <v>578.97662295224757</v>
      </c>
      <c r="AM111" s="62">
        <f t="shared" si="59"/>
        <v>861.36983946234704</v>
      </c>
      <c r="AN111" s="62">
        <f ca="1">AVERAGE(OFFSET($AM$3,0,0,'Données projet'!$E$10+1,1))-AVERAGE(OFFSET($H$3,0,0,'Données projet'!$E$10+1,1))</f>
        <v>461.10503306101145</v>
      </c>
      <c r="AO111" s="62">
        <f t="shared" si="90"/>
        <v>262.10652147273288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-2.2737367544323206E-13</v>
      </c>
      <c r="BE111" s="14">
        <f>BD111*VLOOKUP('Données projet'!$B$11,Paramètres!$A$1:$I$89,3,0)*VLOOKUP('Données projet'!$B$11,Paramètres!$A$1:$I$89,5,0)</f>
        <v>-1.8089849618263545E-13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389.67854939311752</v>
      </c>
      <c r="BJ111" s="62">
        <f t="shared" si="92"/>
        <v>420.05189970516096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-1.0516032489249483E-12</v>
      </c>
      <c r="BZ111" s="14">
        <f>BY111*VLOOKUP('Données projet'!$B$12,Paramètres!$A$1:$I$89,3,0)*VLOOKUP('Données projet'!$B$12,Paramètres!$A$1:$I$89,5,0)</f>
        <v>-6.0151705838507046E-13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312.16891625633968</v>
      </c>
      <c r="CE111" s="62">
        <f t="shared" si="94"/>
        <v>215.34305815516177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1.3816881934027319</v>
      </c>
      <c r="CM111" s="23">
        <f>EXP(-LN(2)/2)*CM110+(1-EXP(-LN(2)/2))/(LN(2)/2)*CG111*CJ111*VLOOKUP('Données projet'!$B$12,Paramètres!$A$1:$I$89,3,0)*0.475*44/12</f>
        <v>1.4820380868394848E-11</v>
      </c>
      <c r="CN111" s="24">
        <f t="shared" si="66"/>
        <v>1.3816881934175522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3.5256410256410278</v>
      </c>
      <c r="CT111" s="13">
        <f>IF('Données projet'!$A$140&gt;35,CT110+CS111-DB110,IF(A111&lt;'Données projet'!$A$140,$CQ$205^A111,IF(A111='Données projet'!$A$140,'Données projet'!$B$140,CT110+CS111-DB110)))</f>
        <v>351.28205128205161</v>
      </c>
      <c r="CU111" s="18">
        <f>CT111*VLOOKUP('Données projet'!$B$13,Paramètres!$A$1:$I$89,3,0)*VLOOKUP('Données projet'!$B$13,Paramètres!$A$1:$I$89,5,0)</f>
        <v>235.64000000000021</v>
      </c>
      <c r="CV111" s="14">
        <f t="shared" si="95"/>
        <v>57.500456645637016</v>
      </c>
      <c r="CW111" s="22">
        <f t="shared" si="67"/>
        <v>510.55296199115151</v>
      </c>
      <c r="CX111" s="62">
        <f t="shared" si="68"/>
        <v>792.9461785012511</v>
      </c>
      <c r="CY111" s="62">
        <f ca="1">AVERAGE(OFFSET($CX$3,0,0,'Données projet'!$E$13+1,1))-AVERAGE(OFFSET($H$3,0,0,'Données projet'!$E$13+1,1))</f>
        <v>369.04754428478793</v>
      </c>
      <c r="CZ111" s="62">
        <f t="shared" si="96"/>
        <v>277.00523259351712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1.1368683772161603E-13</v>
      </c>
      <c r="DP111" s="18">
        <f>DO111*VLOOKUP('Données projet'!$B$14,Paramètres!$A$1:$I$89,3,0)*VLOOKUP('Données projet'!$B$14,Paramètres!$A$1:$I$89,5,0)</f>
        <v>8.8675733422860506E-14</v>
      </c>
      <c r="DQ111" s="14">
        <f t="shared" si="97"/>
        <v>1.3509285393066301E-12</v>
      </c>
      <c r="DR111" s="22">
        <f t="shared" si="70"/>
        <v>2.5073107750038623E-12</v>
      </c>
      <c r="DS111" s="62">
        <f t="shared" si="71"/>
        <v>282.39321651010204</v>
      </c>
      <c r="DT111" s="62">
        <f ca="1">AVERAGE(OFFSET($DS$3,0,0,'Données projet'!$E$14+1,1))-AVERAGE(OFFSET($H$3,0,0,'Données projet'!$E$14+1,1))</f>
        <v>308.39181291575227</v>
      </c>
      <c r="DU111" s="62">
        <f t="shared" si="98"/>
        <v>298.58225298824334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4.4000000000000004</v>
      </c>
      <c r="EJ111" s="13">
        <f>IF('Données projet'!$A$192&gt;35,EJ110+EI111-ER110,IF(A111&lt;'Données projet'!$A$192,$EG$205^A111,IF(A111='Données projet'!$A$192,'Données projet'!$B$192,EJ110+EI111-ER110)))</f>
        <v>296.19999999999965</v>
      </c>
      <c r="EK111" s="18">
        <f>EJ111*VLOOKUP('Données projet'!$B$15,Paramètres!$A$1:$I$89,3,0)*VLOOKUP('Données projet'!$B$15,Paramètres!$A$1:$I$89,5,0)</f>
        <v>286.48463999999967</v>
      </c>
      <c r="EL111" s="14">
        <f t="shared" si="99"/>
        <v>68.335568330677432</v>
      </c>
      <c r="EM111" s="22">
        <f t="shared" si="73"/>
        <v>617.97852950926267</v>
      </c>
      <c r="EN111" s="62">
        <f t="shared" si="74"/>
        <v>900.37174601936226</v>
      </c>
      <c r="EO111" s="62">
        <f ca="1">AVERAGE(OFFSET($EN$3,0,0,'Données projet'!$E$15+1,1))-AVERAGE(OFFSET($H$3,0,0,'Données projet'!$E$15+1,1))</f>
        <v>487.76433095707876</v>
      </c>
      <c r="EP111" s="62">
        <f t="shared" si="100"/>
        <v>276.24209151398361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4.4000000000000004</v>
      </c>
      <c r="FE111" s="13">
        <f>IF('Données projet'!$A$218&gt;35,FE110+FD111-FM110,IF(A111&lt;'Données projet'!$A$218,$FB$205^A111,IF(A111='Données projet'!$A$218,'Données projet'!$B$218,FE110+FD111-FM110)))</f>
        <v>296.19999999999965</v>
      </c>
      <c r="FF111" s="18">
        <f>FE111*VLOOKUP('Données projet'!$B$16,Paramètres!$A$1:$I$89,3,0)*VLOOKUP('Données projet'!$B$16,Paramètres!$A$1:$I$89,5,0)</f>
        <v>318.8296799999996</v>
      </c>
      <c r="FG111" s="14">
        <f t="shared" si="101"/>
        <v>75.109793924882112</v>
      </c>
      <c r="FH111" s="22">
        <f t="shared" si="76"/>
        <v>686.11125041916887</v>
      </c>
      <c r="FI111" s="62">
        <f t="shared" si="77"/>
        <v>968.50446692926835</v>
      </c>
      <c r="FJ111" s="62">
        <f ca="1">AVERAGE(OFFSET($FI$3,0,0,'Données projet'!$E$16+1,1))-AVERAGE(OFFSET($H$3,0,0,'Données projet'!$E$16+1,1))</f>
        <v>534.33392288300456</v>
      </c>
      <c r="FK111" s="62">
        <f t="shared" si="102"/>
        <v>300.93109615735477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3.0769230769230718</v>
      </c>
      <c r="FZ111" s="13">
        <f>IF('Données projet'!$A$244&gt;35,FZ110+FY111-GH110,IF(A111&lt;'Données projet'!$A$244,$FW$205^A111,IF(A111='Données projet'!$A$244,'Données projet'!$B$244,FZ110+FY111-GH110)))</f>
        <v>289.99999999999989</v>
      </c>
      <c r="GA111" s="18">
        <f>FZ111*VLOOKUP('Données projet'!$B$17,Paramètres!$A$1:$I$89,3,0)*VLOOKUP('Données projet'!$B$17,Paramètres!$A$1:$I$89,5,0)</f>
        <v>194.53199999999993</v>
      </c>
      <c r="GB111" s="14">
        <f t="shared" si="103"/>
        <v>48.540534952652578</v>
      </c>
      <c r="GC111" s="22">
        <f t="shared" si="79"/>
        <v>423.35133170920312</v>
      </c>
      <c r="GD111" s="62">
        <f t="shared" si="80"/>
        <v>705.74454821930271</v>
      </c>
      <c r="GE111" s="62">
        <f ca="1">AVERAGE(OFFSET($GD$3,0,0,'Données projet'!$E$17+1,1))-AVERAGE(OFFSET($H$3,0,0,'Données projet'!$E$17+1,1))</f>
        <v>316.17772895535211</v>
      </c>
      <c r="GF111" s="62">
        <f t="shared" si="104"/>
        <v>251.94445589652992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67.016331775481689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3.95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14.483333333333334</v>
      </c>
      <c r="H112" s="70">
        <f t="shared" si="56"/>
        <v>198.73333333333335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5.2</v>
      </c>
      <c r="N112" s="14">
        <f>IF('Données projet'!$A$36&gt;35,N111+M112-V111,IF(A112&lt;'Données projet'!$A$36,$K$205^A112,IF(A112='Données projet'!$A$36,'Données projet'!$B$36,N111+M112-V111)))</f>
        <v>352.79999999999978</v>
      </c>
      <c r="O112" s="14">
        <f>N112*VLOOKUP('Données projet'!$B$9,Paramètres!$A$1:$I$89,3,0)*VLOOKUP('Données projet'!$B$9,Paramètres!$A$1:$I$89,5,0)</f>
        <v>297.19871999999981</v>
      </c>
      <c r="P112" s="14">
        <f t="shared" si="87"/>
        <v>70.588887331631497</v>
      </c>
      <c r="Q112" s="22">
        <f t="shared" si="107"/>
        <v>640.56341610259119</v>
      </c>
      <c r="R112" s="62">
        <f t="shared" si="55"/>
        <v>923.14641918113671</v>
      </c>
      <c r="S112" s="62">
        <f ca="1">AVERAGE(OFFSET($R$3,0,0,'Données projet'!$E$9+1,1))-AVERAGE(OFFSET($H$3,0,0,'Données projet'!$E$9+1,1))</f>
        <v>508.93703669150443</v>
      </c>
      <c r="T112" s="62">
        <f t="shared" si="88"/>
        <v>277.04920840696707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4.4000000000000004</v>
      </c>
      <c r="AI112" s="14">
        <f>IF('Données projet'!$A$62&gt;35,AI111+AH112-AQ111,IF(A112&lt;'Données projet'!$A$62,$AF$205^A112,IF(A112='Données projet'!$A$62,'Données projet'!$B$62,AI111+AH112-AQ111)))</f>
        <v>300.59999999999962</v>
      </c>
      <c r="AJ112" s="14">
        <f>AI112*VLOOKUP('Données projet'!$B$10,Paramètres!$A$1:$I$89,3,0)*VLOOKUP('Données projet'!$B$10,Paramètres!$A$1:$I$89,5,0)</f>
        <v>271.98287999999962</v>
      </c>
      <c r="AK112" s="14">
        <f t="shared" si="89"/>
        <v>65.269907092018684</v>
      </c>
      <c r="AL112" s="22">
        <f t="shared" si="58"/>
        <v>587.38193751859842</v>
      </c>
      <c r="AM112" s="62">
        <f t="shared" si="59"/>
        <v>869.96494059714394</v>
      </c>
      <c r="AN112" s="62">
        <f ca="1">AVERAGE(OFFSET($AM$3,0,0,'Données projet'!$E$10+1,1))-AVERAGE(OFFSET($H$3,0,0,'Données projet'!$E$10+1,1))</f>
        <v>461.10503306101145</v>
      </c>
      <c r="AO112" s="62">
        <f t="shared" si="90"/>
        <v>262.10652147273288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-2.2737367544323206E-13</v>
      </c>
      <c r="BE112" s="14">
        <f>BD112*VLOOKUP('Données projet'!$B$11,Paramètres!$A$1:$I$89,3,0)*VLOOKUP('Données projet'!$B$11,Paramètres!$A$1:$I$89,5,0)</f>
        <v>-1.8089849618263545E-13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389.67854939311752</v>
      </c>
      <c r="BJ112" s="62">
        <f t="shared" si="92"/>
        <v>420.05189970516096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-1.0516032489249483E-12</v>
      </c>
      <c r="BZ112" s="14">
        <f>BY112*VLOOKUP('Données projet'!$B$12,Paramètres!$A$1:$I$89,3,0)*VLOOKUP('Données projet'!$B$12,Paramètres!$A$1:$I$89,5,0)</f>
        <v>-6.0151705838507046E-13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312.16891625633968</v>
      </c>
      <c r="CE112" s="62">
        <f t="shared" si="94"/>
        <v>215.34305815516177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1.3439058570943099</v>
      </c>
      <c r="CM112" s="23">
        <f>EXP(-LN(2)/2)*CM111+(1-EXP(-LN(2)/2))/(LN(2)/2)*CG112*CJ112*VLOOKUP('Données projet'!$B$12,Paramètres!$A$1:$I$89,3,0)*0.475*44/12</f>
        <v>1.0479591811809371E-11</v>
      </c>
      <c r="CN112" s="24">
        <f t="shared" si="66"/>
        <v>1.3439058571047895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3.5256410256410278</v>
      </c>
      <c r="CT112" s="13">
        <f>IF('Données projet'!$A$140&gt;35,CT111+CS112-DB111,IF(A112&lt;'Données projet'!$A$140,$CQ$205^A112,IF(A112='Données projet'!$A$140,'Données projet'!$B$140,CT111+CS112-DB111)))</f>
        <v>354.80769230769266</v>
      </c>
      <c r="CU112" s="18">
        <f>CT112*VLOOKUP('Données projet'!$B$13,Paramètres!$A$1:$I$89,3,0)*VLOOKUP('Données projet'!$B$13,Paramètres!$A$1:$I$89,5,0)</f>
        <v>238.00500000000025</v>
      </c>
      <c r="CV112" s="14">
        <f t="shared" si="95"/>
        <v>58.010088210558386</v>
      </c>
      <c r="CW112" s="22">
        <f t="shared" si="67"/>
        <v>515.55961196672297</v>
      </c>
      <c r="CX112" s="62">
        <f t="shared" si="68"/>
        <v>798.14261504526849</v>
      </c>
      <c r="CY112" s="62">
        <f ca="1">AVERAGE(OFFSET($CX$3,0,0,'Données projet'!$E$13+1,1))-AVERAGE(OFFSET($H$3,0,0,'Données projet'!$E$13+1,1))</f>
        <v>369.04754428478793</v>
      </c>
      <c r="CZ112" s="62">
        <f t="shared" si="96"/>
        <v>277.00523259351712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1.1368683772161603E-13</v>
      </c>
      <c r="DP112" s="18">
        <f>DO112*VLOOKUP('Données projet'!$B$14,Paramètres!$A$1:$I$89,3,0)*VLOOKUP('Données projet'!$B$14,Paramètres!$A$1:$I$89,5,0)</f>
        <v>8.8675733422860506E-14</v>
      </c>
      <c r="DQ112" s="14">
        <f t="shared" si="97"/>
        <v>1.3509285393066301E-12</v>
      </c>
      <c r="DR112" s="22">
        <f t="shared" si="70"/>
        <v>2.5073107750038623E-12</v>
      </c>
      <c r="DS112" s="62">
        <f t="shared" si="71"/>
        <v>282.58300307854802</v>
      </c>
      <c r="DT112" s="62">
        <f ca="1">AVERAGE(OFFSET($DS$3,0,0,'Données projet'!$E$14+1,1))-AVERAGE(OFFSET($H$3,0,0,'Données projet'!$E$14+1,1))</f>
        <v>308.39181291575227</v>
      </c>
      <c r="DU112" s="62">
        <f t="shared" si="98"/>
        <v>298.58225298824334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4.4000000000000004</v>
      </c>
      <c r="EJ112" s="13">
        <f>IF('Données projet'!$A$192&gt;35,EJ111+EI112-ER111,IF(A112&lt;'Données projet'!$A$192,$EG$205^A112,IF(A112='Données projet'!$A$192,'Données projet'!$B$192,EJ111+EI112-ER111)))</f>
        <v>300.59999999999962</v>
      </c>
      <c r="EK112" s="18">
        <f>EJ112*VLOOKUP('Données projet'!$B$15,Paramètres!$A$1:$I$89,3,0)*VLOOKUP('Données projet'!$B$15,Paramètres!$A$1:$I$89,5,0)</f>
        <v>290.74031999999966</v>
      </c>
      <c r="EL112" s="14">
        <f t="shared" si="99"/>
        <v>69.231751058085507</v>
      </c>
      <c r="EM112" s="22">
        <f t="shared" si="73"/>
        <v>626.95135709283159</v>
      </c>
      <c r="EN112" s="62">
        <f t="shared" si="74"/>
        <v>909.5343601713771</v>
      </c>
      <c r="EO112" s="62">
        <f ca="1">AVERAGE(OFFSET($EN$3,0,0,'Données projet'!$E$15+1,1))-AVERAGE(OFFSET($H$3,0,0,'Données projet'!$E$15+1,1))</f>
        <v>487.76433095707876</v>
      </c>
      <c r="EP112" s="62">
        <f t="shared" si="100"/>
        <v>276.24209151398361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4.4000000000000004</v>
      </c>
      <c r="FE112" s="13">
        <f>IF('Données projet'!$A$218&gt;35,FE111+FD112-FM111,IF(A112&lt;'Données projet'!$A$218,$FB$205^A112,IF(A112='Données projet'!$A$218,'Données projet'!$B$218,FE111+FD112-FM111)))</f>
        <v>300.59999999999962</v>
      </c>
      <c r="FF112" s="18">
        <f>FE112*VLOOKUP('Données projet'!$B$16,Paramètres!$A$1:$I$89,3,0)*VLOOKUP('Données projet'!$B$16,Paramètres!$A$1:$I$89,5,0)</f>
        <v>323.56583999999958</v>
      </c>
      <c r="FG112" s="14">
        <f t="shared" si="101"/>
        <v>76.094816829044248</v>
      </c>
      <c r="FH112" s="22">
        <f t="shared" si="76"/>
        <v>696.07564397725127</v>
      </c>
      <c r="FI112" s="62">
        <f t="shared" si="77"/>
        <v>978.65864705579679</v>
      </c>
      <c r="FJ112" s="62">
        <f ca="1">AVERAGE(OFFSET($FI$3,0,0,'Données projet'!$E$16+1,1))-AVERAGE(OFFSET($H$3,0,0,'Données projet'!$E$16+1,1))</f>
        <v>534.33392288300456</v>
      </c>
      <c r="FK112" s="62">
        <f t="shared" si="102"/>
        <v>300.93109615735477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3.0769230769230718</v>
      </c>
      <c r="FZ112" s="13">
        <f>IF('Données projet'!$A$244&gt;35,FZ111+FY112-GH111,IF(A112&lt;'Données projet'!$A$244,$FW$205^A112,IF(A112='Données projet'!$A$244,'Données projet'!$B$244,FZ111+FY112-GH111)))</f>
        <v>293.07692307692298</v>
      </c>
      <c r="GA112" s="18">
        <f>FZ112*VLOOKUP('Données projet'!$B$17,Paramètres!$A$1:$I$89,3,0)*VLOOKUP('Données projet'!$B$17,Paramètres!$A$1:$I$89,5,0)</f>
        <v>196.59599999999995</v>
      </c>
      <c r="GB112" s="14">
        <f t="shared" si="103"/>
        <v>48.995325780845</v>
      </c>
      <c r="GC112" s="22">
        <f t="shared" si="79"/>
        <v>427.73822573497159</v>
      </c>
      <c r="GD112" s="62">
        <f t="shared" si="80"/>
        <v>710.32122881351711</v>
      </c>
      <c r="GE112" s="62">
        <f ca="1">AVERAGE(OFFSET($GD$3,0,0,'Données projet'!$E$17+1,1))-AVERAGE(OFFSET($H$3,0,0,'Données projet'!$E$17+1,1))</f>
        <v>316.17772895535211</v>
      </c>
      <c r="GF112" s="62">
        <f t="shared" si="104"/>
        <v>251.94445589652992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67.068091748694229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3.95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14.483333333333334</v>
      </c>
      <c r="H113" s="70">
        <f t="shared" si="56"/>
        <v>198.73333333333335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358</v>
      </c>
      <c r="L113" s="13">
        <f>VLOOKUP(A113,'Données projet'!$A$35:$I$55,9,0)</f>
        <v>5.2</v>
      </c>
      <c r="M113" s="13">
        <f t="array" ref="M113">INDEX(L:L,MIN(IF(ISNUMBER(L113:L309),ROW(L113:L309),"")))</f>
        <v>5.2</v>
      </c>
      <c r="N113" s="14">
        <f>IF('Données projet'!$A$36&gt;35,N112+M113-V112,IF(A113&lt;'Données projet'!$A$36,$K$205^A113,IF(A113='Données projet'!$A$36,'Données projet'!$B$36,N112+M113-V112)))</f>
        <v>357.99999999999977</v>
      </c>
      <c r="O113" s="14">
        <f>N113*VLOOKUP('Données projet'!$B$9,Paramètres!$A$1:$I$89,3,0)*VLOOKUP('Données projet'!$B$9,Paramètres!$A$1:$I$89,5,0)</f>
        <v>301.57919999999984</v>
      </c>
      <c r="P113" s="14">
        <f t="shared" si="87"/>
        <v>71.507423226130868</v>
      </c>
      <c r="Q113" s="22">
        <f t="shared" si="107"/>
        <v>649.79253545217762</v>
      </c>
      <c r="R113" s="62">
        <f t="shared" si="55"/>
        <v>932.56203272650578</v>
      </c>
      <c r="S113" s="62">
        <f ca="1">AVERAGE(OFFSET($R$3,0,0,'Données projet'!$E$9+1,1))-AVERAGE(OFFSET($H$3,0,0,'Données projet'!$E$9+1,1))</f>
        <v>508.93703669150443</v>
      </c>
      <c r="T113" s="62">
        <f t="shared" si="88"/>
        <v>277.04920840696707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51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305</v>
      </c>
      <c r="AG113" s="13">
        <f>VLOOKUP(A113,'Données projet'!$A$61:$I$81,9,0)</f>
        <v>4.4000000000000004</v>
      </c>
      <c r="AH113" s="13">
        <f t="array" ref="AH113">INDEX(AG:AG,MIN(IF(ISNUMBER(AG113:AG309),ROW(AG113:AG309),"")))</f>
        <v>4.4000000000000004</v>
      </c>
      <c r="AI113" s="14">
        <f>IF('Données projet'!$A$62&gt;35,AI112+AH113-AQ112,IF(A113&lt;'Données projet'!$A$62,$AF$205^A113,IF(A113='Données projet'!$A$62,'Données projet'!$B$62,AI112+AH113-AQ112)))</f>
        <v>304.9999999999996</v>
      </c>
      <c r="AJ113" s="14">
        <f>AI113*VLOOKUP('Données projet'!$B$10,Paramètres!$A$1:$I$89,3,0)*VLOOKUP('Données projet'!$B$10,Paramètres!$A$1:$I$89,5,0)</f>
        <v>275.9639999999996</v>
      </c>
      <c r="AK113" s="14">
        <f t="shared" si="89"/>
        <v>66.113366665488797</v>
      </c>
      <c r="AL113" s="22">
        <f t="shared" si="58"/>
        <v>595.7847469423923</v>
      </c>
      <c r="AM113" s="62">
        <f t="shared" si="59"/>
        <v>878.55424421672046</v>
      </c>
      <c r="AN113" s="62">
        <f ca="1">AVERAGE(OFFSET($AM$3,0,0,'Données projet'!$E$10+1,1))-AVERAGE(OFFSET($H$3,0,0,'Données projet'!$E$10+1,1))</f>
        <v>461.10503306101145</v>
      </c>
      <c r="AO113" s="62">
        <f t="shared" si="90"/>
        <v>262.10652147273288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39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-2.2737367544323206E-13</v>
      </c>
      <c r="BE113" s="14">
        <f>BD113*VLOOKUP('Données projet'!$B$11,Paramètres!$A$1:$I$89,3,0)*VLOOKUP('Données projet'!$B$11,Paramètres!$A$1:$I$89,5,0)</f>
        <v>-1.8089849618263545E-13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389.67854939311752</v>
      </c>
      <c r="BJ113" s="62">
        <f t="shared" si="92"/>
        <v>420.05189970516096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-1.0516032489249483E-12</v>
      </c>
      <c r="BZ113" s="14">
        <f>BY113*VLOOKUP('Données projet'!$B$12,Paramètres!$A$1:$I$89,3,0)*VLOOKUP('Données projet'!$B$12,Paramètres!$A$1:$I$89,5,0)</f>
        <v>-6.0151705838507046E-13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312.16891625633968</v>
      </c>
      <c r="CE113" s="62">
        <f t="shared" si="94"/>
        <v>215.34305815516177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1.3071566807591284</v>
      </c>
      <c r="CM113" s="23">
        <f>EXP(-LN(2)/2)*CM112+(1-EXP(-LN(2)/2))/(LN(2)/2)*CG113*CJ113*VLOOKUP('Données projet'!$B$12,Paramètres!$A$1:$I$89,3,0)*0.475*44/12</f>
        <v>7.4101904341974239E-12</v>
      </c>
      <c r="CN113" s="24">
        <f t="shared" si="66"/>
        <v>1.3071566807665387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358.33333333333331</v>
      </c>
      <c r="CR113" s="13">
        <f>VLOOKUP(A113,'Données projet'!$A$139:$I$159,9,0)</f>
        <v>3.5256410256410278</v>
      </c>
      <c r="CS113" s="13">
        <f t="array" ref="CS113">INDEX(CR:CR,MIN(IF(ISNUMBER(CR113:CR309),ROW(CR113:CR309),"")))</f>
        <v>3.5256410256410278</v>
      </c>
      <c r="CT113" s="13">
        <f>IF('Données projet'!$A$140&gt;35,CT112+CS113-DB112,IF(A113&lt;'Données projet'!$A$140,$CQ$205^A113,IF(A113='Données projet'!$A$140,'Données projet'!$B$140,CT112+CS113-DB112)))</f>
        <v>358.33333333333371</v>
      </c>
      <c r="CU113" s="18">
        <f>CT113*VLOOKUP('Données projet'!$B$13,Paramètres!$A$1:$I$89,3,0)*VLOOKUP('Données projet'!$B$13,Paramètres!$A$1:$I$89,5,0)</f>
        <v>240.37000000000023</v>
      </c>
      <c r="CV113" s="14">
        <f t="shared" si="95"/>
        <v>58.51913064595891</v>
      </c>
      <c r="CW113" s="22">
        <f t="shared" si="67"/>
        <v>520.56523587504546</v>
      </c>
      <c r="CX113" s="62">
        <f t="shared" si="68"/>
        <v>803.33473314937373</v>
      </c>
      <c r="CY113" s="62">
        <f ca="1">AVERAGE(OFFSET($CX$3,0,0,'Données projet'!$E$13+1,1))-AVERAGE(OFFSET($H$3,0,0,'Données projet'!$E$13+1,1))</f>
        <v>369.04754428478793</v>
      </c>
      <c r="CZ113" s="62">
        <f t="shared" si="96"/>
        <v>277.00523259351712</v>
      </c>
      <c r="DA113" s="16">
        <f>IF(ISNA(VLOOKUP(A113,'Données projet'!$A$139:$I$159,3,0)),0,VLOOKUP(A113,'Données projet'!$A$139:$I$159,3,0))</f>
        <v>10</v>
      </c>
      <c r="DB113" s="16">
        <f>IF(ISNA(VLOOKUP(A113,'Données projet'!$A$139:$I$159,4,0)),0,VLOOKUP(A113,'Données projet'!$A$139:$I$159,4,0))</f>
        <v>358.33333333333331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1.1368683772161603E-13</v>
      </c>
      <c r="DP113" s="18">
        <f>DO113*VLOOKUP('Données projet'!$B$14,Paramètres!$A$1:$I$89,3,0)*VLOOKUP('Données projet'!$B$14,Paramètres!$A$1:$I$89,5,0)</f>
        <v>8.8675733422860506E-14</v>
      </c>
      <c r="DQ113" s="14">
        <f t="shared" si="97"/>
        <v>1.3509285393066301E-12</v>
      </c>
      <c r="DR113" s="22">
        <f t="shared" si="70"/>
        <v>2.5073107750038623E-12</v>
      </c>
      <c r="DS113" s="62">
        <f t="shared" si="71"/>
        <v>282.76949727433072</v>
      </c>
      <c r="DT113" s="62">
        <f ca="1">AVERAGE(OFFSET($DS$3,0,0,'Données projet'!$E$14+1,1))-AVERAGE(OFFSET($H$3,0,0,'Données projet'!$E$14+1,1))</f>
        <v>308.39181291575227</v>
      </c>
      <c r="DU113" s="62">
        <f t="shared" si="98"/>
        <v>298.58225298824334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>
        <f>VLOOKUP(A113,'Données projet'!$A$191:$I$211,2,0)</f>
        <v>305</v>
      </c>
      <c r="EH113" s="13">
        <f>VLOOKUP(A113,'Données projet'!$A$191:$I$211,9,0)</f>
        <v>4.4000000000000004</v>
      </c>
      <c r="EI113" s="13">
        <f t="array" ref="EI113">INDEX(EH:EH,MIN(IF(ISNUMBER(EH113:EH309),ROW(EH113:EH309),"")))</f>
        <v>4.4000000000000004</v>
      </c>
      <c r="EJ113" s="13">
        <f>IF('Données projet'!$A$192&gt;35,EJ112+EI113-ER112,IF(A113&lt;'Données projet'!$A$192,$EG$205^A113,IF(A113='Données projet'!$A$192,'Données projet'!$B$192,EJ112+EI113-ER112)))</f>
        <v>304.9999999999996</v>
      </c>
      <c r="EK113" s="18">
        <f>EJ113*VLOOKUP('Données projet'!$B$15,Paramètres!$A$1:$I$89,3,0)*VLOOKUP('Données projet'!$B$15,Paramètres!$A$1:$I$89,5,0)</f>
        <v>294.99599999999958</v>
      </c>
      <c r="EL113" s="14">
        <f t="shared" si="99"/>
        <v>70.126408118585317</v>
      </c>
      <c r="EM113" s="22">
        <f t="shared" si="73"/>
        <v>635.92152747320199</v>
      </c>
      <c r="EN113" s="62">
        <f t="shared" si="74"/>
        <v>918.69102474753026</v>
      </c>
      <c r="EO113" s="62">
        <f ca="1">AVERAGE(OFFSET($EN$3,0,0,'Données projet'!$E$15+1,1))-AVERAGE(OFFSET($H$3,0,0,'Données projet'!$E$15+1,1))</f>
        <v>487.76433095707876</v>
      </c>
      <c r="EP113" s="62">
        <f t="shared" si="100"/>
        <v>276.24209151398361</v>
      </c>
      <c r="EQ113" s="16">
        <f>IF(ISNA(VLOOKUP(A113,'Données projet'!$A$191:$I$211,3,0)),0,VLOOKUP(A113,'Données projet'!$A$191:$I$211,3,0))</f>
        <v>9</v>
      </c>
      <c r="ER113" s="16">
        <f>IF(ISNA(VLOOKUP(A113,'Données projet'!$A$191:$I$211,4,0)),0,VLOOKUP(A113,'Données projet'!$A$191:$I$211,4,0))</f>
        <v>39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>
        <f>VLOOKUP(A113,'Données projet'!$A$217:$I$237,2,0)</f>
        <v>305</v>
      </c>
      <c r="FC113" s="13">
        <f>VLOOKUP(A113,'Données projet'!$A$217:$I$237,9,0)</f>
        <v>4.4000000000000004</v>
      </c>
      <c r="FD113" s="13">
        <f t="array" ref="FD113">INDEX(FC:FC,MIN(IF(ISNUMBER(FC113:FC309),ROW(FC113:FC309),"")))</f>
        <v>4.4000000000000004</v>
      </c>
      <c r="FE113" s="13">
        <f>IF('Données projet'!$A$218&gt;35,FE112+FD113-FM112,IF(A113&lt;'Données projet'!$A$218,$FB$205^A113,IF(A113='Données projet'!$A$218,'Données projet'!$B$218,FE112+FD113-FM112)))</f>
        <v>304.9999999999996</v>
      </c>
      <c r="FF113" s="18">
        <f>FE113*VLOOKUP('Données projet'!$B$16,Paramètres!$A$1:$I$89,3,0)*VLOOKUP('Données projet'!$B$16,Paramètres!$A$1:$I$89,5,0)</f>
        <v>328.30199999999957</v>
      </c>
      <c r="FG113" s="14">
        <f t="shared" si="101"/>
        <v>77.078162824242781</v>
      </c>
      <c r="FH113" s="22">
        <f t="shared" si="76"/>
        <v>706.03711691888873</v>
      </c>
      <c r="FI113" s="62">
        <f t="shared" si="77"/>
        <v>988.806614193217</v>
      </c>
      <c r="FJ113" s="62">
        <f ca="1">AVERAGE(OFFSET($FI$3,0,0,'Données projet'!$E$16+1,1))-AVERAGE(OFFSET($H$3,0,0,'Données projet'!$E$16+1,1))</f>
        <v>534.33392288300456</v>
      </c>
      <c r="FK113" s="62">
        <f t="shared" si="102"/>
        <v>300.93109615735477</v>
      </c>
      <c r="FL113" s="16">
        <f>IF(ISNA(VLOOKUP(A113,'Données projet'!$A$217:$I$237,3,0)),0,VLOOKUP(A113,'Données projet'!$A$217:$I$237,3,0))</f>
        <v>9</v>
      </c>
      <c r="FM113" s="16">
        <f>IF(ISNA(VLOOKUP(A113,'Données projet'!$A$217:$I$237,4,0)),0,VLOOKUP(A113,'Données projet'!$A$217:$I$237,4,0))</f>
        <v>39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>
        <f>VLOOKUP(A113,'Données projet'!$A$243:$I$263,2,0)</f>
        <v>296.15384615384613</v>
      </c>
      <c r="FX113" s="13">
        <f>VLOOKUP(A113,'Données projet'!$A$243:$I$263,9,0)</f>
        <v>3.0769230769230718</v>
      </c>
      <c r="FY113" s="13">
        <f t="array" ref="FY113">INDEX(FX:FX,MIN(IF(ISNUMBER(FX113:FX309),ROW(FX113:FX309),"")))</f>
        <v>3.0769230769230718</v>
      </c>
      <c r="FZ113" s="13">
        <f>IF('Données projet'!$A$244&gt;35,FZ112+FY113-GH112,IF(A113&lt;'Données projet'!$A$244,$FW$205^A113,IF(A113='Données projet'!$A$244,'Données projet'!$B$244,FZ112+FY113-GH112)))</f>
        <v>296.15384615384608</v>
      </c>
      <c r="GA113" s="18">
        <f>FZ113*VLOOKUP('Données projet'!$B$17,Paramètres!$A$1:$I$89,3,0)*VLOOKUP('Données projet'!$B$17,Paramètres!$A$1:$I$89,5,0)</f>
        <v>198.65999999999994</v>
      </c>
      <c r="GB113" s="14">
        <f t="shared" si="103"/>
        <v>49.449561161821713</v>
      </c>
      <c r="GC113" s="22">
        <f t="shared" si="79"/>
        <v>432.12415235683937</v>
      </c>
      <c r="GD113" s="62">
        <f t="shared" si="80"/>
        <v>714.89364963116759</v>
      </c>
      <c r="GE113" s="62">
        <f ca="1">AVERAGE(OFFSET($GD$3,0,0,'Données projet'!$E$17+1,1))-AVERAGE(OFFSET($H$3,0,0,'Données projet'!$E$17+1,1))</f>
        <v>316.17772895535211</v>
      </c>
      <c r="GF113" s="62">
        <f t="shared" si="104"/>
        <v>251.94445589652992</v>
      </c>
      <c r="GG113" s="16">
        <f>IF(ISNA(VLOOKUP(A113,'Données projet'!$A$243:$I$263,3,0)),0,VLOOKUP(A113,'Données projet'!$A$243:$I$263,3,0))</f>
        <v>10</v>
      </c>
      <c r="GH113" s="16">
        <f>IF(ISNA(VLOOKUP(A113,'Données projet'!$A$243:$I$263,4,0)),0,VLOOKUP(A113,'Données projet'!$A$243:$I$263,4,0))</f>
        <v>296.15384615384613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67.118953802089521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3.95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14.483333333333334</v>
      </c>
      <c r="H114" s="70">
        <f t="shared" si="56"/>
        <v>198.73333333333335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4.5</v>
      </c>
      <c r="N114" s="14">
        <f>IF('Données projet'!$A$36&gt;35,N113+M114-V113,IF(A114&lt;'Données projet'!$A$36,$K$205^A114,IF(A114='Données projet'!$A$36,'Données projet'!$B$36,N113+M114-V113)))</f>
        <v>311.49999999999977</v>
      </c>
      <c r="O114" s="14">
        <f>N114*VLOOKUP('Données projet'!$B$9,Paramètres!$A$1:$I$89,3,0)*VLOOKUP('Données projet'!$B$9,Paramètres!$A$1:$I$89,5,0)</f>
        <v>262.40759999999983</v>
      </c>
      <c r="P114" s="14">
        <f t="shared" si="87"/>
        <v>63.235305349754363</v>
      </c>
      <c r="Q114" s="22">
        <f t="shared" si="107"/>
        <v>567.16139348415516</v>
      </c>
      <c r="R114" s="62">
        <f t="shared" si="55"/>
        <v>850.11414969690782</v>
      </c>
      <c r="S114" s="62">
        <f ca="1">AVERAGE(OFFSET($R$3,0,0,'Données projet'!$E$9+1,1))-AVERAGE(OFFSET($H$3,0,0,'Données projet'!$E$9+1,1))</f>
        <v>508.93703669150443</v>
      </c>
      <c r="T114" s="62">
        <f t="shared" si="88"/>
        <v>277.04920840696707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3.7</v>
      </c>
      <c r="AI114" s="14">
        <f>IF('Données projet'!$A$62&gt;35,AI113+AH114-AQ113,IF(A114&lt;'Données projet'!$A$62,$AF$205^A114,IF(A114='Données projet'!$A$62,'Données projet'!$B$62,AI113+AH114-AQ113)))</f>
        <v>269.69999999999959</v>
      </c>
      <c r="AJ114" s="14">
        <f>AI114*VLOOKUP('Données projet'!$B$10,Paramètres!$A$1:$I$89,3,0)*VLOOKUP('Données projet'!$B$10,Paramètres!$A$1:$I$89,5,0)</f>
        <v>244.02455999999964</v>
      </c>
      <c r="AK114" s="14">
        <f t="shared" si="89"/>
        <v>59.304594314969229</v>
      </c>
      <c r="AL114" s="22">
        <f t="shared" si="58"/>
        <v>528.29827709857079</v>
      </c>
      <c r="AM114" s="62">
        <f t="shared" si="59"/>
        <v>811.25103331132345</v>
      </c>
      <c r="AN114" s="62">
        <f ca="1">AVERAGE(OFFSET($AM$3,0,0,'Données projet'!$E$10+1,1))-AVERAGE(OFFSET($H$3,0,0,'Données projet'!$E$10+1,1))</f>
        <v>461.10503306101145</v>
      </c>
      <c r="AO114" s="62">
        <f t="shared" si="90"/>
        <v>262.10652147273288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-2.2737367544323206E-13</v>
      </c>
      <c r="BE114" s="14">
        <f>BD114*VLOOKUP('Données projet'!$B$11,Paramètres!$A$1:$I$89,3,0)*VLOOKUP('Données projet'!$B$11,Paramètres!$A$1:$I$89,5,0)</f>
        <v>-1.8089849618263545E-13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389.67854939311752</v>
      </c>
      <c r="BJ114" s="62">
        <f t="shared" si="92"/>
        <v>420.05189970516096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-1.0516032489249483E-12</v>
      </c>
      <c r="BZ114" s="14">
        <f>BY114*VLOOKUP('Données projet'!$B$12,Paramètres!$A$1:$I$89,3,0)*VLOOKUP('Données projet'!$B$12,Paramètres!$A$1:$I$89,5,0)</f>
        <v>-6.0151705838507046E-13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312.16891625633968</v>
      </c>
      <c r="CE114" s="62">
        <f t="shared" si="94"/>
        <v>215.34305815516177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1.2714124125833877</v>
      </c>
      <c r="CM114" s="23">
        <f>EXP(-LN(2)/2)*CM113+(1-EXP(-LN(2)/2))/(LN(2)/2)*CG114*CJ114*VLOOKUP('Données projet'!$B$12,Paramètres!$A$1:$I$89,3,0)*0.475*44/12</f>
        <v>5.2397959059046854E-12</v>
      </c>
      <c r="CN114" s="24">
        <f t="shared" si="66"/>
        <v>1.2714124125886275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3.979039320256561E-13</v>
      </c>
      <c r="CU114" s="18">
        <f>CT114*VLOOKUP('Données projet'!$B$13,Paramètres!$A$1:$I$89,3,0)*VLOOKUP('Données projet'!$B$13,Paramètres!$A$1:$I$89,5,0)</f>
        <v>2.669139576028101E-13</v>
      </c>
      <c r="CV114" s="14">
        <f t="shared" si="95"/>
        <v>3.5767923834585247E-12</v>
      </c>
      <c r="CW114" s="22">
        <f t="shared" si="67"/>
        <v>6.6944552106818241E-12</v>
      </c>
      <c r="CX114" s="62">
        <f t="shared" si="68"/>
        <v>282.95275621275931</v>
      </c>
      <c r="CY114" s="62">
        <f ca="1">AVERAGE(OFFSET($CX$3,0,0,'Données projet'!$E$13+1,1))-AVERAGE(OFFSET($H$3,0,0,'Données projet'!$E$13+1,1))</f>
        <v>369.04754428478793</v>
      </c>
      <c r="CZ114" s="62">
        <f t="shared" si="96"/>
        <v>277.00523259351712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1.1368683772161603E-13</v>
      </c>
      <c r="DP114" s="18">
        <f>DO114*VLOOKUP('Données projet'!$B$14,Paramètres!$A$1:$I$89,3,0)*VLOOKUP('Données projet'!$B$14,Paramètres!$A$1:$I$89,5,0)</f>
        <v>8.8675733422860506E-14</v>
      </c>
      <c r="DQ114" s="14">
        <f t="shared" si="97"/>
        <v>1.3509285393066301E-12</v>
      </c>
      <c r="DR114" s="22">
        <f t="shared" si="70"/>
        <v>2.5073107750038623E-12</v>
      </c>
      <c r="DS114" s="62">
        <f t="shared" si="71"/>
        <v>282.95275621275511</v>
      </c>
      <c r="DT114" s="62">
        <f ca="1">AVERAGE(OFFSET($DS$3,0,0,'Données projet'!$E$14+1,1))-AVERAGE(OFFSET($H$3,0,0,'Données projet'!$E$14+1,1))</f>
        <v>308.39181291575227</v>
      </c>
      <c r="DU114" s="62">
        <f t="shared" si="98"/>
        <v>298.58225298824334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3.7</v>
      </c>
      <c r="EJ114" s="13">
        <f>IF('Données projet'!$A$192&gt;35,EJ113+EI114-ER113,IF(A114&lt;'Données projet'!$A$192,$EG$205^A114,IF(A114='Données projet'!$A$192,'Données projet'!$B$192,EJ113+EI114-ER113)))</f>
        <v>269.69999999999959</v>
      </c>
      <c r="EK114" s="18">
        <f>EJ114*VLOOKUP('Données projet'!$B$15,Paramètres!$A$1:$I$89,3,0)*VLOOKUP('Données projet'!$B$15,Paramètres!$A$1:$I$89,5,0)</f>
        <v>260.85383999999959</v>
      </c>
      <c r="EL114" s="14">
        <f t="shared" si="99"/>
        <v>62.904347395903649</v>
      </c>
      <c r="EM114" s="22">
        <f t="shared" si="73"/>
        <v>563.87884304786473</v>
      </c>
      <c r="EN114" s="62">
        <f t="shared" si="74"/>
        <v>846.83159926061739</v>
      </c>
      <c r="EO114" s="62">
        <f ca="1">AVERAGE(OFFSET($EN$3,0,0,'Données projet'!$E$15+1,1))-AVERAGE(OFFSET($H$3,0,0,'Données projet'!$E$15+1,1))</f>
        <v>487.76433095707876</v>
      </c>
      <c r="EP114" s="62">
        <f t="shared" si="100"/>
        <v>276.24209151398361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3.7</v>
      </c>
      <c r="FE114" s="13">
        <f>IF('Données projet'!$A$218&gt;35,FE113+FD114-FM113,IF(A114&lt;'Données projet'!$A$218,$FB$205^A114,IF(A114='Données projet'!$A$218,'Données projet'!$B$218,FE113+FD114-FM113)))</f>
        <v>269.69999999999959</v>
      </c>
      <c r="FF114" s="18">
        <f>FE114*VLOOKUP('Données projet'!$B$16,Paramètres!$A$1:$I$89,3,0)*VLOOKUP('Données projet'!$B$16,Paramètres!$A$1:$I$89,5,0)</f>
        <v>290.30507999999958</v>
      </c>
      <c r="FG114" s="14">
        <f t="shared" si="101"/>
        <v>69.140166465323375</v>
      </c>
      <c r="FH114" s="22">
        <f t="shared" si="76"/>
        <v>626.03380426043748</v>
      </c>
      <c r="FI114" s="62">
        <f t="shared" si="77"/>
        <v>908.98656047319014</v>
      </c>
      <c r="FJ114" s="62">
        <f ca="1">AVERAGE(OFFSET($FI$3,0,0,'Données projet'!$E$16+1,1))-AVERAGE(OFFSET($H$3,0,0,'Données projet'!$E$16+1,1))</f>
        <v>534.33392288300456</v>
      </c>
      <c r="FK114" s="62">
        <f t="shared" si="102"/>
        <v>300.93109615735477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-5.6843418860808015E-14</v>
      </c>
      <c r="GA114" s="18">
        <f>FZ114*VLOOKUP('Données projet'!$B$17,Paramètres!$A$1:$I$89,3,0)*VLOOKUP('Données projet'!$B$17,Paramètres!$A$1:$I$89,5,0)</f>
        <v>-3.813056537183002E-14</v>
      </c>
      <c r="GB114" s="14" t="e">
        <f t="shared" si="103"/>
        <v>#NUM!</v>
      </c>
      <c r="GC114" s="22" t="e">
        <f t="shared" si="79"/>
        <v>#NUM!</v>
      </c>
      <c r="GD114" s="62" t="e">
        <f t="shared" si="80"/>
        <v>#NUM!</v>
      </c>
      <c r="GE114" s="62">
        <f ca="1">AVERAGE(OFFSET($GD$3,0,0,'Données projet'!$E$17+1,1))-AVERAGE(OFFSET($H$3,0,0,'Données projet'!$E$17+1,1))</f>
        <v>316.17772895535211</v>
      </c>
      <c r="GF114" s="62">
        <f t="shared" si="104"/>
        <v>251.94445589652992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67.168933512568898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3.95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14.483333333333334</v>
      </c>
      <c r="H115" s="70">
        <f t="shared" si="56"/>
        <v>198.73333333333335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4.5</v>
      </c>
      <c r="N115" s="14">
        <f>IF('Données projet'!$A$36&gt;35,N114+M115-V114,IF(A115&lt;'Données projet'!$A$36,$K$205^A115,IF(A115='Données projet'!$A$36,'Données projet'!$B$36,N114+M115-V114)))</f>
        <v>315.99999999999977</v>
      </c>
      <c r="O115" s="14">
        <f>N115*VLOOKUP('Données projet'!$B$9,Paramètres!$A$1:$I$89,3,0)*VLOOKUP('Données projet'!$B$9,Paramètres!$A$1:$I$89,5,0)</f>
        <v>266.19839999999988</v>
      </c>
      <c r="P115" s="14">
        <f t="shared" si="87"/>
        <v>64.041809198373215</v>
      </c>
      <c r="Q115" s="22">
        <f t="shared" si="107"/>
        <v>575.16836435383323</v>
      </c>
      <c r="R115" s="62">
        <f t="shared" si="55"/>
        <v>858.30120037213419</v>
      </c>
      <c r="S115" s="62">
        <f ca="1">AVERAGE(OFFSET($R$3,0,0,'Données projet'!$E$9+1,1))-AVERAGE(OFFSET($H$3,0,0,'Données projet'!$E$9+1,1))</f>
        <v>508.93703669150443</v>
      </c>
      <c r="T115" s="62">
        <f t="shared" si="88"/>
        <v>277.04920840696707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3.7</v>
      </c>
      <c r="AI115" s="14">
        <f>IF('Données projet'!$A$62&gt;35,AI114+AH115-AQ114,IF(A115&lt;'Données projet'!$A$62,$AF$205^A115,IF(A115='Données projet'!$A$62,'Données projet'!$B$62,AI114+AH115-AQ114)))</f>
        <v>273.39999999999958</v>
      </c>
      <c r="AJ115" s="14">
        <f>AI115*VLOOKUP('Données projet'!$B$10,Paramètres!$A$1:$I$89,3,0)*VLOOKUP('Données projet'!$B$10,Paramètres!$A$1:$I$89,5,0)</f>
        <v>247.3723199999996</v>
      </c>
      <c r="AK115" s="14">
        <f t="shared" si="89"/>
        <v>60.022917171130942</v>
      </c>
      <c r="AL115" s="22">
        <f t="shared" si="58"/>
        <v>535.38003807305233</v>
      </c>
      <c r="AM115" s="62">
        <f t="shared" si="59"/>
        <v>818.5128740913533</v>
      </c>
      <c r="AN115" s="62">
        <f ca="1">AVERAGE(OFFSET($AM$3,0,0,'Données projet'!$E$10+1,1))-AVERAGE(OFFSET($H$3,0,0,'Données projet'!$E$10+1,1))</f>
        <v>461.10503306101145</v>
      </c>
      <c r="AO115" s="62">
        <f t="shared" si="90"/>
        <v>262.10652147273288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-2.2737367544323206E-13</v>
      </c>
      <c r="BE115" s="14">
        <f>BD115*VLOOKUP('Données projet'!$B$11,Paramètres!$A$1:$I$89,3,0)*VLOOKUP('Données projet'!$B$11,Paramètres!$A$1:$I$89,5,0)</f>
        <v>-1.8089849618263545E-13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389.67854939311752</v>
      </c>
      <c r="BJ115" s="62">
        <f t="shared" si="92"/>
        <v>420.05189970516096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-1.0516032489249483E-12</v>
      </c>
      <c r="BZ115" s="14">
        <f>BY115*VLOOKUP('Données projet'!$B$12,Paramètres!$A$1:$I$89,3,0)*VLOOKUP('Données projet'!$B$12,Paramètres!$A$1:$I$89,5,0)</f>
        <v>-6.0151705838507046E-13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312.16891625633968</v>
      </c>
      <c r="CE115" s="62">
        <f t="shared" si="94"/>
        <v>215.34305815516177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1.2366455733006221</v>
      </c>
      <c r="CM115" s="23">
        <f>EXP(-LN(2)/2)*CM114+(1-EXP(-LN(2)/2))/(LN(2)/2)*CG115*CJ115*VLOOKUP('Données projet'!$B$12,Paramètres!$A$1:$I$89,3,0)*0.475*44/12</f>
        <v>3.7050952170987119E-12</v>
      </c>
      <c r="CN115" s="24">
        <f t="shared" si="66"/>
        <v>1.2366455733043271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3.979039320256561E-13</v>
      </c>
      <c r="CU115" s="18">
        <f>CT115*VLOOKUP('Données projet'!$B$13,Paramètres!$A$1:$I$89,3,0)*VLOOKUP('Données projet'!$B$13,Paramètres!$A$1:$I$89,5,0)</f>
        <v>2.669139576028101E-13</v>
      </c>
      <c r="CV115" s="14">
        <f t="shared" si="95"/>
        <v>3.5767923834585247E-12</v>
      </c>
      <c r="CW115" s="22">
        <f t="shared" si="67"/>
        <v>6.6944552106818241E-12</v>
      </c>
      <c r="CX115" s="62">
        <f t="shared" si="68"/>
        <v>283.13283601830773</v>
      </c>
      <c r="CY115" s="62">
        <f ca="1">AVERAGE(OFFSET($CX$3,0,0,'Données projet'!$E$13+1,1))-AVERAGE(OFFSET($H$3,0,0,'Données projet'!$E$13+1,1))</f>
        <v>369.04754428478793</v>
      </c>
      <c r="CZ115" s="62">
        <f t="shared" si="96"/>
        <v>277.00523259351712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1.1368683772161603E-13</v>
      </c>
      <c r="DP115" s="18">
        <f>DO115*VLOOKUP('Données projet'!$B$14,Paramètres!$A$1:$I$89,3,0)*VLOOKUP('Données projet'!$B$14,Paramètres!$A$1:$I$89,5,0)</f>
        <v>8.8675733422860506E-14</v>
      </c>
      <c r="DQ115" s="14">
        <f t="shared" si="97"/>
        <v>1.3509285393066301E-12</v>
      </c>
      <c r="DR115" s="22">
        <f t="shared" si="70"/>
        <v>2.5073107750038623E-12</v>
      </c>
      <c r="DS115" s="62">
        <f t="shared" si="71"/>
        <v>283.13283601830352</v>
      </c>
      <c r="DT115" s="62">
        <f ca="1">AVERAGE(OFFSET($DS$3,0,0,'Données projet'!$E$14+1,1))-AVERAGE(OFFSET($H$3,0,0,'Données projet'!$E$14+1,1))</f>
        <v>308.39181291575227</v>
      </c>
      <c r="DU115" s="62">
        <f t="shared" si="98"/>
        <v>298.58225298824334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3.7</v>
      </c>
      <c r="EJ115" s="13">
        <f>IF('Données projet'!$A$192&gt;35,EJ114+EI115-ER114,IF(A115&lt;'Données projet'!$A$192,$EG$205^A115,IF(A115='Données projet'!$A$192,'Données projet'!$B$192,EJ114+EI115-ER114)))</f>
        <v>273.39999999999958</v>
      </c>
      <c r="EK115" s="18">
        <f>EJ115*VLOOKUP('Données projet'!$B$15,Paramètres!$A$1:$I$89,3,0)*VLOOKUP('Données projet'!$B$15,Paramètres!$A$1:$I$89,5,0)</f>
        <v>264.4324799999996</v>
      </c>
      <c r="EL115" s="14">
        <f t="shared" si="99"/>
        <v>63.666272015882292</v>
      </c>
      <c r="EM115" s="22">
        <f t="shared" si="73"/>
        <v>571.43865976099426</v>
      </c>
      <c r="EN115" s="62">
        <f t="shared" si="74"/>
        <v>854.57149577929522</v>
      </c>
      <c r="EO115" s="62">
        <f ca="1">AVERAGE(OFFSET($EN$3,0,0,'Données projet'!$E$15+1,1))-AVERAGE(OFFSET($H$3,0,0,'Données projet'!$E$15+1,1))</f>
        <v>487.76433095707876</v>
      </c>
      <c r="EP115" s="62">
        <f t="shared" si="100"/>
        <v>276.24209151398361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3.7</v>
      </c>
      <c r="FE115" s="13">
        <f>IF('Données projet'!$A$218&gt;35,FE114+FD115-FM114,IF(A115&lt;'Données projet'!$A$218,$FB$205^A115,IF(A115='Données projet'!$A$218,'Données projet'!$B$218,FE114+FD115-FM114)))</f>
        <v>273.39999999999958</v>
      </c>
      <c r="FF115" s="18">
        <f>FE115*VLOOKUP('Données projet'!$B$16,Paramètres!$A$1:$I$89,3,0)*VLOOKUP('Données projet'!$B$16,Paramètres!$A$1:$I$89,5,0)</f>
        <v>294.28775999999954</v>
      </c>
      <c r="FG115" s="14">
        <f t="shared" si="101"/>
        <v>69.977622018717668</v>
      </c>
      <c r="FH115" s="22">
        <f t="shared" si="76"/>
        <v>634.42887368259915</v>
      </c>
      <c r="FI115" s="62">
        <f t="shared" si="77"/>
        <v>917.56170970090011</v>
      </c>
      <c r="FJ115" s="62">
        <f ca="1">AVERAGE(OFFSET($FI$3,0,0,'Données projet'!$E$16+1,1))-AVERAGE(OFFSET($H$3,0,0,'Données projet'!$E$16+1,1))</f>
        <v>534.33392288300456</v>
      </c>
      <c r="FK115" s="62">
        <f t="shared" si="102"/>
        <v>300.93109615735477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-5.6843418860808015E-14</v>
      </c>
      <c r="GA115" s="18">
        <f>FZ115*VLOOKUP('Données projet'!$B$17,Paramètres!$A$1:$I$89,3,0)*VLOOKUP('Données projet'!$B$17,Paramètres!$A$1:$I$89,5,0)</f>
        <v>-3.813056537183002E-14</v>
      </c>
      <c r="GB115" s="14" t="e">
        <f t="shared" si="103"/>
        <v>#NUM!</v>
      </c>
      <c r="GC115" s="22" t="e">
        <f t="shared" si="79"/>
        <v>#NUM!</v>
      </c>
      <c r="GD115" s="62" t="e">
        <f t="shared" si="80"/>
        <v>#NUM!</v>
      </c>
      <c r="GE115" s="62">
        <f ca="1">AVERAGE(OFFSET($GD$3,0,0,'Données projet'!$E$17+1,1))-AVERAGE(OFFSET($H$3,0,0,'Données projet'!$E$17+1,1))</f>
        <v>316.17772895535211</v>
      </c>
      <c r="GF115" s="62">
        <f t="shared" si="104"/>
        <v>251.94445589652992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67.21804618680936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3.95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14.483333333333334</v>
      </c>
      <c r="H116" s="70">
        <f t="shared" si="56"/>
        <v>198.73333333333335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4.5</v>
      </c>
      <c r="N116" s="14">
        <f>IF('Données projet'!$A$36&gt;35,N115+M116-V115,IF(A116&lt;'Données projet'!$A$36,$K$205^A116,IF(A116='Données projet'!$A$36,'Données projet'!$B$36,N115+M116-V115)))</f>
        <v>320.49999999999977</v>
      </c>
      <c r="O116" s="14">
        <f>N116*VLOOKUP('Données projet'!$B$9,Paramètres!$A$1:$I$89,3,0)*VLOOKUP('Données projet'!$B$9,Paramètres!$A$1:$I$89,5,0)</f>
        <v>269.98919999999981</v>
      </c>
      <c r="P116" s="14">
        <f t="shared" si="87"/>
        <v>64.846977249929026</v>
      </c>
      <c r="Q116" s="22">
        <f t="shared" si="107"/>
        <v>583.17300871029272</v>
      </c>
      <c r="R116" s="62">
        <f t="shared" si="55"/>
        <v>866.48280055211399</v>
      </c>
      <c r="S116" s="62">
        <f ca="1">AVERAGE(OFFSET($R$3,0,0,'Données projet'!$E$9+1,1))-AVERAGE(OFFSET($H$3,0,0,'Données projet'!$E$9+1,1))</f>
        <v>508.93703669150443</v>
      </c>
      <c r="T116" s="62">
        <f t="shared" si="88"/>
        <v>277.04920840696707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3.7</v>
      </c>
      <c r="AI116" s="14">
        <f>IF('Données projet'!$A$62&gt;35,AI115+AH116-AQ115,IF(A116&lt;'Données projet'!$A$62,$AF$205^A116,IF(A116='Données projet'!$A$62,'Données projet'!$B$62,AI115+AH116-AQ115)))</f>
        <v>277.09999999999957</v>
      </c>
      <c r="AJ116" s="14">
        <f>AI116*VLOOKUP('Données projet'!$B$10,Paramètres!$A$1:$I$89,3,0)*VLOOKUP('Données projet'!$B$10,Paramètres!$A$1:$I$89,5,0)</f>
        <v>250.7200799999996</v>
      </c>
      <c r="AK116" s="14">
        <f t="shared" si="89"/>
        <v>60.740109326032709</v>
      </c>
      <c r="AL116" s="22">
        <f t="shared" si="58"/>
        <v>542.45982974283959</v>
      </c>
      <c r="AM116" s="62">
        <f t="shared" si="59"/>
        <v>825.76962158466085</v>
      </c>
      <c r="AN116" s="62">
        <f ca="1">AVERAGE(OFFSET($AM$3,0,0,'Données projet'!$E$10+1,1))-AVERAGE(OFFSET($H$3,0,0,'Données projet'!$E$10+1,1))</f>
        <v>461.10503306101145</v>
      </c>
      <c r="AO116" s="62">
        <f t="shared" si="90"/>
        <v>262.10652147273288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-2.2737367544323206E-13</v>
      </c>
      <c r="BE116" s="14">
        <f>BD116*VLOOKUP('Données projet'!$B$11,Paramètres!$A$1:$I$89,3,0)*VLOOKUP('Données projet'!$B$11,Paramètres!$A$1:$I$89,5,0)</f>
        <v>-1.8089849618263545E-13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389.67854939311752</v>
      </c>
      <c r="BJ116" s="62">
        <f t="shared" si="92"/>
        <v>420.05189970516096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-1.0516032489249483E-12</v>
      </c>
      <c r="BZ116" s="14">
        <f>BY116*VLOOKUP('Données projet'!$B$12,Paramètres!$A$1:$I$89,3,0)*VLOOKUP('Données projet'!$B$12,Paramètres!$A$1:$I$89,5,0)</f>
        <v>-6.0151705838507046E-13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312.16891625633968</v>
      </c>
      <c r="CE116" s="62">
        <f t="shared" si="94"/>
        <v>215.34305815516177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1.2028294350663522</v>
      </c>
      <c r="CM116" s="23">
        <f>EXP(-LN(2)/2)*CM115+(1-EXP(-LN(2)/2))/(LN(2)/2)*CG116*CJ116*VLOOKUP('Données projet'!$B$12,Paramètres!$A$1:$I$89,3,0)*0.475*44/12</f>
        <v>2.6198979529523427E-12</v>
      </c>
      <c r="CN116" s="24">
        <f t="shared" si="66"/>
        <v>1.2028294350689721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3.979039320256561E-13</v>
      </c>
      <c r="CU116" s="18">
        <f>CT116*VLOOKUP('Données projet'!$B$13,Paramètres!$A$1:$I$89,3,0)*VLOOKUP('Données projet'!$B$13,Paramètres!$A$1:$I$89,5,0)</f>
        <v>2.669139576028101E-13</v>
      </c>
      <c r="CV116" s="14">
        <f t="shared" si="95"/>
        <v>3.5767923834585247E-12</v>
      </c>
      <c r="CW116" s="22">
        <f t="shared" si="67"/>
        <v>6.6944552106818241E-12</v>
      </c>
      <c r="CX116" s="62">
        <f t="shared" si="68"/>
        <v>283.30979184182797</v>
      </c>
      <c r="CY116" s="62">
        <f ca="1">AVERAGE(OFFSET($CX$3,0,0,'Données projet'!$E$13+1,1))-AVERAGE(OFFSET($H$3,0,0,'Données projet'!$E$13+1,1))</f>
        <v>369.04754428478793</v>
      </c>
      <c r="CZ116" s="62">
        <f t="shared" si="96"/>
        <v>277.00523259351712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1.1368683772161603E-13</v>
      </c>
      <c r="DP116" s="18">
        <f>DO116*VLOOKUP('Données projet'!$B$14,Paramètres!$A$1:$I$89,3,0)*VLOOKUP('Données projet'!$B$14,Paramètres!$A$1:$I$89,5,0)</f>
        <v>8.8675733422860506E-14</v>
      </c>
      <c r="DQ116" s="14">
        <f t="shared" si="97"/>
        <v>1.3509285393066301E-12</v>
      </c>
      <c r="DR116" s="22">
        <f t="shared" si="70"/>
        <v>2.5073107750038623E-12</v>
      </c>
      <c r="DS116" s="62">
        <f t="shared" si="71"/>
        <v>283.30979184182377</v>
      </c>
      <c r="DT116" s="62">
        <f ca="1">AVERAGE(OFFSET($DS$3,0,0,'Données projet'!$E$14+1,1))-AVERAGE(OFFSET($H$3,0,0,'Données projet'!$E$14+1,1))</f>
        <v>308.39181291575227</v>
      </c>
      <c r="DU116" s="62">
        <f t="shared" si="98"/>
        <v>298.58225298824334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3.7</v>
      </c>
      <c r="EJ116" s="13">
        <f>IF('Données projet'!$A$192&gt;35,EJ115+EI116-ER115,IF(A116&lt;'Données projet'!$A$192,$EG$205^A116,IF(A116='Données projet'!$A$192,'Données projet'!$B$192,EJ115+EI116-ER115)))</f>
        <v>277.09999999999957</v>
      </c>
      <c r="EK116" s="18">
        <f>EJ116*VLOOKUP('Données projet'!$B$15,Paramètres!$A$1:$I$89,3,0)*VLOOKUP('Données projet'!$B$15,Paramètres!$A$1:$I$89,5,0)</f>
        <v>268.01111999999961</v>
      </c>
      <c r="EL116" s="14">
        <f t="shared" si="99"/>
        <v>64.426997301716796</v>
      </c>
      <c r="EM116" s="22">
        <f t="shared" si="73"/>
        <v>578.99638763382268</v>
      </c>
      <c r="EN116" s="62">
        <f t="shared" si="74"/>
        <v>862.30617947564394</v>
      </c>
      <c r="EO116" s="62">
        <f ca="1">AVERAGE(OFFSET($EN$3,0,0,'Données projet'!$E$15+1,1))-AVERAGE(OFFSET($H$3,0,0,'Données projet'!$E$15+1,1))</f>
        <v>487.76433095707876</v>
      </c>
      <c r="EP116" s="62">
        <f t="shared" si="100"/>
        <v>276.24209151398361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3.7</v>
      </c>
      <c r="FE116" s="13">
        <f>IF('Données projet'!$A$218&gt;35,FE115+FD116-FM115,IF(A116&lt;'Données projet'!$A$218,$FB$205^A116,IF(A116='Données projet'!$A$218,'Données projet'!$B$218,FE115+FD116-FM115)))</f>
        <v>277.09999999999957</v>
      </c>
      <c r="FF116" s="18">
        <f>FE116*VLOOKUP('Données projet'!$B$16,Paramètres!$A$1:$I$89,3,0)*VLOOKUP('Données projet'!$B$16,Paramètres!$A$1:$I$89,5,0)</f>
        <v>298.27043999999955</v>
      </c>
      <c r="FG116" s="14">
        <f t="shared" si="101"/>
        <v>70.813759345855914</v>
      </c>
      <c r="FH116" s="22">
        <f t="shared" si="76"/>
        <v>642.82164719403158</v>
      </c>
      <c r="FI116" s="62">
        <f t="shared" si="77"/>
        <v>926.13143903585285</v>
      </c>
      <c r="FJ116" s="62">
        <f ca="1">AVERAGE(OFFSET($FI$3,0,0,'Données projet'!$E$16+1,1))-AVERAGE(OFFSET($H$3,0,0,'Données projet'!$E$16+1,1))</f>
        <v>534.33392288300456</v>
      </c>
      <c r="FK116" s="62">
        <f t="shared" si="102"/>
        <v>300.93109615735477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-5.6843418860808015E-14</v>
      </c>
      <c r="GA116" s="18">
        <f>FZ116*VLOOKUP('Données projet'!$B$17,Paramètres!$A$1:$I$89,3,0)*VLOOKUP('Données projet'!$B$17,Paramètres!$A$1:$I$89,5,0)</f>
        <v>-3.813056537183002E-14</v>
      </c>
      <c r="GB116" s="14" t="e">
        <f t="shared" si="103"/>
        <v>#NUM!</v>
      </c>
      <c r="GC116" s="22" t="e">
        <f t="shared" si="79"/>
        <v>#NUM!</v>
      </c>
      <c r="GD116" s="62" t="e">
        <f t="shared" si="80"/>
        <v>#NUM!</v>
      </c>
      <c r="GE116" s="62">
        <f ca="1">AVERAGE(OFFSET($GD$3,0,0,'Données projet'!$E$17+1,1))-AVERAGE(OFFSET($H$3,0,0,'Données projet'!$E$17+1,1))</f>
        <v>316.17772895535211</v>
      </c>
      <c r="GF116" s="62">
        <f t="shared" si="104"/>
        <v>251.94445589652992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67.26630686595125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3.95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14.483333333333334</v>
      </c>
      <c r="H117" s="70">
        <f t="shared" si="56"/>
        <v>198.73333333333335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4.5</v>
      </c>
      <c r="N117" s="14">
        <f>IF('Données projet'!$A$36&gt;35,N116+M117-V116,IF(A117&lt;'Données projet'!$A$36,$K$205^A117,IF(A117='Données projet'!$A$36,'Données projet'!$B$36,N116+M117-V116)))</f>
        <v>324.99999999999977</v>
      </c>
      <c r="O117" s="14">
        <f>N117*VLOOKUP('Données projet'!$B$9,Paramètres!$A$1:$I$89,3,0)*VLOOKUP('Données projet'!$B$9,Paramètres!$A$1:$I$89,5,0)</f>
        <v>273.77999999999986</v>
      </c>
      <c r="P117" s="14">
        <f t="shared" si="87"/>
        <v>65.650830427167435</v>
      </c>
      <c r="Q117" s="22">
        <f t="shared" si="107"/>
        <v>591.17536299398296</v>
      </c>
      <c r="R117" s="62">
        <f t="shared" si="55"/>
        <v>874.65904087140029</v>
      </c>
      <c r="S117" s="62">
        <f ca="1">AVERAGE(OFFSET($R$3,0,0,'Données projet'!$E$9+1,1))-AVERAGE(OFFSET($H$3,0,0,'Données projet'!$E$9+1,1))</f>
        <v>508.93703669150443</v>
      </c>
      <c r="T117" s="62">
        <f t="shared" si="88"/>
        <v>277.04920840696707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3.7</v>
      </c>
      <c r="AI117" s="14">
        <f>IF('Données projet'!$A$62&gt;35,AI116+AH117-AQ116,IF(A117&lt;'Données projet'!$A$62,$AF$205^A117,IF(A117='Données projet'!$A$62,'Données projet'!$B$62,AI116+AH117-AQ116)))</f>
        <v>280.79999999999956</v>
      </c>
      <c r="AJ117" s="14">
        <f>AI117*VLOOKUP('Données projet'!$B$10,Paramètres!$A$1:$I$89,3,0)*VLOOKUP('Données projet'!$B$10,Paramètres!$A$1:$I$89,5,0)</f>
        <v>254.06783999999956</v>
      </c>
      <c r="AK117" s="14">
        <f t="shared" si="89"/>
        <v>61.456187622750669</v>
      </c>
      <c r="AL117" s="22">
        <f t="shared" si="58"/>
        <v>549.53768144295657</v>
      </c>
      <c r="AM117" s="62">
        <f t="shared" si="59"/>
        <v>833.0213593203739</v>
      </c>
      <c r="AN117" s="62">
        <f ca="1">AVERAGE(OFFSET($AM$3,0,0,'Données projet'!$E$10+1,1))-AVERAGE(OFFSET($H$3,0,0,'Données projet'!$E$10+1,1))</f>
        <v>461.10503306101145</v>
      </c>
      <c r="AO117" s="62">
        <f t="shared" si="90"/>
        <v>262.10652147273288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-2.2737367544323206E-13</v>
      </c>
      <c r="BE117" s="14">
        <f>BD117*VLOOKUP('Données projet'!$B$11,Paramètres!$A$1:$I$89,3,0)*VLOOKUP('Données projet'!$B$11,Paramètres!$A$1:$I$89,5,0)</f>
        <v>-1.8089849618263545E-13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389.67854939311752</v>
      </c>
      <c r="BJ117" s="62">
        <f t="shared" si="92"/>
        <v>420.05189970516096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-1.0516032489249483E-12</v>
      </c>
      <c r="BZ117" s="14">
        <f>BY117*VLOOKUP('Données projet'!$B$12,Paramètres!$A$1:$I$89,3,0)*VLOOKUP('Données projet'!$B$12,Paramètres!$A$1:$I$89,5,0)</f>
        <v>-6.0151705838507046E-13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312.16891625633968</v>
      </c>
      <c r="CE117" s="62">
        <f t="shared" si="94"/>
        <v>215.34305815516177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1.1699380009104119</v>
      </c>
      <c r="CM117" s="23">
        <f>EXP(-LN(2)/2)*CM116+(1-EXP(-LN(2)/2))/(LN(2)/2)*CG117*CJ117*VLOOKUP('Données projet'!$B$12,Paramètres!$A$1:$I$89,3,0)*0.475*44/12</f>
        <v>1.852547608549356E-12</v>
      </c>
      <c r="CN117" s="24">
        <f t="shared" si="66"/>
        <v>1.1699380009122644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3.979039320256561E-13</v>
      </c>
      <c r="CU117" s="18">
        <f>CT117*VLOOKUP('Données projet'!$B$13,Paramètres!$A$1:$I$89,3,0)*VLOOKUP('Données projet'!$B$13,Paramètres!$A$1:$I$89,5,0)</f>
        <v>2.669139576028101E-13</v>
      </c>
      <c r="CV117" s="14">
        <f t="shared" si="95"/>
        <v>3.5767923834585247E-12</v>
      </c>
      <c r="CW117" s="22">
        <f t="shared" si="67"/>
        <v>6.6944552106818241E-12</v>
      </c>
      <c r="CX117" s="62">
        <f t="shared" si="68"/>
        <v>283.4836778774241</v>
      </c>
      <c r="CY117" s="62">
        <f ca="1">AVERAGE(OFFSET($CX$3,0,0,'Données projet'!$E$13+1,1))-AVERAGE(OFFSET($H$3,0,0,'Données projet'!$E$13+1,1))</f>
        <v>369.04754428478793</v>
      </c>
      <c r="CZ117" s="62">
        <f t="shared" si="96"/>
        <v>277.00523259351712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1.1368683772161603E-13</v>
      </c>
      <c r="DP117" s="18">
        <f>DO117*VLOOKUP('Données projet'!$B$14,Paramètres!$A$1:$I$89,3,0)*VLOOKUP('Données projet'!$B$14,Paramètres!$A$1:$I$89,5,0)</f>
        <v>8.8675733422860506E-14</v>
      </c>
      <c r="DQ117" s="14">
        <f t="shared" si="97"/>
        <v>1.3509285393066301E-12</v>
      </c>
      <c r="DR117" s="22">
        <f t="shared" si="70"/>
        <v>2.5073107750038623E-12</v>
      </c>
      <c r="DS117" s="62">
        <f t="shared" si="71"/>
        <v>283.48367787741989</v>
      </c>
      <c r="DT117" s="62">
        <f ca="1">AVERAGE(OFFSET($DS$3,0,0,'Données projet'!$E$14+1,1))-AVERAGE(OFFSET($H$3,0,0,'Données projet'!$E$14+1,1))</f>
        <v>308.39181291575227</v>
      </c>
      <c r="DU117" s="62">
        <f t="shared" si="98"/>
        <v>298.58225298824334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3.7</v>
      </c>
      <c r="EJ117" s="13">
        <f>IF('Données projet'!$A$192&gt;35,EJ116+EI117-ER116,IF(A117&lt;'Données projet'!$A$192,$EG$205^A117,IF(A117='Données projet'!$A$192,'Données projet'!$B$192,EJ116+EI117-ER116)))</f>
        <v>280.79999999999956</v>
      </c>
      <c r="EK117" s="18">
        <f>EJ117*VLOOKUP('Données projet'!$B$15,Paramètres!$A$1:$I$89,3,0)*VLOOKUP('Données projet'!$B$15,Paramètres!$A$1:$I$89,5,0)</f>
        <v>271.58975999999956</v>
      </c>
      <c r="EL117" s="14">
        <f t="shared" si="99"/>
        <v>65.186541118848012</v>
      </c>
      <c r="EM117" s="22">
        <f t="shared" si="73"/>
        <v>586.55205778199286</v>
      </c>
      <c r="EN117" s="62">
        <f t="shared" si="74"/>
        <v>870.03573565941019</v>
      </c>
      <c r="EO117" s="62">
        <f ca="1">AVERAGE(OFFSET($EN$3,0,0,'Données projet'!$E$15+1,1))-AVERAGE(OFFSET($H$3,0,0,'Données projet'!$E$15+1,1))</f>
        <v>487.76433095707876</v>
      </c>
      <c r="EP117" s="62">
        <f t="shared" si="100"/>
        <v>276.24209151398361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3.7</v>
      </c>
      <c r="FE117" s="13">
        <f>IF('Données projet'!$A$218&gt;35,FE116+FD117-FM116,IF(A117&lt;'Données projet'!$A$218,$FB$205^A117,IF(A117='Données projet'!$A$218,'Données projet'!$B$218,FE116+FD117-FM116)))</f>
        <v>280.79999999999956</v>
      </c>
      <c r="FF117" s="18">
        <f>FE117*VLOOKUP('Données projet'!$B$16,Paramètres!$A$1:$I$89,3,0)*VLOOKUP('Données projet'!$B$16,Paramètres!$A$1:$I$89,5,0)</f>
        <v>302.25311999999951</v>
      </c>
      <c r="FG117" s="14">
        <f t="shared" si="101"/>
        <v>71.648598083211283</v>
      </c>
      <c r="FH117" s="22">
        <f t="shared" si="76"/>
        <v>651.21215899492529</v>
      </c>
      <c r="FI117" s="62">
        <f t="shared" si="77"/>
        <v>934.69583687234262</v>
      </c>
      <c r="FJ117" s="62">
        <f ca="1">AVERAGE(OFFSET($FI$3,0,0,'Données projet'!$E$16+1,1))-AVERAGE(OFFSET($H$3,0,0,'Données projet'!$E$16+1,1))</f>
        <v>534.33392288300456</v>
      </c>
      <c r="FK117" s="62">
        <f t="shared" si="102"/>
        <v>300.93109615735477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-5.6843418860808015E-14</v>
      </c>
      <c r="GA117" s="18">
        <f>FZ117*VLOOKUP('Données projet'!$B$17,Paramètres!$A$1:$I$89,3,0)*VLOOKUP('Données projet'!$B$17,Paramètres!$A$1:$I$89,5,0)</f>
        <v>-3.813056537183002E-14</v>
      </c>
      <c r="GB117" s="14" t="e">
        <f t="shared" si="103"/>
        <v>#NUM!</v>
      </c>
      <c r="GC117" s="22" t="e">
        <f t="shared" si="79"/>
        <v>#NUM!</v>
      </c>
      <c r="GD117" s="62" t="e">
        <f t="shared" si="80"/>
        <v>#NUM!</v>
      </c>
      <c r="GE117" s="62">
        <f ca="1">AVERAGE(OFFSET($GD$3,0,0,'Données projet'!$E$17+1,1))-AVERAGE(OFFSET($H$3,0,0,'Données projet'!$E$17+1,1))</f>
        <v>316.17772895535211</v>
      </c>
      <c r="GF117" s="62">
        <f t="shared" si="104"/>
        <v>251.94445589652992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67.313730330204734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3.95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14.483333333333334</v>
      </c>
      <c r="H118" s="70">
        <f t="shared" si="56"/>
        <v>198.73333333333335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4.5</v>
      </c>
      <c r="N118" s="14">
        <f>IF('Données projet'!$A$36&gt;35,N117+M118-V117,IF(A118&lt;'Données projet'!$A$36,$K$205^A118,IF(A118='Données projet'!$A$36,'Données projet'!$B$36,N117+M118-V117)))</f>
        <v>329.49999999999977</v>
      </c>
      <c r="O118" s="14">
        <f>N118*VLOOKUP('Données projet'!$B$9,Paramètres!$A$1:$I$89,3,0)*VLOOKUP('Données projet'!$B$9,Paramètres!$A$1:$I$89,5,0)</f>
        <v>277.57079999999985</v>
      </c>
      <c r="P118" s="14">
        <f t="shared" si="87"/>
        <v>66.453389040149148</v>
      </c>
      <c r="Q118" s="22">
        <f t="shared" si="107"/>
        <v>599.1754625782595</v>
      </c>
      <c r="R118" s="62">
        <f t="shared" si="55"/>
        <v>882.8300099573064</v>
      </c>
      <c r="S118" s="62">
        <f ca="1">AVERAGE(OFFSET($R$3,0,0,'Données projet'!$E$9+1,1))-AVERAGE(OFFSET($H$3,0,0,'Données projet'!$E$9+1,1))</f>
        <v>508.93703669150443</v>
      </c>
      <c r="T118" s="62">
        <f t="shared" si="88"/>
        <v>277.04920840696707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3.7</v>
      </c>
      <c r="AI118" s="14">
        <f>IF('Données projet'!$A$62&gt;35,AI117+AH118-AQ117,IF(A118&lt;'Données projet'!$A$62,$AF$205^A118,IF(A118='Données projet'!$A$62,'Données projet'!$B$62,AI117+AH118-AQ117)))</f>
        <v>284.49999999999955</v>
      </c>
      <c r="AJ118" s="14">
        <f>AI118*VLOOKUP('Données projet'!$B$10,Paramètres!$A$1:$I$89,3,0)*VLOOKUP('Données projet'!$B$10,Paramètres!$A$1:$I$89,5,0)</f>
        <v>257.41559999999959</v>
      </c>
      <c r="AK118" s="14">
        <f t="shared" si="89"/>
        <v>62.171168434977062</v>
      </c>
      <c r="AL118" s="22">
        <f t="shared" si="58"/>
        <v>556.61362169091774</v>
      </c>
      <c r="AM118" s="62">
        <f t="shared" si="59"/>
        <v>840.26816906996464</v>
      </c>
      <c r="AN118" s="62">
        <f ca="1">AVERAGE(OFFSET($AM$3,0,0,'Données projet'!$E$10+1,1))-AVERAGE(OFFSET($H$3,0,0,'Données projet'!$E$10+1,1))</f>
        <v>461.10503306101145</v>
      </c>
      <c r="AO118" s="62">
        <f t="shared" si="90"/>
        <v>262.10652147273288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-2.2737367544323206E-13</v>
      </c>
      <c r="BE118" s="14">
        <f>BD118*VLOOKUP('Données projet'!$B$11,Paramètres!$A$1:$I$89,3,0)*VLOOKUP('Données projet'!$B$11,Paramètres!$A$1:$I$89,5,0)</f>
        <v>-1.8089849618263545E-13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389.67854939311752</v>
      </c>
      <c r="BJ118" s="62">
        <f t="shared" si="92"/>
        <v>420.05189970516096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-1.0516032489249483E-12</v>
      </c>
      <c r="BZ118" s="14">
        <f>BY118*VLOOKUP('Données projet'!$B$12,Paramètres!$A$1:$I$89,3,0)*VLOOKUP('Données projet'!$B$12,Paramètres!$A$1:$I$89,5,0)</f>
        <v>-6.0151705838507046E-13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312.16891625633968</v>
      </c>
      <c r="CE118" s="62">
        <f t="shared" si="94"/>
        <v>215.34305815516177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1.1379459847511511</v>
      </c>
      <c r="CM118" s="23">
        <f>EXP(-LN(2)/2)*CM117+(1-EXP(-LN(2)/2))/(LN(2)/2)*CG118*CJ118*VLOOKUP('Données projet'!$B$12,Paramètres!$A$1:$I$89,3,0)*0.475*44/12</f>
        <v>1.3099489764761714E-12</v>
      </c>
      <c r="CN118" s="24">
        <f t="shared" si="66"/>
        <v>1.1379459847524609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3.979039320256561E-13</v>
      </c>
      <c r="CU118" s="18">
        <f>CT118*VLOOKUP('Données projet'!$B$13,Paramètres!$A$1:$I$89,3,0)*VLOOKUP('Données projet'!$B$13,Paramètres!$A$1:$I$89,5,0)</f>
        <v>2.669139576028101E-13</v>
      </c>
      <c r="CV118" s="14">
        <f t="shared" si="95"/>
        <v>3.5767923834585247E-12</v>
      </c>
      <c r="CW118" s="22">
        <f t="shared" si="67"/>
        <v>6.6944552106818241E-12</v>
      </c>
      <c r="CX118" s="62">
        <f t="shared" si="68"/>
        <v>283.65454737905355</v>
      </c>
      <c r="CY118" s="62">
        <f ca="1">AVERAGE(OFFSET($CX$3,0,0,'Données projet'!$E$13+1,1))-AVERAGE(OFFSET($H$3,0,0,'Données projet'!$E$13+1,1))</f>
        <v>369.04754428478793</v>
      </c>
      <c r="CZ118" s="62">
        <f t="shared" si="96"/>
        <v>277.00523259351712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1.1368683772161603E-13</v>
      </c>
      <c r="DP118" s="18">
        <f>DO118*VLOOKUP('Données projet'!$B$14,Paramètres!$A$1:$I$89,3,0)*VLOOKUP('Données projet'!$B$14,Paramètres!$A$1:$I$89,5,0)</f>
        <v>8.8675733422860506E-14</v>
      </c>
      <c r="DQ118" s="14">
        <f t="shared" si="97"/>
        <v>1.3509285393066301E-12</v>
      </c>
      <c r="DR118" s="22">
        <f t="shared" si="70"/>
        <v>2.5073107750038623E-12</v>
      </c>
      <c r="DS118" s="62">
        <f t="shared" si="71"/>
        <v>283.65454737904935</v>
      </c>
      <c r="DT118" s="62">
        <f ca="1">AVERAGE(OFFSET($DS$3,0,0,'Données projet'!$E$14+1,1))-AVERAGE(OFFSET($H$3,0,0,'Données projet'!$E$14+1,1))</f>
        <v>308.39181291575227</v>
      </c>
      <c r="DU118" s="62">
        <f t="shared" si="98"/>
        <v>298.58225298824334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3.7</v>
      </c>
      <c r="EJ118" s="13">
        <f>IF('Données projet'!$A$192&gt;35,EJ117+EI118-ER117,IF(A118&lt;'Données projet'!$A$192,$EG$205^A118,IF(A118='Données projet'!$A$192,'Données projet'!$B$192,EJ117+EI118-ER117)))</f>
        <v>284.49999999999955</v>
      </c>
      <c r="EK118" s="18">
        <f>EJ118*VLOOKUP('Données projet'!$B$15,Paramètres!$A$1:$I$89,3,0)*VLOOKUP('Données projet'!$B$15,Paramètres!$A$1:$I$89,5,0)</f>
        <v>275.16839999999956</v>
      </c>
      <c r="EL118" s="14">
        <f t="shared" si="99"/>
        <v>65.944920834841554</v>
      </c>
      <c r="EM118" s="22">
        <f t="shared" si="73"/>
        <v>594.10570045401494</v>
      </c>
      <c r="EN118" s="62">
        <f t="shared" si="74"/>
        <v>877.76024783306184</v>
      </c>
      <c r="EO118" s="62">
        <f ca="1">AVERAGE(OFFSET($EN$3,0,0,'Données projet'!$E$15+1,1))-AVERAGE(OFFSET($H$3,0,0,'Données projet'!$E$15+1,1))</f>
        <v>487.76433095707876</v>
      </c>
      <c r="EP118" s="62">
        <f t="shared" si="100"/>
        <v>276.24209151398361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3.7</v>
      </c>
      <c r="FE118" s="13">
        <f>IF('Données projet'!$A$218&gt;35,FE117+FD118-FM117,IF(A118&lt;'Données projet'!$A$218,$FB$205^A118,IF(A118='Données projet'!$A$218,'Données projet'!$B$218,FE117+FD118-FM117)))</f>
        <v>284.49999999999955</v>
      </c>
      <c r="FF118" s="18">
        <f>FE118*VLOOKUP('Données projet'!$B$16,Paramètres!$A$1:$I$89,3,0)*VLOOKUP('Données projet'!$B$16,Paramètres!$A$1:$I$89,5,0)</f>
        <v>306.23579999999947</v>
      </c>
      <c r="FG118" s="14">
        <f t="shared" si="101"/>
        <v>72.482157320026886</v>
      </c>
      <c r="FH118" s="22">
        <f t="shared" si="76"/>
        <v>659.6004423323792</v>
      </c>
      <c r="FI118" s="62">
        <f t="shared" si="77"/>
        <v>943.25498971142611</v>
      </c>
      <c r="FJ118" s="62">
        <f ca="1">AVERAGE(OFFSET($FI$3,0,0,'Données projet'!$E$16+1,1))-AVERAGE(OFFSET($H$3,0,0,'Données projet'!$E$16+1,1))</f>
        <v>534.33392288300456</v>
      </c>
      <c r="FK118" s="62">
        <f t="shared" si="102"/>
        <v>300.93109615735477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-5.6843418860808015E-14</v>
      </c>
      <c r="GA118" s="18">
        <f>FZ118*VLOOKUP('Données projet'!$B$17,Paramètres!$A$1:$I$89,3,0)*VLOOKUP('Données projet'!$B$17,Paramètres!$A$1:$I$89,5,0)</f>
        <v>-3.813056537183002E-14</v>
      </c>
      <c r="GB118" s="14" t="e">
        <f t="shared" si="103"/>
        <v>#NUM!</v>
      </c>
      <c r="GC118" s="22" t="e">
        <f t="shared" si="79"/>
        <v>#NUM!</v>
      </c>
      <c r="GD118" s="62" t="e">
        <f t="shared" si="80"/>
        <v>#NUM!</v>
      </c>
      <c r="GE118" s="62">
        <f ca="1">AVERAGE(OFFSET($GD$3,0,0,'Données projet'!$E$17+1,1))-AVERAGE(OFFSET($H$3,0,0,'Données projet'!$E$17+1,1))</f>
        <v>316.17772895535211</v>
      </c>
      <c r="GF118" s="62">
        <f t="shared" si="104"/>
        <v>251.94445589652992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67.36033110337641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3.95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14.483333333333334</v>
      </c>
      <c r="H119" s="70">
        <f t="shared" si="56"/>
        <v>198.73333333333335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4.5</v>
      </c>
      <c r="N119" s="14">
        <f>IF('Données projet'!$A$36&gt;35,N118+M119-V118,IF(A119&lt;'Données projet'!$A$36,$K$205^A119,IF(A119='Données projet'!$A$36,'Données projet'!$B$36,N118+M119-V118)))</f>
        <v>333.99999999999977</v>
      </c>
      <c r="O119" s="14">
        <f>N119*VLOOKUP('Données projet'!$B$9,Paramètres!$A$1:$I$89,3,0)*VLOOKUP('Données projet'!$B$9,Paramètres!$A$1:$I$89,5,0)</f>
        <v>281.36159999999984</v>
      </c>
      <c r="P119" s="14">
        <f t="shared" si="87"/>
        <v>67.254672812309309</v>
      </c>
      <c r="Q119" s="22">
        <f t="shared" si="107"/>
        <v>607.17334181477167</v>
      </c>
      <c r="R119" s="62">
        <f t="shared" si="55"/>
        <v>890.9957944916016</v>
      </c>
      <c r="S119" s="62">
        <f ca="1">AVERAGE(OFFSET($R$3,0,0,'Données projet'!$E$9+1,1))-AVERAGE(OFFSET($H$3,0,0,'Données projet'!$E$9+1,1))</f>
        <v>508.93703669150443</v>
      </c>
      <c r="T119" s="62">
        <f t="shared" si="88"/>
        <v>277.04920840696707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3.7</v>
      </c>
      <c r="AI119" s="14">
        <f>IF('Données projet'!$A$62&gt;35,AI118+AH119-AQ118,IF(A119&lt;'Données projet'!$A$62,$AF$205^A119,IF(A119='Données projet'!$A$62,'Données projet'!$B$62,AI118+AH119-AQ118)))</f>
        <v>288.19999999999953</v>
      </c>
      <c r="AJ119" s="14">
        <f>AI119*VLOOKUP('Données projet'!$B$10,Paramètres!$A$1:$I$89,3,0)*VLOOKUP('Données projet'!$B$10,Paramètres!$A$1:$I$89,5,0)</f>
        <v>260.76335999999958</v>
      </c>
      <c r="AK119" s="14">
        <f t="shared" si="89"/>
        <v>62.885067686031896</v>
      </c>
      <c r="AL119" s="22">
        <f t="shared" si="58"/>
        <v>563.68767821983818</v>
      </c>
      <c r="AM119" s="62">
        <f t="shared" si="59"/>
        <v>847.51013089666822</v>
      </c>
      <c r="AN119" s="62">
        <f ca="1">AVERAGE(OFFSET($AM$3,0,0,'Données projet'!$E$10+1,1))-AVERAGE(OFFSET($H$3,0,0,'Données projet'!$E$10+1,1))</f>
        <v>461.10503306101145</v>
      </c>
      <c r="AO119" s="62">
        <f t="shared" si="90"/>
        <v>262.10652147273288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-2.2737367544323206E-13</v>
      </c>
      <c r="BE119" s="14">
        <f>BD119*VLOOKUP('Données projet'!$B$11,Paramètres!$A$1:$I$89,3,0)*VLOOKUP('Données projet'!$B$11,Paramètres!$A$1:$I$89,5,0)</f>
        <v>-1.8089849618263545E-13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389.67854939311752</v>
      </c>
      <c r="BJ119" s="62">
        <f t="shared" si="92"/>
        <v>420.05189970516096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-1.0516032489249483E-12</v>
      </c>
      <c r="BZ119" s="14">
        <f>BY119*VLOOKUP('Données projet'!$B$12,Paramètres!$A$1:$I$89,3,0)*VLOOKUP('Données projet'!$B$12,Paramètres!$A$1:$I$89,5,0)</f>
        <v>-6.0151705838507046E-13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312.16891625633968</v>
      </c>
      <c r="CE119" s="62">
        <f t="shared" si="94"/>
        <v>215.34305815516177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1.1068287919561524</v>
      </c>
      <c r="CM119" s="23">
        <f>EXP(-LN(2)/2)*CM118+(1-EXP(-LN(2)/2))/(LN(2)/2)*CG119*CJ119*VLOOKUP('Données projet'!$B$12,Paramètres!$A$1:$I$89,3,0)*0.475*44/12</f>
        <v>9.2627380427467798E-13</v>
      </c>
      <c r="CN119" s="24">
        <f t="shared" si="66"/>
        <v>1.1068287919570787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3.979039320256561E-13</v>
      </c>
      <c r="CU119" s="18">
        <f>CT119*VLOOKUP('Données projet'!$B$13,Paramètres!$A$1:$I$89,3,0)*VLOOKUP('Données projet'!$B$13,Paramètres!$A$1:$I$89,5,0)</f>
        <v>2.669139576028101E-13</v>
      </c>
      <c r="CV119" s="14">
        <f t="shared" si="95"/>
        <v>3.5767923834585247E-12</v>
      </c>
      <c r="CW119" s="22">
        <f t="shared" si="67"/>
        <v>6.6944552106818241E-12</v>
      </c>
      <c r="CX119" s="62">
        <f t="shared" si="68"/>
        <v>283.82245267683669</v>
      </c>
      <c r="CY119" s="62">
        <f ca="1">AVERAGE(OFFSET($CX$3,0,0,'Données projet'!$E$13+1,1))-AVERAGE(OFFSET($H$3,0,0,'Données projet'!$E$13+1,1))</f>
        <v>369.04754428478793</v>
      </c>
      <c r="CZ119" s="62">
        <f t="shared" si="96"/>
        <v>277.00523259351712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1.1368683772161603E-13</v>
      </c>
      <c r="DP119" s="18">
        <f>DO119*VLOOKUP('Données projet'!$B$14,Paramètres!$A$1:$I$89,3,0)*VLOOKUP('Données projet'!$B$14,Paramètres!$A$1:$I$89,5,0)</f>
        <v>8.8675733422860506E-14</v>
      </c>
      <c r="DQ119" s="14">
        <f t="shared" si="97"/>
        <v>1.3509285393066301E-12</v>
      </c>
      <c r="DR119" s="22">
        <f t="shared" si="70"/>
        <v>2.5073107750038623E-12</v>
      </c>
      <c r="DS119" s="62">
        <f t="shared" si="71"/>
        <v>283.82245267683248</v>
      </c>
      <c r="DT119" s="62">
        <f ca="1">AVERAGE(OFFSET($DS$3,0,0,'Données projet'!$E$14+1,1))-AVERAGE(OFFSET($H$3,0,0,'Données projet'!$E$14+1,1))</f>
        <v>308.39181291575227</v>
      </c>
      <c r="DU119" s="62">
        <f t="shared" si="98"/>
        <v>298.58225298824334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3.7</v>
      </c>
      <c r="EJ119" s="13">
        <f>IF('Données projet'!$A$192&gt;35,EJ118+EI119-ER118,IF(A119&lt;'Données projet'!$A$192,$EG$205^A119,IF(A119='Données projet'!$A$192,'Données projet'!$B$192,EJ118+EI119-ER118)))</f>
        <v>288.19999999999953</v>
      </c>
      <c r="EK119" s="18">
        <f>EJ119*VLOOKUP('Données projet'!$B$15,Paramètres!$A$1:$I$89,3,0)*VLOOKUP('Données projet'!$B$15,Paramètres!$A$1:$I$89,5,0)</f>
        <v>278.74703999999957</v>
      </c>
      <c r="EL119" s="14">
        <f t="shared" si="99"/>
        <v>66.702153339553135</v>
      </c>
      <c r="EM119" s="22">
        <f t="shared" si="73"/>
        <v>601.65734506638762</v>
      </c>
      <c r="EN119" s="62">
        <f t="shared" si="74"/>
        <v>885.47979774321766</v>
      </c>
      <c r="EO119" s="62">
        <f ca="1">AVERAGE(OFFSET($EN$3,0,0,'Données projet'!$E$15+1,1))-AVERAGE(OFFSET($H$3,0,0,'Données projet'!$E$15+1,1))</f>
        <v>487.76433095707876</v>
      </c>
      <c r="EP119" s="62">
        <f t="shared" si="100"/>
        <v>276.24209151398361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3.7</v>
      </c>
      <c r="FE119" s="13">
        <f>IF('Données projet'!$A$218&gt;35,FE118+FD119-FM118,IF(A119&lt;'Données projet'!$A$218,$FB$205^A119,IF(A119='Données projet'!$A$218,'Données projet'!$B$218,FE118+FD119-FM118)))</f>
        <v>288.19999999999953</v>
      </c>
      <c r="FF119" s="18">
        <f>FE119*VLOOKUP('Données projet'!$B$16,Paramètres!$A$1:$I$89,3,0)*VLOOKUP('Données projet'!$B$16,Paramètres!$A$1:$I$89,5,0)</f>
        <v>310.21847999999949</v>
      </c>
      <c r="FG119" s="14">
        <f t="shared" si="101"/>
        <v>73.314455620479848</v>
      </c>
      <c r="FH119" s="22">
        <f t="shared" si="76"/>
        <v>667.98652953900148</v>
      </c>
      <c r="FI119" s="62">
        <f t="shared" si="77"/>
        <v>951.80898221583152</v>
      </c>
      <c r="FJ119" s="62">
        <f ca="1">AVERAGE(OFFSET($FI$3,0,0,'Données projet'!$E$16+1,1))-AVERAGE(OFFSET($H$3,0,0,'Données projet'!$E$16+1,1))</f>
        <v>534.33392288300456</v>
      </c>
      <c r="FK119" s="62">
        <f t="shared" si="102"/>
        <v>300.93109615735477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-5.6843418860808015E-14</v>
      </c>
      <c r="GA119" s="18">
        <f>FZ119*VLOOKUP('Données projet'!$B$17,Paramètres!$A$1:$I$89,3,0)*VLOOKUP('Données projet'!$B$17,Paramètres!$A$1:$I$89,5,0)</f>
        <v>-3.813056537183002E-14</v>
      </c>
      <c r="GB119" s="14" t="e">
        <f t="shared" si="103"/>
        <v>#NUM!</v>
      </c>
      <c r="GC119" s="22" t="e">
        <f t="shared" si="79"/>
        <v>#NUM!</v>
      </c>
      <c r="GD119" s="62" t="e">
        <f t="shared" si="80"/>
        <v>#NUM!</v>
      </c>
      <c r="GE119" s="62">
        <f ca="1">AVERAGE(OFFSET($GD$3,0,0,'Données projet'!$E$17+1,1))-AVERAGE(OFFSET($H$3,0,0,'Données projet'!$E$17+1,1))</f>
        <v>316.17772895535211</v>
      </c>
      <c r="GF119" s="62">
        <f t="shared" si="104"/>
        <v>251.94445589652992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67.406123457317264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3.95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14.483333333333334</v>
      </c>
      <c r="H120" s="70">
        <f t="shared" si="56"/>
        <v>198.73333333333335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4.5</v>
      </c>
      <c r="N120" s="14">
        <f>IF('Données projet'!$A$36&gt;35,N119+M120-V119,IF(A120&lt;'Données projet'!$A$36,$K$205^A120,IF(A120='Données projet'!$A$36,'Données projet'!$B$36,N119+M120-V119)))</f>
        <v>338.49999999999977</v>
      </c>
      <c r="O120" s="14">
        <f>N120*VLOOKUP('Données projet'!$B$9,Paramètres!$A$1:$I$89,3,0)*VLOOKUP('Données projet'!$B$9,Paramètres!$A$1:$I$89,5,0)</f>
        <v>285.15239999999983</v>
      </c>
      <c r="P120" s="14">
        <f t="shared" si="87"/>
        <v>68.054700905071442</v>
      </c>
      <c r="Q120" s="22">
        <f t="shared" si="107"/>
        <v>615.16903407633242</v>
      </c>
      <c r="R120" s="62">
        <f t="shared" si="55"/>
        <v>899.15647926940903</v>
      </c>
      <c r="S120" s="62">
        <f ca="1">AVERAGE(OFFSET($R$3,0,0,'Données projet'!$E$9+1,1))-AVERAGE(OFFSET($H$3,0,0,'Données projet'!$E$9+1,1))</f>
        <v>508.93703669150443</v>
      </c>
      <c r="T120" s="62">
        <f t="shared" si="88"/>
        <v>277.04920840696707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3.7</v>
      </c>
      <c r="AI120" s="14">
        <f>IF('Données projet'!$A$62&gt;35,AI119+AH120-AQ119,IF(A120&lt;'Données projet'!$A$62,$AF$205^A120,IF(A120='Données projet'!$A$62,'Données projet'!$B$62,AI119+AH120-AQ119)))</f>
        <v>291.89999999999952</v>
      </c>
      <c r="AJ120" s="14">
        <f>AI120*VLOOKUP('Données projet'!$B$10,Paramètres!$A$1:$I$89,3,0)*VLOOKUP('Données projet'!$B$10,Paramètres!$A$1:$I$89,5,0)</f>
        <v>264.11111999999957</v>
      </c>
      <c r="AK120" s="14">
        <f t="shared" si="89"/>
        <v>63.597900866870546</v>
      </c>
      <c r="AL120" s="22">
        <f t="shared" si="58"/>
        <v>570.75987800979885</v>
      </c>
      <c r="AM120" s="62">
        <f t="shared" si="59"/>
        <v>854.74732320287546</v>
      </c>
      <c r="AN120" s="62">
        <f ca="1">AVERAGE(OFFSET($AM$3,0,0,'Données projet'!$E$10+1,1))-AVERAGE(OFFSET($H$3,0,0,'Données projet'!$E$10+1,1))</f>
        <v>461.10503306101145</v>
      </c>
      <c r="AO120" s="62">
        <f t="shared" si="90"/>
        <v>262.10652147273288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-2.2737367544323206E-13</v>
      </c>
      <c r="BE120" s="14">
        <f>BD120*VLOOKUP('Données projet'!$B$11,Paramètres!$A$1:$I$89,3,0)*VLOOKUP('Données projet'!$B$11,Paramètres!$A$1:$I$89,5,0)</f>
        <v>-1.8089849618263545E-13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389.67854939311752</v>
      </c>
      <c r="BJ120" s="62">
        <f t="shared" si="92"/>
        <v>420.05189970516096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-1.0516032489249483E-12</v>
      </c>
      <c r="BZ120" s="14">
        <f>BY120*VLOOKUP('Données projet'!$B$12,Paramètres!$A$1:$I$89,3,0)*VLOOKUP('Données projet'!$B$12,Paramètres!$A$1:$I$89,5,0)</f>
        <v>-6.0151705838507046E-13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312.16891625633968</v>
      </c>
      <c r="CE120" s="62">
        <f t="shared" si="94"/>
        <v>215.34305815516177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1.076562500434515</v>
      </c>
      <c r="CM120" s="23">
        <f>EXP(-LN(2)/2)*CM119+(1-EXP(-LN(2)/2))/(LN(2)/2)*CG120*CJ120*VLOOKUP('Données projet'!$B$12,Paramètres!$A$1:$I$89,3,0)*0.475*44/12</f>
        <v>6.5497448823808568E-13</v>
      </c>
      <c r="CN120" s="24">
        <f t="shared" si="66"/>
        <v>1.07656250043517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3.979039320256561E-13</v>
      </c>
      <c r="CU120" s="18">
        <f>CT120*VLOOKUP('Données projet'!$B$13,Paramètres!$A$1:$I$89,3,0)*VLOOKUP('Données projet'!$B$13,Paramètres!$A$1:$I$89,5,0)</f>
        <v>2.669139576028101E-13</v>
      </c>
      <c r="CV120" s="14">
        <f t="shared" si="95"/>
        <v>3.5767923834585247E-12</v>
      </c>
      <c r="CW120" s="22">
        <f t="shared" si="67"/>
        <v>6.6944552106818241E-12</v>
      </c>
      <c r="CX120" s="62">
        <f t="shared" si="68"/>
        <v>283.98744519308332</v>
      </c>
      <c r="CY120" s="62">
        <f ca="1">AVERAGE(OFFSET($CX$3,0,0,'Données projet'!$E$13+1,1))-AVERAGE(OFFSET($H$3,0,0,'Données projet'!$E$13+1,1))</f>
        <v>369.04754428478793</v>
      </c>
      <c r="CZ120" s="62">
        <f t="shared" si="96"/>
        <v>277.00523259351712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1.1368683772161603E-13</v>
      </c>
      <c r="DP120" s="18">
        <f>DO120*VLOOKUP('Données projet'!$B$14,Paramètres!$A$1:$I$89,3,0)*VLOOKUP('Données projet'!$B$14,Paramètres!$A$1:$I$89,5,0)</f>
        <v>8.8675733422860506E-14</v>
      </c>
      <c r="DQ120" s="14">
        <f t="shared" si="97"/>
        <v>1.3509285393066301E-12</v>
      </c>
      <c r="DR120" s="22">
        <f t="shared" si="70"/>
        <v>2.5073107750038623E-12</v>
      </c>
      <c r="DS120" s="62">
        <f t="shared" si="71"/>
        <v>283.98744519307911</v>
      </c>
      <c r="DT120" s="62">
        <f ca="1">AVERAGE(OFFSET($DS$3,0,0,'Données projet'!$E$14+1,1))-AVERAGE(OFFSET($H$3,0,0,'Données projet'!$E$14+1,1))</f>
        <v>308.39181291575227</v>
      </c>
      <c r="DU120" s="62">
        <f t="shared" si="98"/>
        <v>298.58225298824334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3.7</v>
      </c>
      <c r="EJ120" s="13">
        <f>IF('Données projet'!$A$192&gt;35,EJ119+EI120-ER119,IF(A120&lt;'Données projet'!$A$192,$EG$205^A120,IF(A120='Données projet'!$A$192,'Données projet'!$B$192,EJ119+EI120-ER119)))</f>
        <v>291.89999999999952</v>
      </c>
      <c r="EK120" s="18">
        <f>EJ120*VLOOKUP('Données projet'!$B$15,Paramètres!$A$1:$I$89,3,0)*VLOOKUP('Données projet'!$B$15,Paramètres!$A$1:$I$89,5,0)</f>
        <v>282.32567999999952</v>
      </c>
      <c r="EL120" s="14">
        <f t="shared" si="99"/>
        <v>67.458255064229917</v>
      </c>
      <c r="EM120" s="22">
        <f t="shared" si="73"/>
        <v>609.20702023686624</v>
      </c>
      <c r="EN120" s="62">
        <f t="shared" si="74"/>
        <v>893.19446542994285</v>
      </c>
      <c r="EO120" s="62">
        <f ca="1">AVERAGE(OFFSET($EN$3,0,0,'Données projet'!$E$15+1,1))-AVERAGE(OFFSET($H$3,0,0,'Données projet'!$E$15+1,1))</f>
        <v>487.76433095707876</v>
      </c>
      <c r="EP120" s="62">
        <f t="shared" si="100"/>
        <v>276.24209151398361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3.7</v>
      </c>
      <c r="FE120" s="13">
        <f>IF('Données projet'!$A$218&gt;35,FE119+FD120-FM119,IF(A120&lt;'Données projet'!$A$218,$FB$205^A120,IF(A120='Données projet'!$A$218,'Données projet'!$B$218,FE119+FD120-FM119)))</f>
        <v>291.89999999999952</v>
      </c>
      <c r="FF120" s="18">
        <f>FE120*VLOOKUP('Données projet'!$B$16,Paramètres!$A$1:$I$89,3,0)*VLOOKUP('Données projet'!$B$16,Paramètres!$A$1:$I$89,5,0)</f>
        <v>314.2011599999995</v>
      </c>
      <c r="FG120" s="14">
        <f t="shared" si="101"/>
        <v>74.145511044675771</v>
      </c>
      <c r="FH120" s="22">
        <f t="shared" si="76"/>
        <v>676.37045206947607</v>
      </c>
      <c r="FI120" s="62">
        <f t="shared" si="77"/>
        <v>960.35789726255268</v>
      </c>
      <c r="FJ120" s="62">
        <f ca="1">AVERAGE(OFFSET($FI$3,0,0,'Données projet'!$E$16+1,1))-AVERAGE(OFFSET($H$3,0,0,'Données projet'!$E$16+1,1))</f>
        <v>534.33392288300456</v>
      </c>
      <c r="FK120" s="62">
        <f t="shared" si="102"/>
        <v>300.93109615735477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-5.6843418860808015E-14</v>
      </c>
      <c r="GA120" s="18">
        <f>FZ120*VLOOKUP('Données projet'!$B$17,Paramètres!$A$1:$I$89,3,0)*VLOOKUP('Données projet'!$B$17,Paramètres!$A$1:$I$89,5,0)</f>
        <v>-3.813056537183002E-14</v>
      </c>
      <c r="GB120" s="14" t="e">
        <f t="shared" si="103"/>
        <v>#NUM!</v>
      </c>
      <c r="GC120" s="22" t="e">
        <f t="shared" si="79"/>
        <v>#NUM!</v>
      </c>
      <c r="GD120" s="62" t="e">
        <f t="shared" si="80"/>
        <v>#NUM!</v>
      </c>
      <c r="GE120" s="62">
        <f ca="1">AVERAGE(OFFSET($GD$3,0,0,'Données projet'!$E$17+1,1))-AVERAGE(OFFSET($H$3,0,0,'Données projet'!$E$17+1,1))</f>
        <v>316.17772895535211</v>
      </c>
      <c r="GF120" s="62">
        <f t="shared" si="104"/>
        <v>251.94445589652992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67.451121416293617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3.95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14.483333333333334</v>
      </c>
      <c r="H121" s="70">
        <f t="shared" si="56"/>
        <v>198.73333333333335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4.5</v>
      </c>
      <c r="N121" s="14">
        <f>IF('Données projet'!$A$36&gt;35,N120+M121-V120,IF(A121&lt;'Données projet'!$A$36,$K$205^A121,IF(A121='Données projet'!$A$36,'Données projet'!$B$36,N120+M121-V120)))</f>
        <v>342.99999999999977</v>
      </c>
      <c r="O121" s="14">
        <f>N121*VLOOKUP('Données projet'!$B$9,Paramètres!$A$1:$I$89,3,0)*VLOOKUP('Données projet'!$B$9,Paramètres!$A$1:$I$89,5,0)</f>
        <v>288.94319999999982</v>
      </c>
      <c r="P121" s="14">
        <f t="shared" si="87"/>
        <v>68.853491941116729</v>
      </c>
      <c r="Q121" s="22">
        <f t="shared" si="107"/>
        <v>623.16257179744468</v>
      </c>
      <c r="R121" s="62">
        <f t="shared" si="55"/>
        <v>907.31214725547898</v>
      </c>
      <c r="S121" s="62">
        <f ca="1">AVERAGE(OFFSET($R$3,0,0,'Données projet'!$E$9+1,1))-AVERAGE(OFFSET($H$3,0,0,'Données projet'!$E$9+1,1))</f>
        <v>508.93703669150443</v>
      </c>
      <c r="T121" s="62">
        <f t="shared" si="88"/>
        <v>277.04920840696707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3.7</v>
      </c>
      <c r="AI121" s="14">
        <f>IF('Données projet'!$A$62&gt;35,AI120+AH121-AQ120,IF(A121&lt;'Données projet'!$A$62,$AF$205^A121,IF(A121='Données projet'!$A$62,'Données projet'!$B$62,AI120+AH121-AQ120)))</f>
        <v>295.59999999999951</v>
      </c>
      <c r="AJ121" s="14">
        <f>AI121*VLOOKUP('Données projet'!$B$10,Paramètres!$A$1:$I$89,3,0)*VLOOKUP('Données projet'!$B$10,Paramètres!$A$1:$I$89,5,0)</f>
        <v>267.45887999999951</v>
      </c>
      <c r="AK121" s="14">
        <f t="shared" si="89"/>
        <v>64.309683053152327</v>
      </c>
      <c r="AL121" s="22">
        <f t="shared" si="58"/>
        <v>577.8302473175728</v>
      </c>
      <c r="AM121" s="62">
        <f t="shared" si="59"/>
        <v>861.97982277560709</v>
      </c>
      <c r="AN121" s="62">
        <f ca="1">AVERAGE(OFFSET($AM$3,0,0,'Données projet'!$E$10+1,1))-AVERAGE(OFFSET($H$3,0,0,'Données projet'!$E$10+1,1))</f>
        <v>461.10503306101145</v>
      </c>
      <c r="AO121" s="62">
        <f t="shared" si="90"/>
        <v>262.10652147273288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-2.2737367544323206E-13</v>
      </c>
      <c r="BE121" s="14">
        <f>BD121*VLOOKUP('Données projet'!$B$11,Paramètres!$A$1:$I$89,3,0)*VLOOKUP('Données projet'!$B$11,Paramètres!$A$1:$I$89,5,0)</f>
        <v>-1.8089849618263545E-13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389.67854939311752</v>
      </c>
      <c r="BJ121" s="62">
        <f t="shared" si="92"/>
        <v>420.05189970516096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-1.0516032489249483E-12</v>
      </c>
      <c r="BZ121" s="14">
        <f>BY121*VLOOKUP('Données projet'!$B$12,Paramètres!$A$1:$I$89,3,0)*VLOOKUP('Données projet'!$B$12,Paramètres!$A$1:$I$89,5,0)</f>
        <v>-6.0151705838507046E-13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312.16891625633968</v>
      </c>
      <c r="CE121" s="62">
        <f t="shared" si="94"/>
        <v>215.34305815516177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1.0471238422461717</v>
      </c>
      <c r="CM121" s="23">
        <f>EXP(-LN(2)/2)*CM120+(1-EXP(-LN(2)/2))/(LN(2)/2)*CG121*CJ121*VLOOKUP('Données projet'!$B$12,Paramètres!$A$1:$I$89,3,0)*0.475*44/12</f>
        <v>4.6313690213733899E-13</v>
      </c>
      <c r="CN121" s="24">
        <f t="shared" si="66"/>
        <v>1.0471238422466349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3.979039320256561E-13</v>
      </c>
      <c r="CU121" s="18">
        <f>CT121*VLOOKUP('Données projet'!$B$13,Paramètres!$A$1:$I$89,3,0)*VLOOKUP('Données projet'!$B$13,Paramètres!$A$1:$I$89,5,0)</f>
        <v>2.669139576028101E-13</v>
      </c>
      <c r="CV121" s="14">
        <f t="shared" si="95"/>
        <v>3.5767923834585247E-12</v>
      </c>
      <c r="CW121" s="22">
        <f t="shared" si="67"/>
        <v>6.6944552106818241E-12</v>
      </c>
      <c r="CX121" s="62">
        <f t="shared" si="68"/>
        <v>284.14957545804106</v>
      </c>
      <c r="CY121" s="62">
        <f ca="1">AVERAGE(OFFSET($CX$3,0,0,'Données projet'!$E$13+1,1))-AVERAGE(OFFSET($H$3,0,0,'Données projet'!$E$13+1,1))</f>
        <v>369.04754428478793</v>
      </c>
      <c r="CZ121" s="62">
        <f t="shared" si="96"/>
        <v>277.00523259351712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1.1368683772161603E-13</v>
      </c>
      <c r="DP121" s="18">
        <f>DO121*VLOOKUP('Données projet'!$B$14,Paramètres!$A$1:$I$89,3,0)*VLOOKUP('Données projet'!$B$14,Paramètres!$A$1:$I$89,5,0)</f>
        <v>8.8675733422860506E-14</v>
      </c>
      <c r="DQ121" s="14">
        <f t="shared" si="97"/>
        <v>1.3509285393066301E-12</v>
      </c>
      <c r="DR121" s="22">
        <f t="shared" si="70"/>
        <v>2.5073107750038623E-12</v>
      </c>
      <c r="DS121" s="62">
        <f t="shared" si="71"/>
        <v>284.14957545803685</v>
      </c>
      <c r="DT121" s="62">
        <f ca="1">AVERAGE(OFFSET($DS$3,0,0,'Données projet'!$E$14+1,1))-AVERAGE(OFFSET($H$3,0,0,'Données projet'!$E$14+1,1))</f>
        <v>308.39181291575227</v>
      </c>
      <c r="DU121" s="62">
        <f t="shared" si="98"/>
        <v>298.58225298824334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3.7</v>
      </c>
      <c r="EJ121" s="13">
        <f>IF('Données projet'!$A$192&gt;35,EJ120+EI121-ER120,IF(A121&lt;'Données projet'!$A$192,$EG$205^A121,IF(A121='Données projet'!$A$192,'Données projet'!$B$192,EJ120+EI121-ER120)))</f>
        <v>295.59999999999951</v>
      </c>
      <c r="EK121" s="18">
        <f>EJ121*VLOOKUP('Données projet'!$B$15,Paramètres!$A$1:$I$89,3,0)*VLOOKUP('Données projet'!$B$15,Paramètres!$A$1:$I$89,5,0)</f>
        <v>285.90431999999953</v>
      </c>
      <c r="EL121" s="14">
        <f t="shared" si="99"/>
        <v>68.213241999614453</v>
      </c>
      <c r="EM121" s="22">
        <f t="shared" si="73"/>
        <v>616.75475381599438</v>
      </c>
      <c r="EN121" s="62">
        <f t="shared" si="74"/>
        <v>900.90432927402867</v>
      </c>
      <c r="EO121" s="62">
        <f ca="1">AVERAGE(OFFSET($EN$3,0,0,'Données projet'!$E$15+1,1))-AVERAGE(OFFSET($H$3,0,0,'Données projet'!$E$15+1,1))</f>
        <v>487.76433095707876</v>
      </c>
      <c r="EP121" s="62">
        <f t="shared" si="100"/>
        <v>276.24209151398361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3.7</v>
      </c>
      <c r="FE121" s="13">
        <f>IF('Données projet'!$A$218&gt;35,FE120+FD121-FM120,IF(A121&lt;'Données projet'!$A$218,$FB$205^A121,IF(A121='Données projet'!$A$218,'Données projet'!$B$218,FE120+FD121-FM120)))</f>
        <v>295.59999999999951</v>
      </c>
      <c r="FF121" s="18">
        <f>FE121*VLOOKUP('Données projet'!$B$16,Paramètres!$A$1:$I$89,3,0)*VLOOKUP('Données projet'!$B$16,Paramètres!$A$1:$I$89,5,0)</f>
        <v>318.18383999999946</v>
      </c>
      <c r="FG121" s="14">
        <f t="shared" si="101"/>
        <v>74.975341168547786</v>
      </c>
      <c r="FH121" s="22">
        <f t="shared" si="76"/>
        <v>684.75224053521981</v>
      </c>
      <c r="FI121" s="62">
        <f t="shared" si="77"/>
        <v>968.9018159932541</v>
      </c>
      <c r="FJ121" s="62">
        <f ca="1">AVERAGE(OFFSET($FI$3,0,0,'Données projet'!$E$16+1,1))-AVERAGE(OFFSET($H$3,0,0,'Données projet'!$E$16+1,1))</f>
        <v>534.33392288300456</v>
      </c>
      <c r="FK121" s="62">
        <f t="shared" si="102"/>
        <v>300.93109615735477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-5.6843418860808015E-14</v>
      </c>
      <c r="GA121" s="18">
        <f>FZ121*VLOOKUP('Données projet'!$B$17,Paramètres!$A$1:$I$89,3,0)*VLOOKUP('Données projet'!$B$17,Paramètres!$A$1:$I$89,5,0)</f>
        <v>-3.813056537183002E-14</v>
      </c>
      <c r="GB121" s="14" t="e">
        <f t="shared" si="103"/>
        <v>#NUM!</v>
      </c>
      <c r="GC121" s="22" t="e">
        <f t="shared" si="79"/>
        <v>#NUM!</v>
      </c>
      <c r="GD121" s="62" t="e">
        <f t="shared" si="80"/>
        <v>#NUM!</v>
      </c>
      <c r="GE121" s="62">
        <f ca="1">AVERAGE(OFFSET($GD$3,0,0,'Données projet'!$E$17+1,1))-AVERAGE(OFFSET($H$3,0,0,'Données projet'!$E$17+1,1))</f>
        <v>316.17772895535211</v>
      </c>
      <c r="GF121" s="62">
        <f t="shared" si="104"/>
        <v>251.94445589652992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67.495338761282099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3.95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14.483333333333334</v>
      </c>
      <c r="H122" s="70">
        <f t="shared" si="56"/>
        <v>198.73333333333335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4.5</v>
      </c>
      <c r="N122" s="14">
        <f>IF('Données projet'!$A$36&gt;35,N121+M122-V121,IF(A122&lt;'Données projet'!$A$36,$K$205^A122,IF(A122='Données projet'!$A$36,'Données projet'!$B$36,N121+M122-V121)))</f>
        <v>347.49999999999977</v>
      </c>
      <c r="O122" s="14">
        <f>N122*VLOOKUP('Données projet'!$B$9,Paramètres!$A$1:$I$89,3,0)*VLOOKUP('Données projet'!$B$9,Paramètres!$A$1:$I$89,5,0)</f>
        <v>292.73399999999987</v>
      </c>
      <c r="P122" s="14">
        <f t="shared" si="87"/>
        <v>69.651064026395645</v>
      </c>
      <c r="Q122" s="22">
        <f t="shared" si="107"/>
        <v>631.15398651263888</v>
      </c>
      <c r="R122" s="62">
        <f t="shared" si="55"/>
        <v>915.46287963800296</v>
      </c>
      <c r="S122" s="62">
        <f ca="1">AVERAGE(OFFSET($R$3,0,0,'Données projet'!$E$9+1,1))-AVERAGE(OFFSET($H$3,0,0,'Données projet'!$E$9+1,1))</f>
        <v>508.93703669150443</v>
      </c>
      <c r="T122" s="62">
        <f t="shared" si="88"/>
        <v>277.04920840696707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3.7</v>
      </c>
      <c r="AI122" s="14">
        <f>IF('Données projet'!$A$62&gt;35,AI121+AH122-AQ121,IF(A122&lt;'Données projet'!$A$62,$AF$205^A122,IF(A122='Données projet'!$A$62,'Données projet'!$B$62,AI121+AH122-AQ121)))</f>
        <v>299.2999999999995</v>
      </c>
      <c r="AJ122" s="14">
        <f>AI122*VLOOKUP('Données projet'!$B$10,Paramètres!$A$1:$I$89,3,0)*VLOOKUP('Données projet'!$B$10,Paramètres!$A$1:$I$89,5,0)</f>
        <v>270.80663999999956</v>
      </c>
      <c r="AK122" s="14">
        <f t="shared" si="89"/>
        <v>65.020428921429911</v>
      </c>
      <c r="AL122" s="22">
        <f t="shared" si="58"/>
        <v>584.89881170482306</v>
      </c>
      <c r="AM122" s="62">
        <f t="shared" si="59"/>
        <v>869.20770483018714</v>
      </c>
      <c r="AN122" s="62">
        <f ca="1">AVERAGE(OFFSET($AM$3,0,0,'Données projet'!$E$10+1,1))-AVERAGE(OFFSET($H$3,0,0,'Données projet'!$E$10+1,1))</f>
        <v>461.10503306101145</v>
      </c>
      <c r="AO122" s="62">
        <f t="shared" si="90"/>
        <v>262.10652147273288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-2.2737367544323206E-13</v>
      </c>
      <c r="BE122" s="14">
        <f>BD122*VLOOKUP('Données projet'!$B$11,Paramètres!$A$1:$I$89,3,0)*VLOOKUP('Données projet'!$B$11,Paramètres!$A$1:$I$89,5,0)</f>
        <v>-1.8089849618263545E-13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389.67854939311752</v>
      </c>
      <c r="BJ122" s="62">
        <f t="shared" si="92"/>
        <v>420.05189970516096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-1.0516032489249483E-12</v>
      </c>
      <c r="BZ122" s="14">
        <f>BY122*VLOOKUP('Données projet'!$B$12,Paramètres!$A$1:$I$89,3,0)*VLOOKUP('Données projet'!$B$12,Paramètres!$A$1:$I$89,5,0)</f>
        <v>-6.0151705838507046E-13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312.16891625633968</v>
      </c>
      <c r="CE122" s="62">
        <f t="shared" si="94"/>
        <v>215.34305815516177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1.0184901857141004</v>
      </c>
      <c r="CM122" s="23">
        <f>EXP(-LN(2)/2)*CM121+(1-EXP(-LN(2)/2))/(LN(2)/2)*CG122*CJ122*VLOOKUP('Données projet'!$B$12,Paramètres!$A$1:$I$89,3,0)*0.475*44/12</f>
        <v>3.2748724411904284E-13</v>
      </c>
      <c r="CN122" s="24">
        <f t="shared" si="66"/>
        <v>1.018490185714428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3.979039320256561E-13</v>
      </c>
      <c r="CU122" s="18">
        <f>CT122*VLOOKUP('Données projet'!$B$13,Paramètres!$A$1:$I$89,3,0)*VLOOKUP('Données projet'!$B$13,Paramètres!$A$1:$I$89,5,0)</f>
        <v>2.669139576028101E-13</v>
      </c>
      <c r="CV122" s="14">
        <f t="shared" si="95"/>
        <v>3.5767923834585247E-12</v>
      </c>
      <c r="CW122" s="22">
        <f t="shared" si="67"/>
        <v>6.6944552106818241E-12</v>
      </c>
      <c r="CX122" s="62">
        <f t="shared" si="68"/>
        <v>284.30889312537079</v>
      </c>
      <c r="CY122" s="62">
        <f ca="1">AVERAGE(OFFSET($CX$3,0,0,'Données projet'!$E$13+1,1))-AVERAGE(OFFSET($H$3,0,0,'Données projet'!$E$13+1,1))</f>
        <v>369.04754428478793</v>
      </c>
      <c r="CZ122" s="62">
        <f t="shared" si="96"/>
        <v>277.00523259351712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1.1368683772161603E-13</v>
      </c>
      <c r="DP122" s="18">
        <f>DO122*VLOOKUP('Données projet'!$B$14,Paramètres!$A$1:$I$89,3,0)*VLOOKUP('Données projet'!$B$14,Paramètres!$A$1:$I$89,5,0)</f>
        <v>8.8675733422860506E-14</v>
      </c>
      <c r="DQ122" s="14">
        <f t="shared" si="97"/>
        <v>1.3509285393066301E-12</v>
      </c>
      <c r="DR122" s="22">
        <f t="shared" si="70"/>
        <v>2.5073107750038623E-12</v>
      </c>
      <c r="DS122" s="62">
        <f t="shared" si="71"/>
        <v>284.30889312536658</v>
      </c>
      <c r="DT122" s="62">
        <f ca="1">AVERAGE(OFFSET($DS$3,0,0,'Données projet'!$E$14+1,1))-AVERAGE(OFFSET($H$3,0,0,'Données projet'!$E$14+1,1))</f>
        <v>308.39181291575227</v>
      </c>
      <c r="DU122" s="62">
        <f t="shared" si="98"/>
        <v>298.58225298824334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3.7</v>
      </c>
      <c r="EJ122" s="13">
        <f>IF('Données projet'!$A$192&gt;35,EJ121+EI122-ER121,IF(A122&lt;'Données projet'!$A$192,$EG$205^A122,IF(A122='Données projet'!$A$192,'Données projet'!$B$192,EJ121+EI122-ER121)))</f>
        <v>299.2999999999995</v>
      </c>
      <c r="EK122" s="18">
        <f>EJ122*VLOOKUP('Données projet'!$B$15,Paramètres!$A$1:$I$89,3,0)*VLOOKUP('Données projet'!$B$15,Paramètres!$A$1:$I$89,5,0)</f>
        <v>289.48295999999954</v>
      </c>
      <c r="EL122" s="14">
        <f t="shared" si="99"/>
        <v>68.967129713117401</v>
      </c>
      <c r="EM122" s="22">
        <f t="shared" si="73"/>
        <v>624.300572917012</v>
      </c>
      <c r="EN122" s="62">
        <f t="shared" si="74"/>
        <v>908.60946604237608</v>
      </c>
      <c r="EO122" s="62">
        <f ca="1">AVERAGE(OFFSET($EN$3,0,0,'Données projet'!$E$15+1,1))-AVERAGE(OFFSET($H$3,0,0,'Données projet'!$E$15+1,1))</f>
        <v>487.76433095707876</v>
      </c>
      <c r="EP122" s="62">
        <f t="shared" si="100"/>
        <v>276.24209151398361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3.7</v>
      </c>
      <c r="FE122" s="13">
        <f>IF('Données projet'!$A$218&gt;35,FE121+FD122-FM121,IF(A122&lt;'Données projet'!$A$218,$FB$205^A122,IF(A122='Données projet'!$A$218,'Données projet'!$B$218,FE121+FD122-FM121)))</f>
        <v>299.2999999999995</v>
      </c>
      <c r="FF122" s="18">
        <f>FE122*VLOOKUP('Données projet'!$B$16,Paramètres!$A$1:$I$89,3,0)*VLOOKUP('Données projet'!$B$16,Paramètres!$A$1:$I$89,5,0)</f>
        <v>322.16651999999942</v>
      </c>
      <c r="FG122" s="14">
        <f t="shared" si="101"/>
        <v>75.803963102731529</v>
      </c>
      <c r="FH122" s="22">
        <f t="shared" si="76"/>
        <v>693.13192473725633</v>
      </c>
      <c r="FI122" s="62">
        <f t="shared" si="77"/>
        <v>977.44081786262041</v>
      </c>
      <c r="FJ122" s="62">
        <f ca="1">AVERAGE(OFFSET($FI$3,0,0,'Données projet'!$E$16+1,1))-AVERAGE(OFFSET($H$3,0,0,'Données projet'!$E$16+1,1))</f>
        <v>534.33392288300456</v>
      </c>
      <c r="FK122" s="62">
        <f t="shared" si="102"/>
        <v>300.93109615735477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-5.6843418860808015E-14</v>
      </c>
      <c r="GA122" s="18">
        <f>FZ122*VLOOKUP('Données projet'!$B$17,Paramètres!$A$1:$I$89,3,0)*VLOOKUP('Données projet'!$B$17,Paramètres!$A$1:$I$89,5,0)</f>
        <v>-3.813056537183002E-14</v>
      </c>
      <c r="GB122" s="14" t="e">
        <f t="shared" si="103"/>
        <v>#NUM!</v>
      </c>
      <c r="GC122" s="22" t="e">
        <f t="shared" si="79"/>
        <v>#NUM!</v>
      </c>
      <c r="GD122" s="62" t="e">
        <f t="shared" si="80"/>
        <v>#NUM!</v>
      </c>
      <c r="GE122" s="62">
        <f ca="1">AVERAGE(OFFSET($GD$3,0,0,'Données projet'!$E$17+1,1))-AVERAGE(OFFSET($H$3,0,0,'Données projet'!$E$17+1,1))</f>
        <v>316.17772895535211</v>
      </c>
      <c r="GF122" s="62">
        <f t="shared" si="104"/>
        <v>251.94445589652992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67.538789034190202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3.95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14.483333333333334</v>
      </c>
      <c r="H123" s="70">
        <f t="shared" si="56"/>
        <v>198.73333333333335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352</v>
      </c>
      <c r="L123" s="13">
        <f>VLOOKUP(A123,'Données projet'!$A$35:$I$55,9,0)</f>
        <v>4.5</v>
      </c>
      <c r="M123" s="13">
        <f t="array" ref="M123">INDEX(L:L,MIN(IF(ISNUMBER(L123:L319),ROW(L123:L319),"")))</f>
        <v>4.5</v>
      </c>
      <c r="N123" s="14">
        <f>IF('Données projet'!$A$36&gt;35,N122+M123-V122,IF(A123&lt;'Données projet'!$A$36,$K$205^A123,IF(A123='Données projet'!$A$36,'Données projet'!$B$36,N122+M123-V122)))</f>
        <v>351.99999999999977</v>
      </c>
      <c r="O123" s="14">
        <f>N123*VLOOKUP('Données projet'!$B$9,Paramètres!$A$1:$I$89,3,0)*VLOOKUP('Données projet'!$B$9,Paramètres!$A$1:$I$89,5,0)</f>
        <v>296.52479999999986</v>
      </c>
      <c r="P123" s="14">
        <f t="shared" si="87"/>
        <v>70.447434770968528</v>
      </c>
      <c r="Q123" s="22">
        <f t="shared" si="107"/>
        <v>639.14330889276994</v>
      </c>
      <c r="R123" s="62">
        <f t="shared" si="55"/>
        <v>923.60875588011641</v>
      </c>
      <c r="S123" s="62">
        <f ca="1">AVERAGE(OFFSET($R$3,0,0,'Données projet'!$E$9+1,1))-AVERAGE(OFFSET($H$3,0,0,'Données projet'!$E$9+1,1))</f>
        <v>508.93703669150443</v>
      </c>
      <c r="T123" s="62">
        <f t="shared" si="88"/>
        <v>277.04920840696707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47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303</v>
      </c>
      <c r="AG123" s="13">
        <f>VLOOKUP(A123,'Données projet'!$A$61:$I$81,9,0)</f>
        <v>3.7</v>
      </c>
      <c r="AH123" s="13">
        <f t="array" ref="AH123">INDEX(AG:AG,MIN(IF(ISNUMBER(AG123:AG319),ROW(AG123:AG319),"")))</f>
        <v>3.7</v>
      </c>
      <c r="AI123" s="14">
        <f>IF('Données projet'!$A$62&gt;35,AI122+AH123-AQ122,IF(A123&lt;'Données projet'!$A$62,$AF$205^A123,IF(A123='Données projet'!$A$62,'Données projet'!$B$62,AI122+AH123-AQ122)))</f>
        <v>302.99999999999949</v>
      </c>
      <c r="AJ123" s="14">
        <f>AI123*VLOOKUP('Données projet'!$B$10,Paramètres!$A$1:$I$89,3,0)*VLOOKUP('Données projet'!$B$10,Paramètres!$A$1:$I$89,5,0)</f>
        <v>274.15439999999955</v>
      </c>
      <c r="AK123" s="14">
        <f t="shared" si="89"/>
        <v>65.730152764515779</v>
      </c>
      <c r="AL123" s="22">
        <f t="shared" si="58"/>
        <v>591.96559606486414</v>
      </c>
      <c r="AM123" s="62">
        <f t="shared" si="59"/>
        <v>876.43104305221073</v>
      </c>
      <c r="AN123" s="62">
        <f ca="1">AVERAGE(OFFSET($AM$3,0,0,'Données projet'!$E$10+1,1))-AVERAGE(OFFSET($H$3,0,0,'Données projet'!$E$10+1,1))</f>
        <v>461.10503306101145</v>
      </c>
      <c r="AO123" s="62">
        <f t="shared" si="90"/>
        <v>262.10652147273288</v>
      </c>
      <c r="AP123" s="16">
        <f>IF(ISNA(VLOOKUP(A123,'Données projet'!$A$61:$I$81,3,0)),0,VLOOKUP(A123,'Données projet'!$A$61:$I$81,3,0))</f>
        <v>10</v>
      </c>
      <c r="AQ123" s="16">
        <f>IF(ISNA(VLOOKUP(A123,'Données projet'!$A$61:$I$81,4,0)),0,VLOOKUP(A123,'Données projet'!$A$61:$I$81,4,0))</f>
        <v>35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-2.2737367544323206E-13</v>
      </c>
      <c r="BE123" s="14">
        <f>BD123*VLOOKUP('Données projet'!$B$11,Paramètres!$A$1:$I$89,3,0)*VLOOKUP('Données projet'!$B$11,Paramètres!$A$1:$I$89,5,0)</f>
        <v>-1.8089849618263545E-13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389.67854939311752</v>
      </c>
      <c r="BJ123" s="62">
        <f t="shared" si="92"/>
        <v>420.05189970516096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-1.0516032489249483E-12</v>
      </c>
      <c r="BZ123" s="14">
        <f>BY123*VLOOKUP('Données projet'!$B$12,Paramètres!$A$1:$I$89,3,0)*VLOOKUP('Données projet'!$B$12,Paramètres!$A$1:$I$89,5,0)</f>
        <v>-6.0151705838507046E-13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312.16891625633968</v>
      </c>
      <c r="CE123" s="62">
        <f t="shared" si="94"/>
        <v>215.34305815516177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0.99063951802567729</v>
      </c>
      <c r="CM123" s="23">
        <f>EXP(-LN(2)/2)*CM122+(1-EXP(-LN(2)/2))/(LN(2)/2)*CG123*CJ123*VLOOKUP('Données projet'!$B$12,Paramètres!$A$1:$I$89,3,0)*0.475*44/12</f>
        <v>2.315684510686695E-13</v>
      </c>
      <c r="CN123" s="24">
        <f t="shared" si="66"/>
        <v>0.99063951802590888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3.979039320256561E-13</v>
      </c>
      <c r="CU123" s="18">
        <f>CT123*VLOOKUP('Données projet'!$B$13,Paramètres!$A$1:$I$89,3,0)*VLOOKUP('Données projet'!$B$13,Paramètres!$A$1:$I$89,5,0)</f>
        <v>2.669139576028101E-13</v>
      </c>
      <c r="CV123" s="14">
        <f t="shared" si="95"/>
        <v>3.5767923834585247E-12</v>
      </c>
      <c r="CW123" s="22">
        <f t="shared" si="67"/>
        <v>6.6944552106818241E-12</v>
      </c>
      <c r="CX123" s="62">
        <f t="shared" si="68"/>
        <v>284.46544698735323</v>
      </c>
      <c r="CY123" s="62">
        <f ca="1">AVERAGE(OFFSET($CX$3,0,0,'Données projet'!$E$13+1,1))-AVERAGE(OFFSET($H$3,0,0,'Données projet'!$E$13+1,1))</f>
        <v>369.04754428478793</v>
      </c>
      <c r="CZ123" s="62">
        <f t="shared" si="96"/>
        <v>277.00523259351712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1.1368683772161603E-13</v>
      </c>
      <c r="DP123" s="18">
        <f>DO123*VLOOKUP('Données projet'!$B$14,Paramètres!$A$1:$I$89,3,0)*VLOOKUP('Données projet'!$B$14,Paramètres!$A$1:$I$89,5,0)</f>
        <v>8.8675733422860506E-14</v>
      </c>
      <c r="DQ123" s="14">
        <f t="shared" si="97"/>
        <v>1.3509285393066301E-12</v>
      </c>
      <c r="DR123" s="22">
        <f t="shared" si="70"/>
        <v>2.5073107750038623E-12</v>
      </c>
      <c r="DS123" s="62">
        <f t="shared" si="71"/>
        <v>284.46544698734903</v>
      </c>
      <c r="DT123" s="62">
        <f ca="1">AVERAGE(OFFSET($DS$3,0,0,'Données projet'!$E$14+1,1))-AVERAGE(OFFSET($H$3,0,0,'Données projet'!$E$14+1,1))</f>
        <v>308.39181291575227</v>
      </c>
      <c r="DU123" s="62">
        <f t="shared" si="98"/>
        <v>298.58225298824334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>
        <f>VLOOKUP(A123,'Données projet'!$A$191:$I$211,2,0)</f>
        <v>303</v>
      </c>
      <c r="EH123" s="13">
        <f>VLOOKUP(A123,'Données projet'!$A$191:$I$211,9,0)</f>
        <v>3.7</v>
      </c>
      <c r="EI123" s="13">
        <f t="array" ref="EI123">INDEX(EH:EH,MIN(IF(ISNUMBER(EH123:EH319),ROW(EH123:EH319),"")))</f>
        <v>3.7</v>
      </c>
      <c r="EJ123" s="13">
        <f>IF('Données projet'!$A$192&gt;35,EJ122+EI123-ER122,IF(A123&lt;'Données projet'!$A$192,$EG$205^A123,IF(A123='Données projet'!$A$192,'Données projet'!$B$192,EJ122+EI123-ER122)))</f>
        <v>302.99999999999949</v>
      </c>
      <c r="EK123" s="18">
        <f>EJ123*VLOOKUP('Données projet'!$B$15,Paramètres!$A$1:$I$89,3,0)*VLOOKUP('Données projet'!$B$15,Paramètres!$A$1:$I$89,5,0)</f>
        <v>293.06159999999949</v>
      </c>
      <c r="EL123" s="14">
        <f t="shared" si="99"/>
        <v>69.719933365116432</v>
      </c>
      <c r="EM123" s="22">
        <f t="shared" si="73"/>
        <v>631.84450394424357</v>
      </c>
      <c r="EN123" s="62">
        <f t="shared" si="74"/>
        <v>916.30995093159004</v>
      </c>
      <c r="EO123" s="62">
        <f ca="1">AVERAGE(OFFSET($EN$3,0,0,'Données projet'!$E$15+1,1))-AVERAGE(OFFSET($H$3,0,0,'Données projet'!$E$15+1,1))</f>
        <v>487.76433095707876</v>
      </c>
      <c r="EP123" s="62">
        <f t="shared" si="100"/>
        <v>276.24209151398361</v>
      </c>
      <c r="EQ123" s="16">
        <f>IF(ISNA(VLOOKUP(A123,'Données projet'!$A$191:$I$211,3,0)),0,VLOOKUP(A123,'Données projet'!$A$191:$I$211,3,0))</f>
        <v>10</v>
      </c>
      <c r="ER123" s="16">
        <f>IF(ISNA(VLOOKUP(A123,'Données projet'!$A$191:$I$211,4,0)),0,VLOOKUP(A123,'Données projet'!$A$191:$I$211,4,0))</f>
        <v>35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>
        <f>VLOOKUP(A123,'Données projet'!$A$217:$I$237,2,0)</f>
        <v>303</v>
      </c>
      <c r="FC123" s="13">
        <f>VLOOKUP(A123,'Données projet'!$A$217:$I$237,9,0)</f>
        <v>3.7</v>
      </c>
      <c r="FD123" s="13">
        <f t="array" ref="FD123">INDEX(FC:FC,MIN(IF(ISNUMBER(FC123:FC319),ROW(FC123:FC319),"")))</f>
        <v>3.7</v>
      </c>
      <c r="FE123" s="13">
        <f>IF('Données projet'!$A$218&gt;35,FE122+FD123-FM122,IF(A123&lt;'Données projet'!$A$218,$FB$205^A123,IF(A123='Données projet'!$A$218,'Données projet'!$B$218,FE122+FD123-FM122)))</f>
        <v>302.99999999999949</v>
      </c>
      <c r="FF123" s="18">
        <f>FE123*VLOOKUP('Données projet'!$B$16,Paramètres!$A$1:$I$89,3,0)*VLOOKUP('Données projet'!$B$16,Paramètres!$A$1:$I$89,5,0)</f>
        <v>326.14919999999944</v>
      </c>
      <c r="FG123" s="14">
        <f t="shared" si="101"/>
        <v>76.631393510479555</v>
      </c>
      <c r="FH123" s="22">
        <f t="shared" si="76"/>
        <v>701.50953369741762</v>
      </c>
      <c r="FI123" s="62">
        <f t="shared" si="77"/>
        <v>985.9749806847642</v>
      </c>
      <c r="FJ123" s="62">
        <f ca="1">AVERAGE(OFFSET($FI$3,0,0,'Données projet'!$E$16+1,1))-AVERAGE(OFFSET($H$3,0,0,'Données projet'!$E$16+1,1))</f>
        <v>534.33392288300456</v>
      </c>
      <c r="FK123" s="62">
        <f t="shared" si="102"/>
        <v>300.93109615735477</v>
      </c>
      <c r="FL123" s="16">
        <f>IF(ISNA(VLOOKUP(A123,'Données projet'!$A$217:$I$237,3,0)),0,VLOOKUP(A123,'Données projet'!$A$217:$I$237,3,0))</f>
        <v>10</v>
      </c>
      <c r="FM123" s="16">
        <f>IF(ISNA(VLOOKUP(A123,'Données projet'!$A$217:$I$237,4,0)),0,VLOOKUP(A123,'Données projet'!$A$217:$I$237,4,0))</f>
        <v>35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-5.6843418860808015E-14</v>
      </c>
      <c r="GA123" s="18">
        <f>FZ123*VLOOKUP('Données projet'!$B$17,Paramètres!$A$1:$I$89,3,0)*VLOOKUP('Données projet'!$B$17,Paramètres!$A$1:$I$89,5,0)</f>
        <v>-3.813056537183002E-14</v>
      </c>
      <c r="GB123" s="14" t="e">
        <f t="shared" si="103"/>
        <v>#NUM!</v>
      </c>
      <c r="GC123" s="22" t="e">
        <f t="shared" si="79"/>
        <v>#NUM!</v>
      </c>
      <c r="GD123" s="62" t="e">
        <f t="shared" si="80"/>
        <v>#NUM!</v>
      </c>
      <c r="GE123" s="62">
        <f ca="1">AVERAGE(OFFSET($GD$3,0,0,'Données projet'!$E$17+1,1))-AVERAGE(OFFSET($H$3,0,0,'Données projet'!$E$17+1,1))</f>
        <v>316.17772895535211</v>
      </c>
      <c r="GF123" s="62">
        <f t="shared" si="104"/>
        <v>251.94445589652992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67.581485542003605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3.95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14.483333333333334</v>
      </c>
      <c r="H124" s="70">
        <f t="shared" si="56"/>
        <v>198.73333333333335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4.2</v>
      </c>
      <c r="N124" s="14">
        <f>IF('Données projet'!$A$36&gt;35,N123+M124-V123,IF(A124&lt;'Données projet'!$A$36,$K$205^A124,IF(A124='Données projet'!$A$36,'Données projet'!$B$36,N123+M124-V123)))</f>
        <v>309.19999999999976</v>
      </c>
      <c r="O124" s="14">
        <f>N124*VLOOKUP('Données projet'!$B$9,Paramètres!$A$1:$I$89,3,0)*VLOOKUP('Données projet'!$B$9,Paramètres!$A$1:$I$89,5,0)</f>
        <v>260.47007999999983</v>
      </c>
      <c r="P124" s="14">
        <f t="shared" si="87"/>
        <v>62.822569479065102</v>
      </c>
      <c r="Q124" s="22">
        <f t="shared" si="107"/>
        <v>563.06803117603806</v>
      </c>
      <c r="R124" s="62">
        <f t="shared" si="55"/>
        <v>847.68731616586365</v>
      </c>
      <c r="S124" s="62">
        <f ca="1">AVERAGE(OFFSET($R$3,0,0,'Données projet'!$E$9+1,1))-AVERAGE(OFFSET($H$3,0,0,'Données projet'!$E$9+1,1))</f>
        <v>508.93703669150443</v>
      </c>
      <c r="T124" s="62">
        <f t="shared" si="88"/>
        <v>277.04920840696707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3.2</v>
      </c>
      <c r="AI124" s="14">
        <f>IF('Données projet'!$A$62&gt;35,AI123+AH124-AQ123,IF(A124&lt;'Données projet'!$A$62,$AF$205^A124,IF(A124='Données projet'!$A$62,'Données projet'!$B$62,AI123+AH124-AQ123)))</f>
        <v>271.19999999999948</v>
      </c>
      <c r="AJ124" s="14">
        <f>AI124*VLOOKUP('Données projet'!$B$10,Paramètres!$A$1:$I$89,3,0)*VLOOKUP('Données projet'!$B$10,Paramètres!$A$1:$I$89,5,0)</f>
        <v>245.3817599999995</v>
      </c>
      <c r="AK124" s="14">
        <f t="shared" si="89"/>
        <v>59.595943661626663</v>
      </c>
      <c r="AL124" s="22">
        <f t="shared" si="58"/>
        <v>531.16950054399888</v>
      </c>
      <c r="AM124" s="62">
        <f t="shared" si="59"/>
        <v>815.78878553382447</v>
      </c>
      <c r="AN124" s="62">
        <f ca="1">AVERAGE(OFFSET($AM$3,0,0,'Données projet'!$E$10+1,1))-AVERAGE(OFFSET($H$3,0,0,'Données projet'!$E$10+1,1))</f>
        <v>461.10503306101145</v>
      </c>
      <c r="AO124" s="62">
        <f t="shared" si="90"/>
        <v>262.10652147273288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-2.2737367544323206E-13</v>
      </c>
      <c r="BE124" s="14">
        <f>BD124*VLOOKUP('Données projet'!$B$11,Paramètres!$A$1:$I$89,3,0)*VLOOKUP('Données projet'!$B$11,Paramètres!$A$1:$I$89,5,0)</f>
        <v>-1.8089849618263545E-13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389.67854939311752</v>
      </c>
      <c r="BJ124" s="62">
        <f t="shared" si="92"/>
        <v>420.05189970516096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-1.0516032489249483E-12</v>
      </c>
      <c r="BZ124" s="14">
        <f>BY124*VLOOKUP('Données projet'!$B$12,Paramètres!$A$1:$I$89,3,0)*VLOOKUP('Données projet'!$B$12,Paramètres!$A$1:$I$89,5,0)</f>
        <v>-6.0151705838507046E-13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312.16891625633968</v>
      </c>
      <c r="CE124" s="62">
        <f t="shared" si="94"/>
        <v>215.34305815516177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0.96355042830979698</v>
      </c>
      <c r="CM124" s="23">
        <f>EXP(-LN(2)/2)*CM123+(1-EXP(-LN(2)/2))/(LN(2)/2)*CG124*CJ124*VLOOKUP('Données projet'!$B$12,Paramètres!$A$1:$I$89,3,0)*0.475*44/12</f>
        <v>1.6374362205952142E-13</v>
      </c>
      <c r="CN124" s="24">
        <f t="shared" si="66"/>
        <v>0.96355042830996074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3.979039320256561E-13</v>
      </c>
      <c r="CU124" s="18">
        <f>CT124*VLOOKUP('Données projet'!$B$13,Paramètres!$A$1:$I$89,3,0)*VLOOKUP('Données projet'!$B$13,Paramètres!$A$1:$I$89,5,0)</f>
        <v>2.669139576028101E-13</v>
      </c>
      <c r="CV124" s="14">
        <f t="shared" si="95"/>
        <v>3.5767923834585247E-12</v>
      </c>
      <c r="CW124" s="22">
        <f t="shared" si="67"/>
        <v>6.6944552106818241E-12</v>
      </c>
      <c r="CX124" s="62">
        <f t="shared" si="68"/>
        <v>284.61928498983235</v>
      </c>
      <c r="CY124" s="62">
        <f ca="1">AVERAGE(OFFSET($CX$3,0,0,'Données projet'!$E$13+1,1))-AVERAGE(OFFSET($H$3,0,0,'Données projet'!$E$13+1,1))</f>
        <v>369.04754428478793</v>
      </c>
      <c r="CZ124" s="62">
        <f t="shared" si="96"/>
        <v>277.00523259351712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1.1368683772161603E-13</v>
      </c>
      <c r="DP124" s="18">
        <f>DO124*VLOOKUP('Données projet'!$B$14,Paramètres!$A$1:$I$89,3,0)*VLOOKUP('Données projet'!$B$14,Paramètres!$A$1:$I$89,5,0)</f>
        <v>8.8675733422860506E-14</v>
      </c>
      <c r="DQ124" s="14">
        <f t="shared" si="97"/>
        <v>1.3509285393066301E-12</v>
      </c>
      <c r="DR124" s="22">
        <f t="shared" si="70"/>
        <v>2.5073107750038623E-12</v>
      </c>
      <c r="DS124" s="62">
        <f t="shared" si="71"/>
        <v>284.61928498982815</v>
      </c>
      <c r="DT124" s="62">
        <f ca="1">AVERAGE(OFFSET($DS$3,0,0,'Données projet'!$E$14+1,1))-AVERAGE(OFFSET($H$3,0,0,'Données projet'!$E$14+1,1))</f>
        <v>308.39181291575227</v>
      </c>
      <c r="DU124" s="62">
        <f t="shared" si="98"/>
        <v>298.58225298824334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3.2</v>
      </c>
      <c r="EJ124" s="13">
        <f>IF('Données projet'!$A$192&gt;35,EJ123+EI124-ER123,IF(A124&lt;'Données projet'!$A$192,$EG$205^A124,IF(A124='Données projet'!$A$192,'Données projet'!$B$192,EJ123+EI124-ER123)))</f>
        <v>271.19999999999948</v>
      </c>
      <c r="EK124" s="18">
        <f>EJ124*VLOOKUP('Données projet'!$B$15,Paramètres!$A$1:$I$89,3,0)*VLOOKUP('Données projet'!$B$15,Paramètres!$A$1:$I$89,5,0)</f>
        <v>262.30463999999949</v>
      </c>
      <c r="EL124" s="14">
        <f t="shared" si="99"/>
        <v>63.213381472055985</v>
      </c>
      <c r="EM124" s="22">
        <f t="shared" si="73"/>
        <v>566.94388739716328</v>
      </c>
      <c r="EN124" s="62">
        <f t="shared" si="74"/>
        <v>851.56317238698898</v>
      </c>
      <c r="EO124" s="62">
        <f ca="1">AVERAGE(OFFSET($EN$3,0,0,'Données projet'!$E$15+1,1))-AVERAGE(OFFSET($H$3,0,0,'Données projet'!$E$15+1,1))</f>
        <v>487.76433095707876</v>
      </c>
      <c r="EP124" s="62">
        <f t="shared" si="100"/>
        <v>276.24209151398361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3.2</v>
      </c>
      <c r="FE124" s="13">
        <f>IF('Données projet'!$A$218&gt;35,FE123+FD124-FM123,IF(A124&lt;'Données projet'!$A$218,$FB$205^A124,IF(A124='Données projet'!$A$218,'Données projet'!$B$218,FE123+FD124-FM123)))</f>
        <v>271.19999999999948</v>
      </c>
      <c r="FF124" s="18">
        <f>FE124*VLOOKUP('Données projet'!$B$16,Paramètres!$A$1:$I$89,3,0)*VLOOKUP('Données projet'!$B$16,Paramètres!$A$1:$I$89,5,0)</f>
        <v>291.9196799999994</v>
      </c>
      <c r="FG124" s="14">
        <f t="shared" si="101"/>
        <v>69.47983563531173</v>
      </c>
      <c r="FH124" s="22">
        <f t="shared" si="76"/>
        <v>629.43748973150025</v>
      </c>
      <c r="FI124" s="62">
        <f t="shared" si="77"/>
        <v>914.05677472132584</v>
      </c>
      <c r="FJ124" s="62">
        <f ca="1">AVERAGE(OFFSET($FI$3,0,0,'Données projet'!$E$16+1,1))-AVERAGE(OFFSET($H$3,0,0,'Données projet'!$E$16+1,1))</f>
        <v>534.33392288300456</v>
      </c>
      <c r="FK124" s="62">
        <f t="shared" si="102"/>
        <v>300.93109615735477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-5.6843418860808015E-14</v>
      </c>
      <c r="GA124" s="18">
        <f>FZ124*VLOOKUP('Données projet'!$B$17,Paramètres!$A$1:$I$89,3,0)*VLOOKUP('Données projet'!$B$17,Paramètres!$A$1:$I$89,5,0)</f>
        <v>-3.813056537183002E-14</v>
      </c>
      <c r="GB124" s="14" t="e">
        <f t="shared" si="103"/>
        <v>#NUM!</v>
      </c>
      <c r="GC124" s="22" t="e">
        <f t="shared" si="79"/>
        <v>#NUM!</v>
      </c>
      <c r="GD124" s="62" t="e">
        <f t="shared" si="80"/>
        <v>#NUM!</v>
      </c>
      <c r="GE124" s="62">
        <f ca="1">AVERAGE(OFFSET($GD$3,0,0,'Données projet'!$E$17+1,1))-AVERAGE(OFFSET($H$3,0,0,'Données projet'!$E$17+1,1))</f>
        <v>316.17772895535211</v>
      </c>
      <c r="GF124" s="62">
        <f t="shared" si="104"/>
        <v>251.94445589652992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67.623441360861548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3.95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14.483333333333334</v>
      </c>
      <c r="H125" s="70">
        <f t="shared" si="56"/>
        <v>198.73333333333335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4.2</v>
      </c>
      <c r="N125" s="14">
        <f>IF('Données projet'!$A$36&gt;35,N124+M125-V124,IF(A125&lt;'Données projet'!$A$36,$K$205^A125,IF(A125='Données projet'!$A$36,'Données projet'!$B$36,N124+M125-V124)))</f>
        <v>313.39999999999975</v>
      </c>
      <c r="O125" s="14">
        <f>N125*VLOOKUP('Données projet'!$B$9,Paramètres!$A$1:$I$89,3,0)*VLOOKUP('Données projet'!$B$9,Paramètres!$A$1:$I$89,5,0)</f>
        <v>264.0081599999998</v>
      </c>
      <c r="P125" s="14">
        <f t="shared" si="87"/>
        <v>63.575993499536068</v>
      </c>
      <c r="Q125" s="22">
        <f t="shared" si="107"/>
        <v>570.54240067835838</v>
      </c>
      <c r="R125" s="62">
        <f t="shared" si="55"/>
        <v>855.31285492525035</v>
      </c>
      <c r="S125" s="62">
        <f ca="1">AVERAGE(OFFSET($R$3,0,0,'Données projet'!$E$9+1,1))-AVERAGE(OFFSET($H$3,0,0,'Données projet'!$E$9+1,1))</f>
        <v>508.93703669150443</v>
      </c>
      <c r="T125" s="62">
        <f t="shared" si="88"/>
        <v>277.04920840696707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3.2</v>
      </c>
      <c r="AI125" s="14">
        <f>IF('Données projet'!$A$62&gt;35,AI124+AH125-AQ124,IF(A125&lt;'Données projet'!$A$62,$AF$205^A125,IF(A125='Données projet'!$A$62,'Données projet'!$B$62,AI124+AH125-AQ124)))</f>
        <v>274.39999999999947</v>
      </c>
      <c r="AJ125" s="14">
        <f>AI125*VLOOKUP('Données projet'!$B$10,Paramètres!$A$1:$I$89,3,0)*VLOOKUP('Données projet'!$B$10,Paramètres!$A$1:$I$89,5,0)</f>
        <v>248.27711999999951</v>
      </c>
      <c r="AK125" s="14">
        <f t="shared" si="89"/>
        <v>60.216863677580257</v>
      </c>
      <c r="AL125" s="22">
        <f t="shared" si="58"/>
        <v>537.29368823845141</v>
      </c>
      <c r="AM125" s="62">
        <f t="shared" si="59"/>
        <v>822.06414248534338</v>
      </c>
      <c r="AN125" s="62">
        <f ca="1">AVERAGE(OFFSET($AM$3,0,0,'Données projet'!$E$10+1,1))-AVERAGE(OFFSET($H$3,0,0,'Données projet'!$E$10+1,1))</f>
        <v>461.10503306101145</v>
      </c>
      <c r="AO125" s="62">
        <f t="shared" si="90"/>
        <v>262.10652147273288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-2.2737367544323206E-13</v>
      </c>
      <c r="BE125" s="14">
        <f>BD125*VLOOKUP('Données projet'!$B$11,Paramètres!$A$1:$I$89,3,0)*VLOOKUP('Données projet'!$B$11,Paramètres!$A$1:$I$89,5,0)</f>
        <v>-1.8089849618263545E-13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389.67854939311752</v>
      </c>
      <c r="BJ125" s="62">
        <f t="shared" si="92"/>
        <v>420.05189970516096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-1.0516032489249483E-12</v>
      </c>
      <c r="BZ125" s="14">
        <f>BY125*VLOOKUP('Données projet'!$B$12,Paramètres!$A$1:$I$89,3,0)*VLOOKUP('Données projet'!$B$12,Paramètres!$A$1:$I$89,5,0)</f>
        <v>-6.0151705838507046E-13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312.16891625633968</v>
      </c>
      <c r="CE125" s="62">
        <f t="shared" si="94"/>
        <v>215.34305815516177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0.9372020911767508</v>
      </c>
      <c r="CM125" s="23">
        <f>EXP(-LN(2)/2)*CM124+(1-EXP(-LN(2)/2))/(LN(2)/2)*CG125*CJ125*VLOOKUP('Données projet'!$B$12,Paramètres!$A$1:$I$89,3,0)*0.475*44/12</f>
        <v>1.1578422553433475E-13</v>
      </c>
      <c r="CN125" s="24">
        <f t="shared" si="66"/>
        <v>0.93720209117686659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3.979039320256561E-13</v>
      </c>
      <c r="CU125" s="18">
        <f>CT125*VLOOKUP('Données projet'!$B$13,Paramètres!$A$1:$I$89,3,0)*VLOOKUP('Données projet'!$B$13,Paramètres!$A$1:$I$89,5,0)</f>
        <v>2.669139576028101E-13</v>
      </c>
      <c r="CV125" s="14">
        <f t="shared" si="95"/>
        <v>3.5767923834585247E-12</v>
      </c>
      <c r="CW125" s="22">
        <f t="shared" si="67"/>
        <v>6.6944552106818241E-12</v>
      </c>
      <c r="CX125" s="62">
        <f t="shared" si="68"/>
        <v>284.77045424689868</v>
      </c>
      <c r="CY125" s="62">
        <f ca="1">AVERAGE(OFFSET($CX$3,0,0,'Données projet'!$E$13+1,1))-AVERAGE(OFFSET($H$3,0,0,'Données projet'!$E$13+1,1))</f>
        <v>369.04754428478793</v>
      </c>
      <c r="CZ125" s="62">
        <f t="shared" si="96"/>
        <v>277.00523259351712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1.1368683772161603E-13</v>
      </c>
      <c r="DP125" s="18">
        <f>DO125*VLOOKUP('Données projet'!$B$14,Paramètres!$A$1:$I$89,3,0)*VLOOKUP('Données projet'!$B$14,Paramètres!$A$1:$I$89,5,0)</f>
        <v>8.8675733422860506E-14</v>
      </c>
      <c r="DQ125" s="14">
        <f t="shared" si="97"/>
        <v>1.3509285393066301E-12</v>
      </c>
      <c r="DR125" s="22">
        <f t="shared" si="70"/>
        <v>2.5073107750038623E-12</v>
      </c>
      <c r="DS125" s="62">
        <f t="shared" si="71"/>
        <v>284.77045424689447</v>
      </c>
      <c r="DT125" s="62">
        <f ca="1">AVERAGE(OFFSET($DS$3,0,0,'Données projet'!$E$14+1,1))-AVERAGE(OFFSET($H$3,0,0,'Données projet'!$E$14+1,1))</f>
        <v>308.39181291575227</v>
      </c>
      <c r="DU125" s="62">
        <f t="shared" si="98"/>
        <v>298.58225298824334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3.2</v>
      </c>
      <c r="EJ125" s="13">
        <f>IF('Données projet'!$A$192&gt;35,EJ124+EI125-ER124,IF(A125&lt;'Données projet'!$A$192,$EG$205^A125,IF(A125='Données projet'!$A$192,'Données projet'!$B$192,EJ124+EI125-ER124)))</f>
        <v>274.39999999999947</v>
      </c>
      <c r="EK125" s="18">
        <f>EJ125*VLOOKUP('Données projet'!$B$15,Paramètres!$A$1:$I$89,3,0)*VLOOKUP('Données projet'!$B$15,Paramètres!$A$1:$I$89,5,0)</f>
        <v>265.39967999999948</v>
      </c>
      <c r="EL125" s="14">
        <f t="shared" si="99"/>
        <v>63.87199095821434</v>
      </c>
      <c r="EM125" s="22">
        <f t="shared" si="73"/>
        <v>573.48149358555565</v>
      </c>
      <c r="EN125" s="62">
        <f t="shared" si="74"/>
        <v>858.25194783244763</v>
      </c>
      <c r="EO125" s="62">
        <f ca="1">AVERAGE(OFFSET($EN$3,0,0,'Données projet'!$E$15+1,1))-AVERAGE(OFFSET($H$3,0,0,'Données projet'!$E$15+1,1))</f>
        <v>487.76433095707876</v>
      </c>
      <c r="EP125" s="62">
        <f t="shared" si="100"/>
        <v>276.24209151398361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3.2</v>
      </c>
      <c r="FE125" s="13">
        <f>IF('Données projet'!$A$218&gt;35,FE124+FD125-FM124,IF(A125&lt;'Données projet'!$A$218,$FB$205^A125,IF(A125='Données projet'!$A$218,'Données projet'!$B$218,FE124+FD125-FM124)))</f>
        <v>274.39999999999947</v>
      </c>
      <c r="FF125" s="18">
        <f>FE125*VLOOKUP('Données projet'!$B$16,Paramètres!$A$1:$I$89,3,0)*VLOOKUP('Données projet'!$B$16,Paramètres!$A$1:$I$89,5,0)</f>
        <v>295.3641599999994</v>
      </c>
      <c r="FG125" s="14">
        <f t="shared" si="101"/>
        <v>70.203734243178047</v>
      </c>
      <c r="FH125" s="22">
        <f t="shared" si="76"/>
        <v>636.6974158068673</v>
      </c>
      <c r="FI125" s="62">
        <f t="shared" si="77"/>
        <v>921.46787005375927</v>
      </c>
      <c r="FJ125" s="62">
        <f ca="1">AVERAGE(OFFSET($FI$3,0,0,'Données projet'!$E$16+1,1))-AVERAGE(OFFSET($H$3,0,0,'Données projet'!$E$16+1,1))</f>
        <v>534.33392288300456</v>
      </c>
      <c r="FK125" s="62">
        <f t="shared" si="102"/>
        <v>300.93109615735477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-5.6843418860808015E-14</v>
      </c>
      <c r="GA125" s="18">
        <f>FZ125*VLOOKUP('Données projet'!$B$17,Paramètres!$A$1:$I$89,3,0)*VLOOKUP('Données projet'!$B$17,Paramètres!$A$1:$I$89,5,0)</f>
        <v>-3.813056537183002E-14</v>
      </c>
      <c r="GB125" s="14" t="e">
        <f t="shared" si="103"/>
        <v>#NUM!</v>
      </c>
      <c r="GC125" s="22" t="e">
        <f t="shared" si="79"/>
        <v>#NUM!</v>
      </c>
      <c r="GD125" s="62" t="e">
        <f t="shared" si="80"/>
        <v>#NUM!</v>
      </c>
      <c r="GE125" s="62">
        <f ca="1">AVERAGE(OFFSET($GD$3,0,0,'Données projet'!$E$17+1,1))-AVERAGE(OFFSET($H$3,0,0,'Données projet'!$E$17+1,1))</f>
        <v>316.17772895535211</v>
      </c>
      <c r="GF125" s="62">
        <f t="shared" si="104"/>
        <v>251.94445589652992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67.664669340061451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3.95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14.483333333333334</v>
      </c>
      <c r="H126" s="70">
        <f t="shared" si="56"/>
        <v>198.73333333333335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4.2</v>
      </c>
      <c r="N126" s="14">
        <f>IF('Données projet'!$A$36&gt;35,N125+M126-V125,IF(A126&lt;'Données projet'!$A$36,$K$205^A126,IF(A126='Données projet'!$A$36,'Données projet'!$B$36,N125+M126-V125)))</f>
        <v>317.59999999999974</v>
      </c>
      <c r="O126" s="14">
        <f>N126*VLOOKUP('Données projet'!$B$9,Paramètres!$A$1:$I$89,3,0)*VLOOKUP('Données projet'!$B$9,Paramètres!$A$1:$I$89,5,0)</f>
        <v>267.54623999999984</v>
      </c>
      <c r="P126" s="14">
        <f t="shared" si="87"/>
        <v>64.328243115259937</v>
      </c>
      <c r="Q126" s="22">
        <f t="shared" si="107"/>
        <v>578.01472475907735</v>
      </c>
      <c r="R126" s="62">
        <f t="shared" si="55"/>
        <v>862.93372581438939</v>
      </c>
      <c r="S126" s="62">
        <f ca="1">AVERAGE(OFFSET($R$3,0,0,'Données projet'!$E$9+1,1))-AVERAGE(OFFSET($H$3,0,0,'Données projet'!$E$9+1,1))</f>
        <v>508.93703669150443</v>
      </c>
      <c r="T126" s="62">
        <f t="shared" si="88"/>
        <v>277.04920840696707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3.2</v>
      </c>
      <c r="AI126" s="14">
        <f>IF('Données projet'!$A$62&gt;35,AI125+AH126-AQ125,IF(A126&lt;'Données projet'!$A$62,$AF$205^A126,IF(A126='Données projet'!$A$62,'Données projet'!$B$62,AI125+AH126-AQ125)))</f>
        <v>277.59999999999945</v>
      </c>
      <c r="AJ126" s="14">
        <f>AI126*VLOOKUP('Données projet'!$B$10,Paramètres!$A$1:$I$89,3,0)*VLOOKUP('Données projet'!$B$10,Paramètres!$A$1:$I$89,5,0)</f>
        <v>251.1724799999995</v>
      </c>
      <c r="AK126" s="14">
        <f t="shared" si="89"/>
        <v>60.836941386956575</v>
      </c>
      <c r="AL126" s="22">
        <f t="shared" si="58"/>
        <v>543.41640891561519</v>
      </c>
      <c r="AM126" s="62">
        <f t="shared" si="59"/>
        <v>828.33540997092723</v>
      </c>
      <c r="AN126" s="62">
        <f ca="1">AVERAGE(OFFSET($AM$3,0,0,'Données projet'!$E$10+1,1))-AVERAGE(OFFSET($H$3,0,0,'Données projet'!$E$10+1,1))</f>
        <v>461.10503306101145</v>
      </c>
      <c r="AO126" s="62">
        <f t="shared" si="90"/>
        <v>262.10652147273288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-2.2737367544323206E-13</v>
      </c>
      <c r="BE126" s="14">
        <f>BD126*VLOOKUP('Données projet'!$B$11,Paramètres!$A$1:$I$89,3,0)*VLOOKUP('Données projet'!$B$11,Paramètres!$A$1:$I$89,5,0)</f>
        <v>-1.8089849618263545E-13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389.67854939311752</v>
      </c>
      <c r="BJ126" s="62">
        <f t="shared" si="92"/>
        <v>420.05189970516096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-1.0516032489249483E-12</v>
      </c>
      <c r="BZ126" s="14">
        <f>BY126*VLOOKUP('Données projet'!$B$12,Paramètres!$A$1:$I$89,3,0)*VLOOKUP('Données projet'!$B$12,Paramètres!$A$1:$I$89,5,0)</f>
        <v>-6.0151705838507046E-13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312.16891625633968</v>
      </c>
      <c r="CE126" s="62">
        <f t="shared" si="94"/>
        <v>215.34305815516177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0.91157425070820652</v>
      </c>
      <c r="CM126" s="23">
        <f>EXP(-LN(2)/2)*CM125+(1-EXP(-LN(2)/2))/(LN(2)/2)*CG126*CJ126*VLOOKUP('Données projet'!$B$12,Paramètres!$A$1:$I$89,3,0)*0.475*44/12</f>
        <v>8.187181102976071E-14</v>
      </c>
      <c r="CN126" s="24">
        <f t="shared" si="66"/>
        <v>0.91157425070828835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3.979039320256561E-13</v>
      </c>
      <c r="CU126" s="18">
        <f>CT126*VLOOKUP('Données projet'!$B$13,Paramètres!$A$1:$I$89,3,0)*VLOOKUP('Données projet'!$B$13,Paramètres!$A$1:$I$89,5,0)</f>
        <v>2.669139576028101E-13</v>
      </c>
      <c r="CV126" s="14">
        <f t="shared" si="95"/>
        <v>3.5767923834585247E-12</v>
      </c>
      <c r="CW126" s="22">
        <f t="shared" si="67"/>
        <v>6.6944552106818241E-12</v>
      </c>
      <c r="CX126" s="62">
        <f t="shared" si="68"/>
        <v>284.91900105531874</v>
      </c>
      <c r="CY126" s="62">
        <f ca="1">AVERAGE(OFFSET($CX$3,0,0,'Données projet'!$E$13+1,1))-AVERAGE(OFFSET($H$3,0,0,'Données projet'!$E$13+1,1))</f>
        <v>369.04754428478793</v>
      </c>
      <c r="CZ126" s="62">
        <f t="shared" si="96"/>
        <v>277.00523259351712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1.1368683772161603E-13</v>
      </c>
      <c r="DP126" s="18">
        <f>DO126*VLOOKUP('Données projet'!$B$14,Paramètres!$A$1:$I$89,3,0)*VLOOKUP('Données projet'!$B$14,Paramètres!$A$1:$I$89,5,0)</f>
        <v>8.8675733422860506E-14</v>
      </c>
      <c r="DQ126" s="14">
        <f t="shared" si="97"/>
        <v>1.3509285393066301E-12</v>
      </c>
      <c r="DR126" s="22">
        <f t="shared" si="70"/>
        <v>2.5073107750038623E-12</v>
      </c>
      <c r="DS126" s="62">
        <f t="shared" si="71"/>
        <v>284.91900105531454</v>
      </c>
      <c r="DT126" s="62">
        <f ca="1">AVERAGE(OFFSET($DS$3,0,0,'Données projet'!$E$14+1,1))-AVERAGE(OFFSET($H$3,0,0,'Données projet'!$E$14+1,1))</f>
        <v>308.39181291575227</v>
      </c>
      <c r="DU126" s="62">
        <f t="shared" si="98"/>
        <v>298.58225298824334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3.2</v>
      </c>
      <c r="EJ126" s="13">
        <f>IF('Données projet'!$A$192&gt;35,EJ125+EI126-ER125,IF(A126&lt;'Données projet'!$A$192,$EG$205^A126,IF(A126='Données projet'!$A$192,'Données projet'!$B$192,EJ125+EI126-ER125)))</f>
        <v>277.59999999999945</v>
      </c>
      <c r="EK126" s="18">
        <f>EJ126*VLOOKUP('Données projet'!$B$15,Paramètres!$A$1:$I$89,3,0)*VLOOKUP('Données projet'!$B$15,Paramètres!$A$1:$I$89,5,0)</f>
        <v>268.49471999999946</v>
      </c>
      <c r="EL126" s="14">
        <f t="shared" si="99"/>
        <v>64.529707010294615</v>
      </c>
      <c r="EM126" s="22">
        <f t="shared" si="73"/>
        <v>580.01754370959543</v>
      </c>
      <c r="EN126" s="62">
        <f t="shared" si="74"/>
        <v>864.93654476490747</v>
      </c>
      <c r="EO126" s="62">
        <f ca="1">AVERAGE(OFFSET($EN$3,0,0,'Données projet'!$E$15+1,1))-AVERAGE(OFFSET($H$3,0,0,'Données projet'!$E$15+1,1))</f>
        <v>487.76433095707876</v>
      </c>
      <c r="EP126" s="62">
        <f t="shared" si="100"/>
        <v>276.24209151398361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3.2</v>
      </c>
      <c r="FE126" s="13">
        <f>IF('Données projet'!$A$218&gt;35,FE125+FD126-FM125,IF(A126&lt;'Données projet'!$A$218,$FB$205^A126,IF(A126='Données projet'!$A$218,'Données projet'!$B$218,FE125+FD126-FM125)))</f>
        <v>277.59999999999945</v>
      </c>
      <c r="FF126" s="18">
        <f>FE126*VLOOKUP('Données projet'!$B$16,Paramètres!$A$1:$I$89,3,0)*VLOOKUP('Données projet'!$B$16,Paramètres!$A$1:$I$89,5,0)</f>
        <v>298.8086399999994</v>
      </c>
      <c r="FG126" s="14">
        <f t="shared" si="101"/>
        <v>70.926650849267929</v>
      </c>
      <c r="FH126" s="22">
        <f t="shared" si="76"/>
        <v>643.95563156247397</v>
      </c>
      <c r="FI126" s="62">
        <f t="shared" si="77"/>
        <v>928.87463261778601</v>
      </c>
      <c r="FJ126" s="62">
        <f ca="1">AVERAGE(OFFSET($FI$3,0,0,'Données projet'!$E$16+1,1))-AVERAGE(OFFSET($H$3,0,0,'Données projet'!$E$16+1,1))</f>
        <v>534.33392288300456</v>
      </c>
      <c r="FK126" s="62">
        <f t="shared" si="102"/>
        <v>300.93109615735477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-5.6843418860808015E-14</v>
      </c>
      <c r="GA126" s="18">
        <f>FZ126*VLOOKUP('Données projet'!$B$17,Paramètres!$A$1:$I$89,3,0)*VLOOKUP('Données projet'!$B$17,Paramètres!$A$1:$I$89,5,0)</f>
        <v>-3.813056537183002E-14</v>
      </c>
      <c r="GB126" s="14" t="e">
        <f t="shared" si="103"/>
        <v>#NUM!</v>
      </c>
      <c r="GC126" s="22" t="e">
        <f t="shared" si="79"/>
        <v>#NUM!</v>
      </c>
      <c r="GD126" s="62" t="e">
        <f t="shared" si="80"/>
        <v>#NUM!</v>
      </c>
      <c r="GE126" s="62">
        <f ca="1">AVERAGE(OFFSET($GD$3,0,0,'Données projet'!$E$17+1,1))-AVERAGE(OFFSET($H$3,0,0,'Données projet'!$E$17+1,1))</f>
        <v>316.17772895535211</v>
      </c>
      <c r="GF126" s="62">
        <f t="shared" si="104"/>
        <v>251.94445589652992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67.705182105994197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3.95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14.483333333333334</v>
      </c>
      <c r="H127" s="70">
        <f t="shared" si="56"/>
        <v>198.73333333333335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4.2</v>
      </c>
      <c r="N127" s="14">
        <f>IF('Données projet'!$A$36&gt;35,N126+M127-V126,IF(A127&lt;'Données projet'!$A$36,$K$205^A127,IF(A127='Données projet'!$A$36,'Données projet'!$B$36,N126+M127-V126)))</f>
        <v>321.79999999999973</v>
      </c>
      <c r="O127" s="14">
        <f>N127*VLOOKUP('Données projet'!$B$9,Paramètres!$A$1:$I$89,3,0)*VLOOKUP('Données projet'!$B$9,Paramètres!$A$1:$I$89,5,0)</f>
        <v>271.08431999999982</v>
      </c>
      <c r="P127" s="14">
        <f t="shared" si="87"/>
        <v>65.079335652211398</v>
      </c>
      <c r="Q127" s="22">
        <f t="shared" si="107"/>
        <v>585.48503359426786</v>
      </c>
      <c r="R127" s="62">
        <f t="shared" si="55"/>
        <v>870.55000450297484</v>
      </c>
      <c r="S127" s="62">
        <f ca="1">AVERAGE(OFFSET($R$3,0,0,'Données projet'!$E$9+1,1))-AVERAGE(OFFSET($H$3,0,0,'Données projet'!$E$9+1,1))</f>
        <v>508.93703669150443</v>
      </c>
      <c r="T127" s="62">
        <f t="shared" si="88"/>
        <v>277.04920840696707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3.2</v>
      </c>
      <c r="AI127" s="14">
        <f>IF('Données projet'!$A$62&gt;35,AI126+AH127-AQ126,IF(A127&lt;'Données projet'!$A$62,$AF$205^A127,IF(A127='Données projet'!$A$62,'Données projet'!$B$62,AI126+AH127-AQ126)))</f>
        <v>280.79999999999944</v>
      </c>
      <c r="AJ127" s="14">
        <f>AI127*VLOOKUP('Données projet'!$B$10,Paramètres!$A$1:$I$89,3,0)*VLOOKUP('Données projet'!$B$10,Paramètres!$A$1:$I$89,5,0)</f>
        <v>254.06783999999948</v>
      </c>
      <c r="AK127" s="14">
        <f t="shared" si="89"/>
        <v>61.456187622750612</v>
      </c>
      <c r="AL127" s="22">
        <f t="shared" si="58"/>
        <v>549.53768144295634</v>
      </c>
      <c r="AM127" s="62">
        <f t="shared" si="59"/>
        <v>834.60265235166321</v>
      </c>
      <c r="AN127" s="62">
        <f ca="1">AVERAGE(OFFSET($AM$3,0,0,'Données projet'!$E$10+1,1))-AVERAGE(OFFSET($H$3,0,0,'Données projet'!$E$10+1,1))</f>
        <v>461.10503306101145</v>
      </c>
      <c r="AO127" s="62">
        <f t="shared" si="90"/>
        <v>262.10652147273288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-2.2737367544323206E-13</v>
      </c>
      <c r="BE127" s="14">
        <f>BD127*VLOOKUP('Données projet'!$B$11,Paramètres!$A$1:$I$89,3,0)*VLOOKUP('Données projet'!$B$11,Paramètres!$A$1:$I$89,5,0)</f>
        <v>-1.8089849618263545E-13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389.67854939311752</v>
      </c>
      <c r="BJ127" s="62">
        <f t="shared" si="92"/>
        <v>420.05189970516096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-1.0516032489249483E-12</v>
      </c>
      <c r="BZ127" s="14">
        <f>BY127*VLOOKUP('Données projet'!$B$12,Paramètres!$A$1:$I$89,3,0)*VLOOKUP('Données projet'!$B$12,Paramètres!$A$1:$I$89,5,0)</f>
        <v>-6.0151705838507046E-13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312.16891625633968</v>
      </c>
      <c r="CE127" s="62">
        <f t="shared" si="94"/>
        <v>215.34305815516177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0.88664720488498416</v>
      </c>
      <c r="CM127" s="23">
        <f>EXP(-LN(2)/2)*CM126+(1-EXP(-LN(2)/2))/(LN(2)/2)*CG127*CJ127*VLOOKUP('Données projet'!$B$12,Paramètres!$A$1:$I$89,3,0)*0.475*44/12</f>
        <v>5.7892112767167374E-14</v>
      </c>
      <c r="CN127" s="24">
        <f t="shared" si="66"/>
        <v>0.88664720488504201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3.979039320256561E-13</v>
      </c>
      <c r="CU127" s="18">
        <f>CT127*VLOOKUP('Données projet'!$B$13,Paramètres!$A$1:$I$89,3,0)*VLOOKUP('Données projet'!$B$13,Paramètres!$A$1:$I$89,5,0)</f>
        <v>2.669139576028101E-13</v>
      </c>
      <c r="CV127" s="14">
        <f t="shared" si="95"/>
        <v>3.5767923834585247E-12</v>
      </c>
      <c r="CW127" s="22">
        <f t="shared" si="67"/>
        <v>6.6944552106818241E-12</v>
      </c>
      <c r="CX127" s="62">
        <f t="shared" si="68"/>
        <v>285.06497090871363</v>
      </c>
      <c r="CY127" s="62">
        <f ca="1">AVERAGE(OFFSET($CX$3,0,0,'Données projet'!$E$13+1,1))-AVERAGE(OFFSET($H$3,0,0,'Données projet'!$E$13+1,1))</f>
        <v>369.04754428478793</v>
      </c>
      <c r="CZ127" s="62">
        <f t="shared" si="96"/>
        <v>277.00523259351712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1.1368683772161603E-13</v>
      </c>
      <c r="DP127" s="18">
        <f>DO127*VLOOKUP('Données projet'!$B$14,Paramètres!$A$1:$I$89,3,0)*VLOOKUP('Données projet'!$B$14,Paramètres!$A$1:$I$89,5,0)</f>
        <v>8.8675733422860506E-14</v>
      </c>
      <c r="DQ127" s="14">
        <f t="shared" si="97"/>
        <v>1.3509285393066301E-12</v>
      </c>
      <c r="DR127" s="22">
        <f t="shared" si="70"/>
        <v>2.5073107750038623E-12</v>
      </c>
      <c r="DS127" s="62">
        <f t="shared" si="71"/>
        <v>285.06497090870943</v>
      </c>
      <c r="DT127" s="62">
        <f ca="1">AVERAGE(OFFSET($DS$3,0,0,'Données projet'!$E$14+1,1))-AVERAGE(OFFSET($H$3,0,0,'Données projet'!$E$14+1,1))</f>
        <v>308.39181291575227</v>
      </c>
      <c r="DU127" s="62">
        <f t="shared" si="98"/>
        <v>298.58225298824334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3.2</v>
      </c>
      <c r="EJ127" s="13">
        <f>IF('Données projet'!$A$192&gt;35,EJ126+EI127-ER126,IF(A127&lt;'Données projet'!$A$192,$EG$205^A127,IF(A127='Données projet'!$A$192,'Données projet'!$B$192,EJ126+EI127-ER126)))</f>
        <v>280.79999999999944</v>
      </c>
      <c r="EK127" s="18">
        <f>EJ127*VLOOKUP('Données projet'!$B$15,Paramètres!$A$1:$I$89,3,0)*VLOOKUP('Données projet'!$B$15,Paramètres!$A$1:$I$89,5,0)</f>
        <v>271.5897599999995</v>
      </c>
      <c r="EL127" s="14">
        <f t="shared" si="99"/>
        <v>65.186541118848012</v>
      </c>
      <c r="EM127" s="22">
        <f t="shared" si="73"/>
        <v>586.55205778199274</v>
      </c>
      <c r="EN127" s="62">
        <f t="shared" si="74"/>
        <v>871.61702869069973</v>
      </c>
      <c r="EO127" s="62">
        <f ca="1">AVERAGE(OFFSET($EN$3,0,0,'Données projet'!$E$15+1,1))-AVERAGE(OFFSET($H$3,0,0,'Données projet'!$E$15+1,1))</f>
        <v>487.76433095707876</v>
      </c>
      <c r="EP127" s="62">
        <f t="shared" si="100"/>
        <v>276.24209151398361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3.2</v>
      </c>
      <c r="FE127" s="13">
        <f>IF('Données projet'!$A$218&gt;35,FE126+FD127-FM126,IF(A127&lt;'Données projet'!$A$218,$FB$205^A127,IF(A127='Données projet'!$A$218,'Données projet'!$B$218,FE126+FD127-FM126)))</f>
        <v>280.79999999999944</v>
      </c>
      <c r="FF127" s="18">
        <f>FE127*VLOOKUP('Données projet'!$B$16,Paramètres!$A$1:$I$89,3,0)*VLOOKUP('Données projet'!$B$16,Paramètres!$A$1:$I$89,5,0)</f>
        <v>302.2531199999994</v>
      </c>
      <c r="FG127" s="14">
        <f t="shared" si="101"/>
        <v>71.648598083211283</v>
      </c>
      <c r="FH127" s="22">
        <f t="shared" si="76"/>
        <v>651.21215899492529</v>
      </c>
      <c r="FI127" s="62">
        <f t="shared" si="77"/>
        <v>936.27712990363216</v>
      </c>
      <c r="FJ127" s="62">
        <f ca="1">AVERAGE(OFFSET($FI$3,0,0,'Données projet'!$E$16+1,1))-AVERAGE(OFFSET($H$3,0,0,'Données projet'!$E$16+1,1))</f>
        <v>534.33392288300456</v>
      </c>
      <c r="FK127" s="62">
        <f t="shared" si="102"/>
        <v>300.93109615735477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-5.6843418860808015E-14</v>
      </c>
      <c r="GA127" s="18">
        <f>FZ127*VLOOKUP('Données projet'!$B$17,Paramètres!$A$1:$I$89,3,0)*VLOOKUP('Données projet'!$B$17,Paramètres!$A$1:$I$89,5,0)</f>
        <v>-3.813056537183002E-14</v>
      </c>
      <c r="GB127" s="14" t="e">
        <f t="shared" si="103"/>
        <v>#NUM!</v>
      </c>
      <c r="GC127" s="22" t="e">
        <f t="shared" si="79"/>
        <v>#NUM!</v>
      </c>
      <c r="GD127" s="62" t="e">
        <f t="shared" si="80"/>
        <v>#NUM!</v>
      </c>
      <c r="GE127" s="62">
        <f ca="1">AVERAGE(OFFSET($GD$3,0,0,'Données projet'!$E$17+1,1))-AVERAGE(OFFSET($H$3,0,0,'Données projet'!$E$17+1,1))</f>
        <v>316.17772895535211</v>
      </c>
      <c r="GF127" s="62">
        <f t="shared" si="104"/>
        <v>251.94445589652992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67.74499206601098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3.95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14.483333333333334</v>
      </c>
      <c r="H128" s="70">
        <f t="shared" si="56"/>
        <v>198.73333333333335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4.2</v>
      </c>
      <c r="N128" s="14">
        <f>IF('Données projet'!$A$36&gt;35,N127+M128-V127,IF(A128&lt;'Données projet'!$A$36,$K$205^A128,IF(A128='Données projet'!$A$36,'Données projet'!$B$36,N127+M128-V127)))</f>
        <v>325.99999999999972</v>
      </c>
      <c r="O128" s="14">
        <f>N128*VLOOKUP('Données projet'!$B$9,Paramètres!$A$1:$I$89,3,0)*VLOOKUP('Données projet'!$B$9,Paramètres!$A$1:$I$89,5,0)</f>
        <v>274.6223999999998</v>
      </c>
      <c r="P128" s="14">
        <f t="shared" si="87"/>
        <v>65.829287958103762</v>
      </c>
      <c r="Q128" s="22">
        <f t="shared" si="107"/>
        <v>592.95335652703034</v>
      </c>
      <c r="R128" s="62">
        <f t="shared" si="55"/>
        <v>878.16176503851545</v>
      </c>
      <c r="S128" s="62">
        <f ca="1">AVERAGE(OFFSET($R$3,0,0,'Données projet'!$E$9+1,1))-AVERAGE(OFFSET($H$3,0,0,'Données projet'!$E$9+1,1))</f>
        <v>508.93703669150443</v>
      </c>
      <c r="T128" s="62">
        <f t="shared" si="88"/>
        <v>277.04920840696707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3.2</v>
      </c>
      <c r="AI128" s="14">
        <f>IF('Données projet'!$A$62&gt;35,AI127+AH128-AQ127,IF(A128&lt;'Données projet'!$A$62,$AF$205^A128,IF(A128='Données projet'!$A$62,'Données projet'!$B$62,AI127+AH128-AQ127)))</f>
        <v>283.99999999999943</v>
      </c>
      <c r="AJ128" s="14">
        <f>AI128*VLOOKUP('Données projet'!$B$10,Paramètres!$A$1:$I$89,3,0)*VLOOKUP('Données projet'!$B$10,Paramètres!$A$1:$I$89,5,0)</f>
        <v>256.96319999999946</v>
      </c>
      <c r="AK128" s="14">
        <f t="shared" si="89"/>
        <v>62.07461295683791</v>
      </c>
      <c r="AL128" s="22">
        <f t="shared" si="58"/>
        <v>555.65752423315837</v>
      </c>
      <c r="AM128" s="62">
        <f t="shared" si="59"/>
        <v>840.86593274464349</v>
      </c>
      <c r="AN128" s="62">
        <f ca="1">AVERAGE(OFFSET($AM$3,0,0,'Données projet'!$E$10+1,1))-AVERAGE(OFFSET($H$3,0,0,'Données projet'!$E$10+1,1))</f>
        <v>461.10503306101145</v>
      </c>
      <c r="AO128" s="62">
        <f t="shared" si="90"/>
        <v>262.10652147273288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-2.2737367544323206E-13</v>
      </c>
      <c r="BE128" s="14">
        <f>BD128*VLOOKUP('Données projet'!$B$11,Paramètres!$A$1:$I$89,3,0)*VLOOKUP('Données projet'!$B$11,Paramètres!$A$1:$I$89,5,0)</f>
        <v>-1.8089849618263545E-13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389.67854939311752</v>
      </c>
      <c r="BJ128" s="62">
        <f t="shared" si="92"/>
        <v>420.05189970516096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-1.0516032489249483E-12</v>
      </c>
      <c r="BZ128" s="14">
        <f>BY128*VLOOKUP('Données projet'!$B$12,Paramètres!$A$1:$I$89,3,0)*VLOOKUP('Données projet'!$B$12,Paramètres!$A$1:$I$89,5,0)</f>
        <v>-6.0151705838507046E-13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312.16891625633968</v>
      </c>
      <c r="CE128" s="62">
        <f t="shared" si="94"/>
        <v>215.34305815516177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0.86240179044065424</v>
      </c>
      <c r="CM128" s="23">
        <f>EXP(-LN(2)/2)*CM127+(1-EXP(-LN(2)/2))/(LN(2)/2)*CG128*CJ128*VLOOKUP('Données projet'!$B$12,Paramètres!$A$1:$I$89,3,0)*0.475*44/12</f>
        <v>4.0935905514880355E-14</v>
      </c>
      <c r="CN128" s="24">
        <f t="shared" si="66"/>
        <v>0.8624017904406952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3.979039320256561E-13</v>
      </c>
      <c r="CU128" s="18">
        <f>CT128*VLOOKUP('Données projet'!$B$13,Paramètres!$A$1:$I$89,3,0)*VLOOKUP('Données projet'!$B$13,Paramètres!$A$1:$I$89,5,0)</f>
        <v>2.669139576028101E-13</v>
      </c>
      <c r="CV128" s="14">
        <f t="shared" si="95"/>
        <v>3.5767923834585247E-12</v>
      </c>
      <c r="CW128" s="22">
        <f t="shared" si="67"/>
        <v>6.6944552106818241E-12</v>
      </c>
      <c r="CX128" s="62">
        <f t="shared" si="68"/>
        <v>285.20840851149183</v>
      </c>
      <c r="CY128" s="62">
        <f ca="1">AVERAGE(OFFSET($CX$3,0,0,'Données projet'!$E$13+1,1))-AVERAGE(OFFSET($H$3,0,0,'Données projet'!$E$13+1,1))</f>
        <v>369.04754428478793</v>
      </c>
      <c r="CZ128" s="62">
        <f t="shared" si="96"/>
        <v>277.00523259351712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1.1368683772161603E-13</v>
      </c>
      <c r="DP128" s="18">
        <f>DO128*VLOOKUP('Données projet'!$B$14,Paramètres!$A$1:$I$89,3,0)*VLOOKUP('Données projet'!$B$14,Paramètres!$A$1:$I$89,5,0)</f>
        <v>8.8675733422860506E-14</v>
      </c>
      <c r="DQ128" s="14">
        <f t="shared" si="97"/>
        <v>1.3509285393066301E-12</v>
      </c>
      <c r="DR128" s="22">
        <f t="shared" si="70"/>
        <v>2.5073107750038623E-12</v>
      </c>
      <c r="DS128" s="62">
        <f t="shared" si="71"/>
        <v>285.20840851148762</v>
      </c>
      <c r="DT128" s="62">
        <f ca="1">AVERAGE(OFFSET($DS$3,0,0,'Données projet'!$E$14+1,1))-AVERAGE(OFFSET($H$3,0,0,'Données projet'!$E$14+1,1))</f>
        <v>308.39181291575227</v>
      </c>
      <c r="DU128" s="62">
        <f t="shared" si="98"/>
        <v>298.58225298824334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3.2</v>
      </c>
      <c r="EJ128" s="13">
        <f>IF('Données projet'!$A$192&gt;35,EJ127+EI128-ER127,IF(A128&lt;'Données projet'!$A$192,$EG$205^A128,IF(A128='Données projet'!$A$192,'Données projet'!$B$192,EJ127+EI128-ER127)))</f>
        <v>283.99999999999943</v>
      </c>
      <c r="EK128" s="18">
        <f>EJ128*VLOOKUP('Données projet'!$B$15,Paramètres!$A$1:$I$89,3,0)*VLOOKUP('Données projet'!$B$15,Paramètres!$A$1:$I$89,5,0)</f>
        <v>274.68479999999943</v>
      </c>
      <c r="EL128" s="14">
        <f t="shared" si="99"/>
        <v>65.842504497456545</v>
      </c>
      <c r="EM128" s="22">
        <f t="shared" si="73"/>
        <v>593.08505533306914</v>
      </c>
      <c r="EN128" s="62">
        <f t="shared" si="74"/>
        <v>878.29346384455425</v>
      </c>
      <c r="EO128" s="62">
        <f ca="1">AVERAGE(OFFSET($EN$3,0,0,'Données projet'!$E$15+1,1))-AVERAGE(OFFSET($H$3,0,0,'Données projet'!$E$15+1,1))</f>
        <v>487.76433095707876</v>
      </c>
      <c r="EP128" s="62">
        <f t="shared" si="100"/>
        <v>276.24209151398361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3.2</v>
      </c>
      <c r="FE128" s="13">
        <f>IF('Données projet'!$A$218&gt;35,FE127+FD128-FM127,IF(A128&lt;'Données projet'!$A$218,$FB$205^A128,IF(A128='Données projet'!$A$218,'Données projet'!$B$218,FE127+FD128-FM127)))</f>
        <v>283.99999999999943</v>
      </c>
      <c r="FF128" s="18">
        <f>FE128*VLOOKUP('Données projet'!$B$16,Paramètres!$A$1:$I$89,3,0)*VLOOKUP('Données projet'!$B$16,Paramètres!$A$1:$I$89,5,0)</f>
        <v>305.69759999999934</v>
      </c>
      <c r="FG128" s="14">
        <f t="shared" si="101"/>
        <v>72.369588270212233</v>
      </c>
      <c r="FH128" s="22">
        <f t="shared" si="76"/>
        <v>658.46701957061839</v>
      </c>
      <c r="FI128" s="62">
        <f t="shared" si="77"/>
        <v>943.67542808210351</v>
      </c>
      <c r="FJ128" s="62">
        <f ca="1">AVERAGE(OFFSET($FI$3,0,0,'Données projet'!$E$16+1,1))-AVERAGE(OFFSET($H$3,0,0,'Données projet'!$E$16+1,1))</f>
        <v>534.33392288300456</v>
      </c>
      <c r="FK128" s="62">
        <f t="shared" si="102"/>
        <v>300.93109615735477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-5.6843418860808015E-14</v>
      </c>
      <c r="GA128" s="18">
        <f>FZ128*VLOOKUP('Données projet'!$B$17,Paramètres!$A$1:$I$89,3,0)*VLOOKUP('Données projet'!$B$17,Paramètres!$A$1:$I$89,5,0)</f>
        <v>-3.813056537183002E-14</v>
      </c>
      <c r="GB128" s="14" t="e">
        <f t="shared" si="103"/>
        <v>#NUM!</v>
      </c>
      <c r="GC128" s="22" t="e">
        <f t="shared" si="79"/>
        <v>#NUM!</v>
      </c>
      <c r="GD128" s="62" t="e">
        <f t="shared" si="80"/>
        <v>#NUM!</v>
      </c>
      <c r="GE128" s="62">
        <f ca="1">AVERAGE(OFFSET($GD$3,0,0,'Données projet'!$E$17+1,1))-AVERAGE(OFFSET($H$3,0,0,'Données projet'!$E$17+1,1))</f>
        <v>316.17772895535211</v>
      </c>
      <c r="GF128" s="62">
        <f t="shared" si="104"/>
        <v>251.94445589652992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67.784111412223211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3.95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14.483333333333334</v>
      </c>
      <c r="H129" s="70">
        <f t="shared" si="56"/>
        <v>198.73333333333335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4.2</v>
      </c>
      <c r="N129" s="14">
        <f>IF('Données projet'!$A$36&gt;35,N128+M129-V128,IF(A129&lt;'Données projet'!$A$36,$K$205^A129,IF(A129='Données projet'!$A$36,'Données projet'!$B$36,N128+M129-V128)))</f>
        <v>330.1999999999997</v>
      </c>
      <c r="O129" s="14">
        <f>N129*VLOOKUP('Données projet'!$B$9,Paramètres!$A$1:$I$89,3,0)*VLOOKUP('Données projet'!$B$9,Paramètres!$A$1:$I$89,5,0)</f>
        <v>278.16047999999978</v>
      </c>
      <c r="P129" s="14">
        <f t="shared" si="87"/>
        <v>66.578116421578429</v>
      </c>
      <c r="Q129" s="22">
        <f t="shared" si="107"/>
        <v>600.41972210091535</v>
      </c>
      <c r="R129" s="62">
        <f t="shared" si="55"/>
        <v>885.76907989344886</v>
      </c>
      <c r="S129" s="62">
        <f ca="1">AVERAGE(OFFSET($R$3,0,0,'Données projet'!$E$9+1,1))-AVERAGE(OFFSET($H$3,0,0,'Données projet'!$E$9+1,1))</f>
        <v>508.93703669150443</v>
      </c>
      <c r="T129" s="62">
        <f t="shared" si="88"/>
        <v>277.04920840696707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3.2</v>
      </c>
      <c r="AI129" s="14">
        <f>IF('Données projet'!$A$62&gt;35,AI128+AH129-AQ128,IF(A129&lt;'Données projet'!$A$62,$AF$205^A129,IF(A129='Données projet'!$A$62,'Données projet'!$B$62,AI128+AH129-AQ128)))</f>
        <v>287.19999999999942</v>
      </c>
      <c r="AJ129" s="14">
        <f>AI129*VLOOKUP('Données projet'!$B$10,Paramètres!$A$1:$I$89,3,0)*VLOOKUP('Données projet'!$B$10,Paramètres!$A$1:$I$89,5,0)</f>
        <v>259.85855999999944</v>
      </c>
      <c r="AK129" s="14">
        <f t="shared" si="89"/>
        <v>62.692227709138365</v>
      </c>
      <c r="AL129" s="22">
        <f t="shared" si="58"/>
        <v>561.77595526008167</v>
      </c>
      <c r="AM129" s="62">
        <f t="shared" si="59"/>
        <v>847.12531305261518</v>
      </c>
      <c r="AN129" s="62">
        <f ca="1">AVERAGE(OFFSET($AM$3,0,0,'Données projet'!$E$10+1,1))-AVERAGE(OFFSET($H$3,0,0,'Données projet'!$E$10+1,1))</f>
        <v>461.10503306101145</v>
      </c>
      <c r="AO129" s="62">
        <f t="shared" si="90"/>
        <v>262.10652147273288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-2.2737367544323206E-13</v>
      </c>
      <c r="BE129" s="14">
        <f>BD129*VLOOKUP('Données projet'!$B$11,Paramètres!$A$1:$I$89,3,0)*VLOOKUP('Données projet'!$B$11,Paramètres!$A$1:$I$89,5,0)</f>
        <v>-1.8089849618263545E-13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389.67854939311752</v>
      </c>
      <c r="BJ129" s="62">
        <f t="shared" si="92"/>
        <v>420.05189970516096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-1.0516032489249483E-12</v>
      </c>
      <c r="BZ129" s="14">
        <f>BY129*VLOOKUP('Données projet'!$B$12,Paramètres!$A$1:$I$89,3,0)*VLOOKUP('Données projet'!$B$12,Paramètres!$A$1:$I$89,5,0)</f>
        <v>-6.0151705838507046E-13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312.16891625633968</v>
      </c>
      <c r="CE129" s="62">
        <f t="shared" si="94"/>
        <v>215.34305815516177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0.83881936812931546</v>
      </c>
      <c r="CM129" s="23">
        <f>EXP(-LN(2)/2)*CM128+(1-EXP(-LN(2)/2))/(LN(2)/2)*CG129*CJ129*VLOOKUP('Données projet'!$B$12,Paramètres!$A$1:$I$89,3,0)*0.475*44/12</f>
        <v>2.8946056383583687E-14</v>
      </c>
      <c r="CN129" s="24">
        <f t="shared" si="66"/>
        <v>0.83881936812934443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3.979039320256561E-13</v>
      </c>
      <c r="CU129" s="18">
        <f>CT129*VLOOKUP('Données projet'!$B$13,Paramètres!$A$1:$I$89,3,0)*VLOOKUP('Données projet'!$B$13,Paramètres!$A$1:$I$89,5,0)</f>
        <v>2.669139576028101E-13</v>
      </c>
      <c r="CV129" s="14">
        <f t="shared" si="95"/>
        <v>3.5767923834585247E-12</v>
      </c>
      <c r="CW129" s="22">
        <f t="shared" si="67"/>
        <v>6.6944552106818241E-12</v>
      </c>
      <c r="CX129" s="62">
        <f t="shared" si="68"/>
        <v>285.34935779254022</v>
      </c>
      <c r="CY129" s="62">
        <f ca="1">AVERAGE(OFFSET($CX$3,0,0,'Données projet'!$E$13+1,1))-AVERAGE(OFFSET($H$3,0,0,'Données projet'!$E$13+1,1))</f>
        <v>369.04754428478793</v>
      </c>
      <c r="CZ129" s="62">
        <f t="shared" si="96"/>
        <v>277.00523259351712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1.1368683772161603E-13</v>
      </c>
      <c r="DP129" s="18">
        <f>DO129*VLOOKUP('Données projet'!$B$14,Paramètres!$A$1:$I$89,3,0)*VLOOKUP('Données projet'!$B$14,Paramètres!$A$1:$I$89,5,0)</f>
        <v>8.8675733422860506E-14</v>
      </c>
      <c r="DQ129" s="14">
        <f t="shared" si="97"/>
        <v>1.3509285393066301E-12</v>
      </c>
      <c r="DR129" s="22">
        <f t="shared" si="70"/>
        <v>2.5073107750038623E-12</v>
      </c>
      <c r="DS129" s="62">
        <f t="shared" si="71"/>
        <v>285.34935779253601</v>
      </c>
      <c r="DT129" s="62">
        <f ca="1">AVERAGE(OFFSET($DS$3,0,0,'Données projet'!$E$14+1,1))-AVERAGE(OFFSET($H$3,0,0,'Données projet'!$E$14+1,1))</f>
        <v>308.39181291575227</v>
      </c>
      <c r="DU129" s="62">
        <f t="shared" si="98"/>
        <v>298.58225298824334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3.2</v>
      </c>
      <c r="EJ129" s="13">
        <f>IF('Données projet'!$A$192&gt;35,EJ128+EI129-ER128,IF(A129&lt;'Données projet'!$A$192,$EG$205^A129,IF(A129='Données projet'!$A$192,'Données projet'!$B$192,EJ128+EI129-ER128)))</f>
        <v>287.19999999999942</v>
      </c>
      <c r="EK129" s="18">
        <f>EJ129*VLOOKUP('Données projet'!$B$15,Paramètres!$A$1:$I$89,3,0)*VLOOKUP('Données projet'!$B$15,Paramètres!$A$1:$I$89,5,0)</f>
        <v>277.77983999999947</v>
      </c>
      <c r="EL129" s="14">
        <f t="shared" si="99"/>
        <v>66.497608092453063</v>
      </c>
      <c r="EM129" s="22">
        <f t="shared" si="73"/>
        <v>599.61655542768813</v>
      </c>
      <c r="EN129" s="62">
        <f t="shared" si="74"/>
        <v>884.96591322022164</v>
      </c>
      <c r="EO129" s="62">
        <f ca="1">AVERAGE(OFFSET($EN$3,0,0,'Données projet'!$E$15+1,1))-AVERAGE(OFFSET($H$3,0,0,'Données projet'!$E$15+1,1))</f>
        <v>487.76433095707876</v>
      </c>
      <c r="EP129" s="62">
        <f t="shared" si="100"/>
        <v>276.24209151398361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3.2</v>
      </c>
      <c r="FE129" s="13">
        <f>IF('Données projet'!$A$218&gt;35,FE128+FD129-FM128,IF(A129&lt;'Données projet'!$A$218,$FB$205^A129,IF(A129='Données projet'!$A$218,'Données projet'!$B$218,FE128+FD129-FM128)))</f>
        <v>287.19999999999942</v>
      </c>
      <c r="FF129" s="18">
        <f>FE129*VLOOKUP('Données projet'!$B$16,Paramètres!$A$1:$I$89,3,0)*VLOOKUP('Données projet'!$B$16,Paramètres!$A$1:$I$89,5,0)</f>
        <v>309.14207999999934</v>
      </c>
      <c r="FG129" s="14">
        <f t="shared" si="101"/>
        <v>73.089633441733085</v>
      </c>
      <c r="FH129" s="22">
        <f t="shared" si="76"/>
        <v>665.72023424435065</v>
      </c>
      <c r="FI129" s="62">
        <f t="shared" si="77"/>
        <v>951.06959203688416</v>
      </c>
      <c r="FJ129" s="62">
        <f ca="1">AVERAGE(OFFSET($FI$3,0,0,'Données projet'!$E$16+1,1))-AVERAGE(OFFSET($H$3,0,0,'Données projet'!$E$16+1,1))</f>
        <v>534.33392288300456</v>
      </c>
      <c r="FK129" s="62">
        <f t="shared" si="102"/>
        <v>300.93109615735477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-5.6843418860808015E-14</v>
      </c>
      <c r="GA129" s="18">
        <f>FZ129*VLOOKUP('Données projet'!$B$17,Paramètres!$A$1:$I$89,3,0)*VLOOKUP('Données projet'!$B$17,Paramètres!$A$1:$I$89,5,0)</f>
        <v>-3.813056537183002E-14</v>
      </c>
      <c r="GB129" s="14" t="e">
        <f t="shared" si="103"/>
        <v>#NUM!</v>
      </c>
      <c r="GC129" s="22" t="e">
        <f t="shared" si="79"/>
        <v>#NUM!</v>
      </c>
      <c r="GD129" s="62" t="e">
        <f t="shared" si="80"/>
        <v>#NUM!</v>
      </c>
      <c r="GE129" s="62">
        <f ca="1">AVERAGE(OFFSET($GD$3,0,0,'Données projet'!$E$17+1,1))-AVERAGE(OFFSET($H$3,0,0,'Données projet'!$E$17+1,1))</f>
        <v>316.17772895535211</v>
      </c>
      <c r="GF129" s="62">
        <f t="shared" si="104"/>
        <v>251.94445589652992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67.822552125236413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3.95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14.483333333333334</v>
      </c>
      <c r="H130" s="70">
        <f t="shared" si="56"/>
        <v>198.73333333333335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4.2</v>
      </c>
      <c r="N130" s="14">
        <f>IF('Données projet'!$A$36&gt;35,N129+M130-V129,IF(A130&lt;'Données projet'!$A$36,$K$205^A130,IF(A130='Données projet'!$A$36,'Données projet'!$B$36,N129+M130-V129)))</f>
        <v>334.39999999999969</v>
      </c>
      <c r="O130" s="14">
        <f>N130*VLOOKUP('Données projet'!$B$9,Paramètres!$A$1:$I$89,3,0)*VLOOKUP('Données projet'!$B$9,Paramètres!$A$1:$I$89,5,0)</f>
        <v>281.69855999999976</v>
      </c>
      <c r="P130" s="14">
        <f t="shared" si="87"/>
        <v>67.325836990390755</v>
      </c>
      <c r="Q130" s="22">
        <f t="shared" si="107"/>
        <v>607.88415809159676</v>
      </c>
      <c r="R130" s="62">
        <f t="shared" si="55"/>
        <v>893.37202001026787</v>
      </c>
      <c r="S130" s="62">
        <f ca="1">AVERAGE(OFFSET($R$3,0,0,'Données projet'!$E$9+1,1))-AVERAGE(OFFSET($H$3,0,0,'Données projet'!$E$9+1,1))</f>
        <v>508.93703669150443</v>
      </c>
      <c r="T130" s="62">
        <f t="shared" si="88"/>
        <v>277.04920840696707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3.2</v>
      </c>
      <c r="AI130" s="14">
        <f>IF('Données projet'!$A$62&gt;35,AI129+AH130-AQ129,IF(A130&lt;'Données projet'!$A$62,$AF$205^A130,IF(A130='Données projet'!$A$62,'Données projet'!$B$62,AI129+AH130-AQ129)))</f>
        <v>290.39999999999941</v>
      </c>
      <c r="AJ130" s="14">
        <f>AI130*VLOOKUP('Données projet'!$B$10,Paramètres!$A$1:$I$89,3,0)*VLOOKUP('Données projet'!$B$10,Paramètres!$A$1:$I$89,5,0)</f>
        <v>262.75391999999948</v>
      </c>
      <c r="AK130" s="14">
        <f t="shared" si="89"/>
        <v>63.309041956360211</v>
      </c>
      <c r="AL130" s="22">
        <f t="shared" si="58"/>
        <v>567.89299207399313</v>
      </c>
      <c r="AM130" s="62">
        <f t="shared" si="59"/>
        <v>853.38085399266424</v>
      </c>
      <c r="AN130" s="62">
        <f ca="1">AVERAGE(OFFSET($AM$3,0,0,'Données projet'!$E$10+1,1))-AVERAGE(OFFSET($H$3,0,0,'Données projet'!$E$10+1,1))</f>
        <v>461.10503306101145</v>
      </c>
      <c r="AO130" s="62">
        <f t="shared" si="90"/>
        <v>262.10652147273288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-2.2737367544323206E-13</v>
      </c>
      <c r="BE130" s="14">
        <f>BD130*VLOOKUP('Données projet'!$B$11,Paramètres!$A$1:$I$89,3,0)*VLOOKUP('Données projet'!$B$11,Paramètres!$A$1:$I$89,5,0)</f>
        <v>-1.8089849618263545E-13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389.67854939311752</v>
      </c>
      <c r="BJ130" s="62">
        <f t="shared" si="92"/>
        <v>420.05189970516096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-1.0516032489249483E-12</v>
      </c>
      <c r="BZ130" s="14">
        <f>BY130*VLOOKUP('Données projet'!$B$12,Paramètres!$A$1:$I$89,3,0)*VLOOKUP('Données projet'!$B$12,Paramètres!$A$1:$I$89,5,0)</f>
        <v>-6.0151705838507046E-13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312.16891625633968</v>
      </c>
      <c r="CE130" s="62">
        <f t="shared" si="94"/>
        <v>215.34305815516177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0.81588180839622593</v>
      </c>
      <c r="CM130" s="23">
        <f>EXP(-LN(2)/2)*CM129+(1-EXP(-LN(2)/2))/(LN(2)/2)*CG130*CJ130*VLOOKUP('Données projet'!$B$12,Paramètres!$A$1:$I$89,3,0)*0.475*44/12</f>
        <v>2.0467952757440177E-14</v>
      </c>
      <c r="CN130" s="24">
        <f t="shared" si="66"/>
        <v>0.81588180839624636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3.979039320256561E-13</v>
      </c>
      <c r="CU130" s="18">
        <f>CT130*VLOOKUP('Données projet'!$B$13,Paramètres!$A$1:$I$89,3,0)*VLOOKUP('Données projet'!$B$13,Paramètres!$A$1:$I$89,5,0)</f>
        <v>2.669139576028101E-13</v>
      </c>
      <c r="CV130" s="14">
        <f t="shared" si="95"/>
        <v>3.5767923834585247E-12</v>
      </c>
      <c r="CW130" s="22">
        <f t="shared" si="67"/>
        <v>6.6944552106818241E-12</v>
      </c>
      <c r="CX130" s="62">
        <f t="shared" si="68"/>
        <v>285.48786191867782</v>
      </c>
      <c r="CY130" s="62">
        <f ca="1">AVERAGE(OFFSET($CX$3,0,0,'Données projet'!$E$13+1,1))-AVERAGE(OFFSET($H$3,0,0,'Données projet'!$E$13+1,1))</f>
        <v>369.04754428478793</v>
      </c>
      <c r="CZ130" s="62">
        <f t="shared" si="96"/>
        <v>277.00523259351712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1.1368683772161603E-13</v>
      </c>
      <c r="DP130" s="18">
        <f>DO130*VLOOKUP('Données projet'!$B$14,Paramètres!$A$1:$I$89,3,0)*VLOOKUP('Données projet'!$B$14,Paramètres!$A$1:$I$89,5,0)</f>
        <v>8.8675733422860506E-14</v>
      </c>
      <c r="DQ130" s="14">
        <f t="shared" si="97"/>
        <v>1.3509285393066301E-12</v>
      </c>
      <c r="DR130" s="22">
        <f t="shared" si="70"/>
        <v>2.5073107750038623E-12</v>
      </c>
      <c r="DS130" s="62">
        <f t="shared" si="71"/>
        <v>285.48786191867362</v>
      </c>
      <c r="DT130" s="62">
        <f ca="1">AVERAGE(OFFSET($DS$3,0,0,'Données projet'!$E$14+1,1))-AVERAGE(OFFSET($H$3,0,0,'Données projet'!$E$14+1,1))</f>
        <v>308.39181291575227</v>
      </c>
      <c r="DU130" s="62">
        <f t="shared" si="98"/>
        <v>298.58225298824334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3.2</v>
      </c>
      <c r="EJ130" s="13">
        <f>IF('Données projet'!$A$192&gt;35,EJ129+EI130-ER129,IF(A130&lt;'Données projet'!$A$192,$EG$205^A130,IF(A130='Données projet'!$A$192,'Données projet'!$B$192,EJ129+EI130-ER129)))</f>
        <v>290.39999999999941</v>
      </c>
      <c r="EK130" s="18">
        <f>EJ130*VLOOKUP('Données projet'!$B$15,Paramètres!$A$1:$I$89,3,0)*VLOOKUP('Données projet'!$B$15,Paramètres!$A$1:$I$89,5,0)</f>
        <v>280.87487999999945</v>
      </c>
      <c r="EL130" s="14">
        <f t="shared" si="99"/>
        <v>67.151862592195727</v>
      </c>
      <c r="EM130" s="22">
        <f t="shared" si="73"/>
        <v>606.1465766814066</v>
      </c>
      <c r="EN130" s="62">
        <f t="shared" si="74"/>
        <v>891.63443860007771</v>
      </c>
      <c r="EO130" s="62">
        <f ca="1">AVERAGE(OFFSET($EN$3,0,0,'Données projet'!$E$15+1,1))-AVERAGE(OFFSET($H$3,0,0,'Données projet'!$E$15+1,1))</f>
        <v>487.76433095707876</v>
      </c>
      <c r="EP130" s="62">
        <f t="shared" si="100"/>
        <v>276.24209151398361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3.2</v>
      </c>
      <c r="FE130" s="13">
        <f>IF('Données projet'!$A$218&gt;35,FE129+FD130-FM129,IF(A130&lt;'Données projet'!$A$218,$FB$205^A130,IF(A130='Données projet'!$A$218,'Données projet'!$B$218,FE129+FD130-FM129)))</f>
        <v>290.39999999999941</v>
      </c>
      <c r="FF130" s="18">
        <f>FE130*VLOOKUP('Données projet'!$B$16,Paramètres!$A$1:$I$89,3,0)*VLOOKUP('Données projet'!$B$16,Paramètres!$A$1:$I$89,5,0)</f>
        <v>312.58655999999934</v>
      </c>
      <c r="FG130" s="14">
        <f t="shared" si="101"/>
        <v>73.808745345687839</v>
      </c>
      <c r="FH130" s="22">
        <f t="shared" si="76"/>
        <v>672.97182347707178</v>
      </c>
      <c r="FI130" s="62">
        <f t="shared" si="77"/>
        <v>958.45968539574289</v>
      </c>
      <c r="FJ130" s="62">
        <f ca="1">AVERAGE(OFFSET($FI$3,0,0,'Données projet'!$E$16+1,1))-AVERAGE(OFFSET($H$3,0,0,'Données projet'!$E$16+1,1))</f>
        <v>534.33392288300456</v>
      </c>
      <c r="FK130" s="62">
        <f t="shared" si="102"/>
        <v>300.93109615735477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-5.6843418860808015E-14</v>
      </c>
      <c r="GA130" s="18">
        <f>FZ130*VLOOKUP('Données projet'!$B$17,Paramètres!$A$1:$I$89,3,0)*VLOOKUP('Données projet'!$B$17,Paramètres!$A$1:$I$89,5,0)</f>
        <v>-3.813056537183002E-14</v>
      </c>
      <c r="GB130" s="14" t="e">
        <f t="shared" si="103"/>
        <v>#NUM!</v>
      </c>
      <c r="GC130" s="22" t="e">
        <f t="shared" si="79"/>
        <v>#NUM!</v>
      </c>
      <c r="GD130" s="62" t="e">
        <f t="shared" si="80"/>
        <v>#NUM!</v>
      </c>
      <c r="GE130" s="62">
        <f ca="1">AVERAGE(OFFSET($GD$3,0,0,'Données projet'!$E$17+1,1))-AVERAGE(OFFSET($H$3,0,0,'Données projet'!$E$17+1,1))</f>
        <v>316.17772895535211</v>
      </c>
      <c r="GF130" s="62">
        <f t="shared" si="104"/>
        <v>251.94445589652992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67.8603259778194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3.95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14.483333333333334</v>
      </c>
      <c r="H131" s="70">
        <f t="shared" si="56"/>
        <v>198.73333333333335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4.2</v>
      </c>
      <c r="N131" s="14">
        <f>IF('Données projet'!$A$36&gt;35,N130+M131-V130,IF(A131&lt;'Données projet'!$A$36,$K$205^A131,IF(A131='Données projet'!$A$36,'Données projet'!$B$36,N130+M131-V130)))</f>
        <v>338.59999999999968</v>
      </c>
      <c r="O131" s="14">
        <f>N131*VLOOKUP('Données projet'!$B$9,Paramètres!$A$1:$I$89,3,0)*VLOOKUP('Données projet'!$B$9,Paramètres!$A$1:$I$89,5,0)</f>
        <v>285.2366399999998</v>
      </c>
      <c r="P131" s="14">
        <f t="shared" si="87"/>
        <v>68.072465188656238</v>
      </c>
      <c r="Q131" s="22">
        <f t="shared" ref="Q131:Q153" si="108">(O131+P131)*0.475*44/12</f>
        <v>615.34669153690925</v>
      </c>
      <c r="R131" s="62">
        <f t="shared" ref="R131:R194" si="109">Q131+(I131+J131)*44/12</f>
        <v>900.97065484477844</v>
      </c>
      <c r="S131" s="62">
        <f ca="1">AVERAGE(OFFSET($R$3,0,0,'Données projet'!$E$9+1,1))-AVERAGE(OFFSET($H$3,0,0,'Données projet'!$E$9+1,1))</f>
        <v>508.93703669150443</v>
      </c>
      <c r="T131" s="62">
        <f t="shared" si="88"/>
        <v>277.04920840696707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3.2</v>
      </c>
      <c r="AI131" s="14">
        <f>IF('Données projet'!$A$62&gt;35,AI130+AH131-AQ130,IF(A131&lt;'Données projet'!$A$62,$AF$205^A131,IF(A131='Données projet'!$A$62,'Données projet'!$B$62,AI130+AH131-AQ130)))</f>
        <v>293.5999999999994</v>
      </c>
      <c r="AJ131" s="14">
        <f>AI131*VLOOKUP('Données projet'!$B$10,Paramètres!$A$1:$I$89,3,0)*VLOOKUP('Données projet'!$B$10,Paramètres!$A$1:$I$89,5,0)</f>
        <v>265.64927999999946</v>
      </c>
      <c r="AK131" s="14">
        <f t="shared" si="89"/>
        <v>63.925065540346907</v>
      </c>
      <c r="AL131" s="22">
        <f t="shared" si="58"/>
        <v>574.00865181610322</v>
      </c>
      <c r="AM131" s="62">
        <f t="shared" si="59"/>
        <v>859.6326151239723</v>
      </c>
      <c r="AN131" s="62">
        <f ca="1">AVERAGE(OFFSET($AM$3,0,0,'Données projet'!$E$10+1,1))-AVERAGE(OFFSET($H$3,0,0,'Données projet'!$E$10+1,1))</f>
        <v>461.10503306101145</v>
      </c>
      <c r="AO131" s="62">
        <f t="shared" si="90"/>
        <v>262.10652147273288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-2.2737367544323206E-13</v>
      </c>
      <c r="BE131" s="14">
        <f>BD131*VLOOKUP('Données projet'!$B$11,Paramètres!$A$1:$I$89,3,0)*VLOOKUP('Données projet'!$B$11,Paramètres!$A$1:$I$89,5,0)</f>
        <v>-1.8089849618263545E-13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389.67854939311752</v>
      </c>
      <c r="BJ131" s="62">
        <f t="shared" si="92"/>
        <v>420.05189970516096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-1.0516032489249483E-12</v>
      </c>
      <c r="BZ131" s="14">
        <f>BY131*VLOOKUP('Données projet'!$B$12,Paramètres!$A$1:$I$89,3,0)*VLOOKUP('Données projet'!$B$12,Paramètres!$A$1:$I$89,5,0)</f>
        <v>-6.0151705838507046E-13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312.16891625633968</v>
      </c>
      <c r="CE131" s="62">
        <f t="shared" si="94"/>
        <v>215.34305815516177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0.79357147744027157</v>
      </c>
      <c r="CM131" s="23">
        <f>EXP(-LN(2)/2)*CM130+(1-EXP(-LN(2)/2))/(LN(2)/2)*CG131*CJ131*VLOOKUP('Données projet'!$B$12,Paramètres!$A$1:$I$89,3,0)*0.475*44/12</f>
        <v>1.4473028191791843E-14</v>
      </c>
      <c r="CN131" s="24">
        <f t="shared" si="66"/>
        <v>0.793571477440286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3.979039320256561E-13</v>
      </c>
      <c r="CU131" s="18">
        <f>CT131*VLOOKUP('Données projet'!$B$13,Paramètres!$A$1:$I$89,3,0)*VLOOKUP('Données projet'!$B$13,Paramètres!$A$1:$I$89,5,0)</f>
        <v>2.669139576028101E-13</v>
      </c>
      <c r="CV131" s="14">
        <f t="shared" si="95"/>
        <v>3.5767923834585247E-12</v>
      </c>
      <c r="CW131" s="22">
        <f t="shared" si="67"/>
        <v>6.6944552106818241E-12</v>
      </c>
      <c r="CX131" s="62">
        <f t="shared" si="68"/>
        <v>285.62396330787584</v>
      </c>
      <c r="CY131" s="62">
        <f ca="1">AVERAGE(OFFSET($CX$3,0,0,'Données projet'!$E$13+1,1))-AVERAGE(OFFSET($H$3,0,0,'Données projet'!$E$13+1,1))</f>
        <v>369.04754428478793</v>
      </c>
      <c r="CZ131" s="62">
        <f t="shared" si="96"/>
        <v>277.00523259351712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1.1368683772161603E-13</v>
      </c>
      <c r="DP131" s="18">
        <f>DO131*VLOOKUP('Données projet'!$B$14,Paramètres!$A$1:$I$89,3,0)*VLOOKUP('Données projet'!$B$14,Paramètres!$A$1:$I$89,5,0)</f>
        <v>8.8675733422860506E-14</v>
      </c>
      <c r="DQ131" s="14">
        <f t="shared" si="97"/>
        <v>1.3509285393066301E-12</v>
      </c>
      <c r="DR131" s="22">
        <f t="shared" si="70"/>
        <v>2.5073107750038623E-12</v>
      </c>
      <c r="DS131" s="62">
        <f t="shared" si="71"/>
        <v>285.62396330787163</v>
      </c>
      <c r="DT131" s="62">
        <f ca="1">AVERAGE(OFFSET($DS$3,0,0,'Données projet'!$E$14+1,1))-AVERAGE(OFFSET($H$3,0,0,'Données projet'!$E$14+1,1))</f>
        <v>308.39181291575227</v>
      </c>
      <c r="DU131" s="62">
        <f t="shared" si="98"/>
        <v>298.58225298824334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3.2</v>
      </c>
      <c r="EJ131" s="13">
        <f>IF('Données projet'!$A$192&gt;35,EJ130+EI131-ER130,IF(A131&lt;'Données projet'!$A$192,$EG$205^A131,IF(A131='Données projet'!$A$192,'Données projet'!$B$192,EJ130+EI131-ER130)))</f>
        <v>293.5999999999994</v>
      </c>
      <c r="EK131" s="18">
        <f>EJ131*VLOOKUP('Données projet'!$B$15,Paramètres!$A$1:$I$89,3,0)*VLOOKUP('Données projet'!$B$15,Paramètres!$A$1:$I$89,5,0)</f>
        <v>283.96991999999943</v>
      </c>
      <c r="EL131" s="14">
        <f t="shared" si="99"/>
        <v>67.805278435922148</v>
      </c>
      <c r="EM131" s="22">
        <f t="shared" si="73"/>
        <v>612.67513727589676</v>
      </c>
      <c r="EN131" s="62">
        <f t="shared" si="74"/>
        <v>898.29910058376595</v>
      </c>
      <c r="EO131" s="62">
        <f ca="1">AVERAGE(OFFSET($EN$3,0,0,'Données projet'!$E$15+1,1))-AVERAGE(OFFSET($H$3,0,0,'Données projet'!$E$15+1,1))</f>
        <v>487.76433095707876</v>
      </c>
      <c r="EP131" s="62">
        <f t="shared" si="100"/>
        <v>276.24209151398361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3.2</v>
      </c>
      <c r="FE131" s="13">
        <f>IF('Données projet'!$A$218&gt;35,FE130+FD131-FM130,IF(A131&lt;'Données projet'!$A$218,$FB$205^A131,IF(A131='Données projet'!$A$218,'Données projet'!$B$218,FE130+FD131-FM130)))</f>
        <v>293.5999999999994</v>
      </c>
      <c r="FF131" s="18">
        <f>FE131*VLOOKUP('Données projet'!$B$16,Paramètres!$A$1:$I$89,3,0)*VLOOKUP('Données projet'!$B$16,Paramètres!$A$1:$I$89,5,0)</f>
        <v>316.03103999999934</v>
      </c>
      <c r="FG131" s="14">
        <f t="shared" si="101"/>
        <v>74.526935456174002</v>
      </c>
      <c r="FH131" s="22">
        <f t="shared" si="76"/>
        <v>680.22180725283522</v>
      </c>
      <c r="FI131" s="62">
        <f t="shared" si="77"/>
        <v>965.8457705607043</v>
      </c>
      <c r="FJ131" s="62">
        <f ca="1">AVERAGE(OFFSET($FI$3,0,0,'Données projet'!$E$16+1,1))-AVERAGE(OFFSET($H$3,0,0,'Données projet'!$E$16+1,1))</f>
        <v>534.33392288300456</v>
      </c>
      <c r="FK131" s="62">
        <f t="shared" si="102"/>
        <v>300.93109615735477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-5.6843418860808015E-14</v>
      </c>
      <c r="GA131" s="18">
        <f>FZ131*VLOOKUP('Données projet'!$B$17,Paramètres!$A$1:$I$89,3,0)*VLOOKUP('Données projet'!$B$17,Paramètres!$A$1:$I$89,5,0)</f>
        <v>-3.813056537183002E-14</v>
      </c>
      <c r="GB131" s="14" t="e">
        <f t="shared" si="103"/>
        <v>#NUM!</v>
      </c>
      <c r="GC131" s="22" t="e">
        <f t="shared" si="79"/>
        <v>#NUM!</v>
      </c>
      <c r="GD131" s="62" t="e">
        <f t="shared" si="80"/>
        <v>#NUM!</v>
      </c>
      <c r="GE131" s="62">
        <f ca="1">AVERAGE(OFFSET($GD$3,0,0,'Données projet'!$E$17+1,1))-AVERAGE(OFFSET($H$3,0,0,'Données projet'!$E$17+1,1))</f>
        <v>316.17772895535211</v>
      </c>
      <c r="GF131" s="62">
        <f t="shared" si="104"/>
        <v>251.94445589652992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67.89744453850976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3.95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14.483333333333334</v>
      </c>
      <c r="H132" s="70">
        <f t="shared" ref="H132:H195" si="110">(B132+E132+F132)*44/12+(C132+D132)*0.475*44/12</f>
        <v>198.73333333333335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4.2</v>
      </c>
      <c r="N132" s="14">
        <f>IF('Données projet'!$A$36&gt;35,N131+M132-V131,IF(A132&lt;'Données projet'!$A$36,$K$205^A132,IF(A132='Données projet'!$A$36,'Données projet'!$B$36,N131+M132-V131)))</f>
        <v>342.79999999999967</v>
      </c>
      <c r="O132" s="14">
        <f>N132*VLOOKUP('Données projet'!$B$9,Paramètres!$A$1:$I$89,3,0)*VLOOKUP('Données projet'!$B$9,Paramètres!$A$1:$I$89,5,0)</f>
        <v>288.77471999999972</v>
      </c>
      <c r="P132" s="14">
        <f t="shared" si="87"/>
        <v>68.818016133216304</v>
      </c>
      <c r="Q132" s="22">
        <f t="shared" si="108"/>
        <v>622.80734876535121</v>
      </c>
      <c r="R132" s="62">
        <f t="shared" si="109"/>
        <v>908.56505240759282</v>
      </c>
      <c r="S132" s="62">
        <f ca="1">AVERAGE(OFFSET($R$3,0,0,'Données projet'!$E$9+1,1))-AVERAGE(OFFSET($H$3,0,0,'Données projet'!$E$9+1,1))</f>
        <v>508.93703669150443</v>
      </c>
      <c r="T132" s="62">
        <f t="shared" si="88"/>
        <v>277.04920840696707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3.2</v>
      </c>
      <c r="AI132" s="14">
        <f>IF('Données projet'!$A$62&gt;35,AI131+AH132-AQ131,IF(A132&lt;'Données projet'!$A$62,$AF$205^A132,IF(A132='Données projet'!$A$62,'Données projet'!$B$62,AI131+AH132-AQ131)))</f>
        <v>296.79999999999939</v>
      </c>
      <c r="AJ132" s="14">
        <f>AI132*VLOOKUP('Données projet'!$B$10,Paramètres!$A$1:$I$89,3,0)*VLOOKUP('Données projet'!$B$10,Paramètres!$A$1:$I$89,5,0)</f>
        <v>268.54463999999945</v>
      </c>
      <c r="AK132" s="14">
        <f t="shared" si="89"/>
        <v>64.540308076050593</v>
      </c>
      <c r="AL132" s="22">
        <f t="shared" ref="AL132:AL153" si="112">(AJ132+AK132)*0.475*44/12</f>
        <v>580.12295123245383</v>
      </c>
      <c r="AM132" s="62">
        <f t="shared" ref="AM132:AM195" si="113">AL132+(AD132+AE132)*44/12</f>
        <v>865.88065487469544</v>
      </c>
      <c r="AN132" s="62">
        <f ca="1">AVERAGE(OFFSET($AM$3,0,0,'Données projet'!$E$10+1,1))-AVERAGE(OFFSET($H$3,0,0,'Données projet'!$E$10+1,1))</f>
        <v>461.10503306101145</v>
      </c>
      <c r="AO132" s="62">
        <f t="shared" si="90"/>
        <v>262.10652147273288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-2.2737367544323206E-13</v>
      </c>
      <c r="BE132" s="14">
        <f>BD132*VLOOKUP('Données projet'!$B$11,Paramètres!$A$1:$I$89,3,0)*VLOOKUP('Données projet'!$B$11,Paramètres!$A$1:$I$89,5,0)</f>
        <v>-1.8089849618263545E-13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389.67854939311752</v>
      </c>
      <c r="BJ132" s="62">
        <f t="shared" si="92"/>
        <v>420.05189970516096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-1.0516032489249483E-12</v>
      </c>
      <c r="BZ132" s="14">
        <f>BY132*VLOOKUP('Données projet'!$B$12,Paramètres!$A$1:$I$89,3,0)*VLOOKUP('Données projet'!$B$12,Paramètres!$A$1:$I$89,5,0)</f>
        <v>-6.0151705838507046E-13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312.16891625633968</v>
      </c>
      <c r="CE132" s="62">
        <f t="shared" si="94"/>
        <v>215.34305815516177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0.77187122365755712</v>
      </c>
      <c r="CM132" s="23">
        <f>EXP(-LN(2)/2)*CM131+(1-EXP(-LN(2)/2))/(LN(2)/2)*CG132*CJ132*VLOOKUP('Données projet'!$B$12,Paramètres!$A$1:$I$89,3,0)*0.475*44/12</f>
        <v>1.0233976378720089E-14</v>
      </c>
      <c r="CN132" s="24">
        <f t="shared" ref="CN132:CN153" si="120">SUM(CK132:CM132)</f>
        <v>0.77187122365756733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3.979039320256561E-13</v>
      </c>
      <c r="CU132" s="18">
        <f>CT132*VLOOKUP('Données projet'!$B$13,Paramètres!$A$1:$I$89,3,0)*VLOOKUP('Données projet'!$B$13,Paramètres!$A$1:$I$89,5,0)</f>
        <v>2.669139576028101E-13</v>
      </c>
      <c r="CV132" s="14">
        <f t="shared" si="95"/>
        <v>3.5767923834585247E-12</v>
      </c>
      <c r="CW132" s="22">
        <f t="shared" ref="CW132:CW153" si="121">(CU132+CV132)*0.475*44/12</f>
        <v>6.6944552106818241E-12</v>
      </c>
      <c r="CX132" s="62">
        <f t="shared" ref="CX132:CX195" si="122">CW132+(CO132+CP132)*44/12</f>
        <v>285.75770364224832</v>
      </c>
      <c r="CY132" s="62">
        <f ca="1">AVERAGE(OFFSET($CX$3,0,0,'Données projet'!$E$13+1,1))-AVERAGE(OFFSET($H$3,0,0,'Données projet'!$E$13+1,1))</f>
        <v>369.04754428478793</v>
      </c>
      <c r="CZ132" s="62">
        <f t="shared" si="96"/>
        <v>277.00523259351712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1.1368683772161603E-13</v>
      </c>
      <c r="DP132" s="18">
        <f>DO132*VLOOKUP('Données projet'!$B$14,Paramètres!$A$1:$I$89,3,0)*VLOOKUP('Données projet'!$B$14,Paramètres!$A$1:$I$89,5,0)</f>
        <v>8.8675733422860506E-14</v>
      </c>
      <c r="DQ132" s="14">
        <f t="shared" si="97"/>
        <v>1.3509285393066301E-12</v>
      </c>
      <c r="DR132" s="22">
        <f t="shared" ref="DR132:DR153" si="124">(DP132+DQ132)*0.475*44/12</f>
        <v>2.5073107750038623E-12</v>
      </c>
      <c r="DS132" s="62">
        <f t="shared" ref="DS132:DS195" si="125">DR132+(DJ132+DK132)*44/12</f>
        <v>285.75770364224411</v>
      </c>
      <c r="DT132" s="62">
        <f ca="1">AVERAGE(OFFSET($DS$3,0,0,'Données projet'!$E$14+1,1))-AVERAGE(OFFSET($H$3,0,0,'Données projet'!$E$14+1,1))</f>
        <v>308.39181291575227</v>
      </c>
      <c r="DU132" s="62">
        <f t="shared" si="98"/>
        <v>298.58225298824334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3.2</v>
      </c>
      <c r="EJ132" s="13">
        <f>IF('Données projet'!$A$192&gt;35,EJ131+EI132-ER131,IF(A132&lt;'Données projet'!$A$192,$EG$205^A132,IF(A132='Données projet'!$A$192,'Données projet'!$B$192,EJ131+EI132-ER131)))</f>
        <v>296.79999999999939</v>
      </c>
      <c r="EK132" s="18">
        <f>EJ132*VLOOKUP('Données projet'!$B$15,Paramètres!$A$1:$I$89,3,0)*VLOOKUP('Données projet'!$B$15,Paramètres!$A$1:$I$89,5,0)</f>
        <v>287.06495999999942</v>
      </c>
      <c r="EL132" s="14">
        <f t="shared" si="99"/>
        <v>68.457865822206202</v>
      </c>
      <c r="EM132" s="22">
        <f t="shared" ref="EM132:EM153" si="127">(EK132+EL132)*0.475*44/12</f>
        <v>619.20225497367471</v>
      </c>
      <c r="EN132" s="62">
        <f t="shared" ref="EN132:EN195" si="128">EM132+(EE132+EF132)*44/12</f>
        <v>904.95995861591632</v>
      </c>
      <c r="EO132" s="62">
        <f ca="1">AVERAGE(OFFSET($EN$3,0,0,'Données projet'!$E$15+1,1))-AVERAGE(OFFSET($H$3,0,0,'Données projet'!$E$15+1,1))</f>
        <v>487.76433095707876</v>
      </c>
      <c r="EP132" s="62">
        <f t="shared" si="100"/>
        <v>276.24209151398361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3.2</v>
      </c>
      <c r="FE132" s="13">
        <f>IF('Données projet'!$A$218&gt;35,FE131+FD132-FM131,IF(A132&lt;'Données projet'!$A$218,$FB$205^A132,IF(A132='Données projet'!$A$218,'Données projet'!$B$218,FE131+FD132-FM131)))</f>
        <v>296.79999999999939</v>
      </c>
      <c r="FF132" s="18">
        <f>FE132*VLOOKUP('Données projet'!$B$16,Paramètres!$A$1:$I$89,3,0)*VLOOKUP('Données projet'!$B$16,Paramètres!$A$1:$I$89,5,0)</f>
        <v>319.47551999999928</v>
      </c>
      <c r="FG132" s="14">
        <f t="shared" si="101"/>
        <v>75.244214982768113</v>
      </c>
      <c r="FH132" s="22">
        <f t="shared" ref="FH132:FH153" si="130">(FF132+FG132)*0.475*44/12</f>
        <v>687.47020509498645</v>
      </c>
      <c r="FI132" s="62">
        <f t="shared" ref="FI132:FI195" si="131">FH132+(EZ132+FA132)*44/12</f>
        <v>973.22790873722806</v>
      </c>
      <c r="FJ132" s="62">
        <f ca="1">AVERAGE(OFFSET($FI$3,0,0,'Données projet'!$E$16+1,1))-AVERAGE(OFFSET($H$3,0,0,'Données projet'!$E$16+1,1))</f>
        <v>534.33392288300456</v>
      </c>
      <c r="FK132" s="62">
        <f t="shared" si="102"/>
        <v>300.93109615735477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-5.6843418860808015E-14</v>
      </c>
      <c r="GA132" s="18">
        <f>FZ132*VLOOKUP('Données projet'!$B$17,Paramètres!$A$1:$I$89,3,0)*VLOOKUP('Données projet'!$B$17,Paramètres!$A$1:$I$89,5,0)</f>
        <v>-3.813056537183002E-14</v>
      </c>
      <c r="GB132" s="14" t="e">
        <f t="shared" si="103"/>
        <v>#NUM!</v>
      </c>
      <c r="GC132" s="22" t="e">
        <f t="shared" ref="GC132:GC153" si="133">(GA132+GB132)*0.475*44/12</f>
        <v>#NUM!</v>
      </c>
      <c r="GD132" s="62" t="e">
        <f t="shared" ref="GD132:GD195" si="134">GC132+(FU132+FV132)*44/12</f>
        <v>#NUM!</v>
      </c>
      <c r="GE132" s="62">
        <f ca="1">AVERAGE(OFFSET($GD$3,0,0,'Données projet'!$E$17+1,1))-AVERAGE(OFFSET($H$3,0,0,'Données projet'!$E$17+1,1))</f>
        <v>316.17772895535211</v>
      </c>
      <c r="GF132" s="62">
        <f t="shared" si="104"/>
        <v>251.94445589652992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67.933919175156802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3.95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14.483333333333334</v>
      </c>
      <c r="H133" s="70">
        <f t="shared" si="110"/>
        <v>198.73333333333335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347</v>
      </c>
      <c r="L133" s="13">
        <f>VLOOKUP(A133,'Données projet'!$A$35:$I$55,9,0)</f>
        <v>4.2</v>
      </c>
      <c r="M133" s="13">
        <f t="array" ref="M133">INDEX(L:L,MIN(IF(ISNUMBER(L133:L329),ROW(L133:L329),"")))</f>
        <v>4.2</v>
      </c>
      <c r="N133" s="14">
        <f>IF('Données projet'!$A$36&gt;35,N132+M133-V132,IF(A133&lt;'Données projet'!$A$36,$K$205^A133,IF(A133='Données projet'!$A$36,'Données projet'!$B$36,N132+M133-V132)))</f>
        <v>346.99999999999966</v>
      </c>
      <c r="O133" s="14">
        <f>N133*VLOOKUP('Données projet'!$B$9,Paramètres!$A$1:$I$89,3,0)*VLOOKUP('Données projet'!$B$9,Paramètres!$A$1:$I$89,5,0)</f>
        <v>292.31279999999975</v>
      </c>
      <c r="P133" s="14">
        <f t="shared" ref="P133:P196" si="141">EXP(-1.0587+0.8836*LN(O133)+0.284)</f>
        <v>69.562504549179607</v>
      </c>
      <c r="Q133" s="22">
        <f t="shared" si="108"/>
        <v>630.26615542315403</v>
      </c>
      <c r="R133" s="62">
        <f t="shared" si="109"/>
        <v>916.15527930396547</v>
      </c>
      <c r="S133" s="62">
        <f ca="1">AVERAGE(OFFSET($R$3,0,0,'Données projet'!$E$9+1,1))-AVERAGE(OFFSET($H$3,0,0,'Données projet'!$E$9+1,1))</f>
        <v>508.93703669150443</v>
      </c>
      <c r="T133" s="62">
        <f t="shared" ref="T133:T196" si="142">$T$3</f>
        <v>277.04920840696707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44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300</v>
      </c>
      <c r="AG133" s="13">
        <f>VLOOKUP(A133,'Données projet'!$A$61:$I$81,9,0)</f>
        <v>3.2</v>
      </c>
      <c r="AH133" s="13">
        <f t="array" ref="AH133">INDEX(AG:AG,MIN(IF(ISNUMBER(AG133:AG329),ROW(AG133:AG329),"")))</f>
        <v>3.2</v>
      </c>
      <c r="AI133" s="14">
        <f>IF('Données projet'!$A$62&gt;35,AI132+AH133-AQ132,IF(A133&lt;'Données projet'!$A$62,$AF$205^A133,IF(A133='Données projet'!$A$62,'Données projet'!$B$62,AI132+AH133-AQ132)))</f>
        <v>299.99999999999937</v>
      </c>
      <c r="AJ133" s="14">
        <f>AI133*VLOOKUP('Données projet'!$B$10,Paramètres!$A$1:$I$89,3,0)*VLOOKUP('Données projet'!$B$10,Paramètres!$A$1:$I$89,5,0)</f>
        <v>271.43999999999943</v>
      </c>
      <c r="AK133" s="14">
        <f t="shared" ref="AK133:AK153" si="143">EXP(-1.0587+0.8836*LN(AJ133)+0.284)</f>
        <v>65.154778959151116</v>
      </c>
      <c r="AL133" s="22">
        <f t="shared" si="112"/>
        <v>586.23590668718714</v>
      </c>
      <c r="AM133" s="62">
        <f t="shared" si="113"/>
        <v>872.12503056799846</v>
      </c>
      <c r="AN133" s="62">
        <f ca="1">AVERAGE(OFFSET($AM$3,0,0,'Données projet'!$E$10+1,1))-AVERAGE(OFFSET($H$3,0,0,'Données projet'!$E$10+1,1))</f>
        <v>461.10503306101145</v>
      </c>
      <c r="AO133" s="62">
        <f t="shared" ref="AO133:AO196" si="144">$AO$3</f>
        <v>262.10652147273288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31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-2.2737367544323206E-13</v>
      </c>
      <c r="BE133" s="14">
        <f>BD133*VLOOKUP('Données projet'!$B$11,Paramètres!$A$1:$I$89,3,0)*VLOOKUP('Données projet'!$B$11,Paramètres!$A$1:$I$89,5,0)</f>
        <v>-1.8089849618263545E-13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389.67854939311752</v>
      </c>
      <c r="BJ133" s="62">
        <f t="shared" ref="BJ133:BJ196" si="146">$BJ$3</f>
        <v>420.05189970516096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-1.0516032489249483E-12</v>
      </c>
      <c r="BZ133" s="14">
        <f>BY133*VLOOKUP('Données projet'!$B$12,Paramètres!$A$1:$I$89,3,0)*VLOOKUP('Données projet'!$B$12,Paramètres!$A$1:$I$89,5,0)</f>
        <v>-6.0151705838507046E-13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312.16891625633968</v>
      </c>
      <c r="CE133" s="62">
        <f t="shared" ref="CE133:CE196" si="148">$CE$3</f>
        <v>215.34305815516177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0.75076436445569772</v>
      </c>
      <c r="CM133" s="23">
        <f>EXP(-LN(2)/2)*CM132+(1-EXP(-LN(2)/2))/(LN(2)/2)*CG133*CJ133*VLOOKUP('Données projet'!$B$12,Paramètres!$A$1:$I$89,3,0)*0.475*44/12</f>
        <v>7.2365140958959217E-15</v>
      </c>
      <c r="CN133" s="24">
        <f t="shared" si="120"/>
        <v>0.75076436445570494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3.979039320256561E-13</v>
      </c>
      <c r="CU133" s="18">
        <f>CT133*VLOOKUP('Données projet'!$B$13,Paramètres!$A$1:$I$89,3,0)*VLOOKUP('Données projet'!$B$13,Paramètres!$A$1:$I$89,5,0)</f>
        <v>2.669139576028101E-13</v>
      </c>
      <c r="CV133" s="14">
        <f t="shared" ref="CV133:CV153" si="149">EXP(-1.0587+0.8836*LN(CU133)+0.284)</f>
        <v>3.5767923834585247E-12</v>
      </c>
      <c r="CW133" s="22">
        <f t="shared" si="121"/>
        <v>6.6944552106818241E-12</v>
      </c>
      <c r="CX133" s="62">
        <f t="shared" si="122"/>
        <v>285.88912388081809</v>
      </c>
      <c r="CY133" s="62">
        <f ca="1">AVERAGE(OFFSET($CX$3,0,0,'Données projet'!$E$13+1,1))-AVERAGE(OFFSET($H$3,0,0,'Données projet'!$E$13+1,1))</f>
        <v>369.04754428478793</v>
      </c>
      <c r="CZ133" s="62">
        <f t="shared" ref="CZ133:CZ196" si="150">$CZ$3</f>
        <v>277.00523259351712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1.1368683772161603E-13</v>
      </c>
      <c r="DP133" s="18">
        <f>DO133*VLOOKUP('Données projet'!$B$14,Paramètres!$A$1:$I$89,3,0)*VLOOKUP('Données projet'!$B$14,Paramètres!$A$1:$I$89,5,0)</f>
        <v>8.8675733422860506E-14</v>
      </c>
      <c r="DQ133" s="14">
        <f t="shared" ref="DQ133:DQ153" si="151">EXP(-1.0587+0.8836*LN(DP133)+0.284)</f>
        <v>1.3509285393066301E-12</v>
      </c>
      <c r="DR133" s="22">
        <f t="shared" si="124"/>
        <v>2.5073107750038623E-12</v>
      </c>
      <c r="DS133" s="62">
        <f t="shared" si="125"/>
        <v>285.88912388081388</v>
      </c>
      <c r="DT133" s="62">
        <f ca="1">AVERAGE(OFFSET($DS$3,0,0,'Données projet'!$E$14+1,1))-AVERAGE(OFFSET($H$3,0,0,'Données projet'!$E$14+1,1))</f>
        <v>308.39181291575227</v>
      </c>
      <c r="DU133" s="62">
        <f t="shared" ref="DU133:DU196" si="152">$DU$3</f>
        <v>298.58225298824334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>
        <f>VLOOKUP(A133,'Données projet'!$A$191:$I$211,2,0)</f>
        <v>300</v>
      </c>
      <c r="EH133" s="13">
        <f>VLOOKUP(A133,'Données projet'!$A$191:$I$211,9,0)</f>
        <v>3.2</v>
      </c>
      <c r="EI133" s="13">
        <f t="array" ref="EI133">INDEX(EH:EH,MIN(IF(ISNUMBER(EH133:EH329),ROW(EH133:EH329),"")))</f>
        <v>3.2</v>
      </c>
      <c r="EJ133" s="13">
        <f>IF('Données projet'!$A$192&gt;35,EJ132+EI133-ER132,IF(A133&lt;'Données projet'!$A$192,$EG$205^A133,IF(A133='Données projet'!$A$192,'Données projet'!$B$192,EJ132+EI133-ER132)))</f>
        <v>299.99999999999937</v>
      </c>
      <c r="EK133" s="18">
        <f>EJ133*VLOOKUP('Données projet'!$B$15,Paramètres!$A$1:$I$89,3,0)*VLOOKUP('Données projet'!$B$15,Paramètres!$A$1:$I$89,5,0)</f>
        <v>290.1599999999994</v>
      </c>
      <c r="EL133" s="14">
        <f t="shared" ref="EL133:EL153" si="153">EXP(-1.0587+0.8836*LN(EK133)+0.284)</f>
        <v>69.10963471703981</v>
      </c>
      <c r="EM133" s="22">
        <f t="shared" si="127"/>
        <v>625.72794713217661</v>
      </c>
      <c r="EN133" s="62">
        <f t="shared" si="128"/>
        <v>911.61707101298794</v>
      </c>
      <c r="EO133" s="62">
        <f ca="1">AVERAGE(OFFSET($EN$3,0,0,'Données projet'!$E$15+1,1))-AVERAGE(OFFSET($H$3,0,0,'Données projet'!$E$15+1,1))</f>
        <v>487.76433095707876</v>
      </c>
      <c r="EP133" s="62">
        <f t="shared" ref="EP133:EP196" si="154">$EP$3</f>
        <v>276.24209151398361</v>
      </c>
      <c r="EQ133" s="16">
        <f>IF(ISNA(VLOOKUP(A133,'Données projet'!$A$191:$I$211,3,0)),0,VLOOKUP(A133,'Données projet'!$A$191:$I$211,3,0))</f>
        <v>11</v>
      </c>
      <c r="ER133" s="16">
        <f>IF(ISNA(VLOOKUP(A133,'Données projet'!$A$191:$I$211,4,0)),0,VLOOKUP(A133,'Données projet'!$A$191:$I$211,4,0))</f>
        <v>31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>
        <f>VLOOKUP(A133,'Données projet'!$A$217:$I$237,2,0)</f>
        <v>300</v>
      </c>
      <c r="FC133" s="13">
        <f>VLOOKUP(A133,'Données projet'!$A$217:$I$237,9,0)</f>
        <v>3.2</v>
      </c>
      <c r="FD133" s="13">
        <f t="array" ref="FD133">INDEX(FC:FC,MIN(IF(ISNUMBER(FC133:FC329),ROW(FC133:FC329),"")))</f>
        <v>3.2</v>
      </c>
      <c r="FE133" s="13">
        <f>IF('Données projet'!$A$218&gt;35,FE132+FD133-FM132,IF(A133&lt;'Données projet'!$A$218,$FB$205^A133,IF(A133='Données projet'!$A$218,'Données projet'!$B$218,FE132+FD133-FM132)))</f>
        <v>299.99999999999937</v>
      </c>
      <c r="FF133" s="18">
        <f>FE133*VLOOKUP('Données projet'!$B$16,Paramètres!$A$1:$I$89,3,0)*VLOOKUP('Données projet'!$B$16,Paramètres!$A$1:$I$89,5,0)</f>
        <v>322.91999999999928</v>
      </c>
      <c r="FG133" s="14">
        <f t="shared" ref="FG133:FG153" si="155">EXP(-1.0587+0.8836*LN(FF133)+0.284)</f>
        <v>75.960594879408617</v>
      </c>
      <c r="FH133" s="22">
        <f t="shared" si="130"/>
        <v>694.71703608163534</v>
      </c>
      <c r="FI133" s="62">
        <f t="shared" si="131"/>
        <v>980.60615996244678</v>
      </c>
      <c r="FJ133" s="62">
        <f ca="1">AVERAGE(OFFSET($FI$3,0,0,'Données projet'!$E$16+1,1))-AVERAGE(OFFSET($H$3,0,0,'Données projet'!$E$16+1,1))</f>
        <v>534.33392288300456</v>
      </c>
      <c r="FK133" s="62">
        <f t="shared" ref="FK133:FK196" si="156">$FK$3</f>
        <v>300.93109615735477</v>
      </c>
      <c r="FL133" s="16">
        <f>IF(ISNA(VLOOKUP(A133,'Données projet'!$A$217:$I$237,3,0)),0,VLOOKUP(A133,'Données projet'!$A$217:$I$237,3,0))</f>
        <v>11</v>
      </c>
      <c r="FM133" s="16">
        <f>IF(ISNA(VLOOKUP(A133,'Données projet'!$A$217:$I$237,4,0)),0,VLOOKUP(A133,'Données projet'!$A$217:$I$237,4,0))</f>
        <v>31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-5.6843418860808015E-14</v>
      </c>
      <c r="GA133" s="18">
        <f>FZ133*VLOOKUP('Données projet'!$B$17,Paramètres!$A$1:$I$89,3,0)*VLOOKUP('Données projet'!$B$17,Paramètres!$A$1:$I$89,5,0)</f>
        <v>-3.813056537183002E-14</v>
      </c>
      <c r="GB133" s="14" t="e">
        <f t="shared" ref="GB133:GB153" si="157">EXP(-1.0587+0.8836*LN(GA133)+0.284)</f>
        <v>#NUM!</v>
      </c>
      <c r="GC133" s="22" t="e">
        <f t="shared" si="133"/>
        <v>#NUM!</v>
      </c>
      <c r="GD133" s="62" t="e">
        <f t="shared" si="134"/>
        <v>#NUM!</v>
      </c>
      <c r="GE133" s="62">
        <f ca="1">AVERAGE(OFFSET($GD$3,0,0,'Données projet'!$E$17+1,1))-AVERAGE(OFFSET($H$3,0,0,'Données projet'!$E$17+1,1))</f>
        <v>316.17772895535211</v>
      </c>
      <c r="GF133" s="62">
        <f t="shared" ref="GF133:GF196" si="158">$GF$3</f>
        <v>251.94445589652992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67.969761058403094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3.95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14.483333333333334</v>
      </c>
      <c r="H134" s="70">
        <f t="shared" si="110"/>
        <v>198.73333333333335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3.8</v>
      </c>
      <c r="N134" s="14">
        <f>IF('Données projet'!$A$36&gt;35,N133+M134-V133,IF(A134&lt;'Données projet'!$A$36,$K$205^A134,IF(A134='Données projet'!$A$36,'Données projet'!$B$36,N133+M134-V133)))</f>
        <v>306.79999999999967</v>
      </c>
      <c r="O134" s="14">
        <f>N134*VLOOKUP('Données projet'!$B$9,Paramètres!$A$1:$I$89,3,0)*VLOOKUP('Données projet'!$B$9,Paramètres!$A$1:$I$89,5,0)</f>
        <v>258.44831999999974</v>
      </c>
      <c r="P134" s="14">
        <f t="shared" si="141"/>
        <v>62.391507345206676</v>
      </c>
      <c r="Q134" s="22">
        <f t="shared" si="108"/>
        <v>558.79603262623448</v>
      </c>
      <c r="R134" s="62">
        <f t="shared" si="109"/>
        <v>844.81429689828803</v>
      </c>
      <c r="S134" s="62">
        <f ca="1">AVERAGE(OFFSET($R$3,0,0,'Données projet'!$E$9+1,1))-AVERAGE(OFFSET($H$3,0,0,'Données projet'!$E$9+1,1))</f>
        <v>508.93703669150443</v>
      </c>
      <c r="T134" s="62">
        <f t="shared" si="142"/>
        <v>277.04920840696707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2.7</v>
      </c>
      <c r="AI134" s="14">
        <f>IF('Données projet'!$A$62&gt;35,AI133+AH134-AQ133,IF(A134&lt;'Données projet'!$A$62,$AF$205^A134,IF(A134='Données projet'!$A$62,'Données projet'!$B$62,AI133+AH134-AQ133)))</f>
        <v>271.69999999999936</v>
      </c>
      <c r="AJ134" s="14">
        <f>AI134*VLOOKUP('Données projet'!$B$10,Paramètres!$A$1:$I$89,3,0)*VLOOKUP('Données projet'!$B$10,Paramètres!$A$1:$I$89,5,0)</f>
        <v>245.8341599999994</v>
      </c>
      <c r="AK134" s="14">
        <f t="shared" si="143"/>
        <v>59.693018383856675</v>
      </c>
      <c r="AL134" s="22">
        <f t="shared" si="112"/>
        <v>532.12650235188266</v>
      </c>
      <c r="AM134" s="62">
        <f t="shared" si="113"/>
        <v>818.14476662393622</v>
      </c>
      <c r="AN134" s="62">
        <f ca="1">AVERAGE(OFFSET($AM$3,0,0,'Données projet'!$E$10+1,1))-AVERAGE(OFFSET($H$3,0,0,'Données projet'!$E$10+1,1))</f>
        <v>461.10503306101145</v>
      </c>
      <c r="AO134" s="62">
        <f t="shared" si="144"/>
        <v>262.10652147273288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-2.2737367544323206E-13</v>
      </c>
      <c r="BE134" s="14">
        <f>BD134*VLOOKUP('Données projet'!$B$11,Paramètres!$A$1:$I$89,3,0)*VLOOKUP('Données projet'!$B$11,Paramètres!$A$1:$I$89,5,0)</f>
        <v>-1.8089849618263545E-13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389.67854939311752</v>
      </c>
      <c r="BJ134" s="62">
        <f t="shared" si="146"/>
        <v>420.05189970516096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-1.0516032489249483E-12</v>
      </c>
      <c r="BZ134" s="14">
        <f>BY134*VLOOKUP('Données projet'!$B$12,Paramètres!$A$1:$I$89,3,0)*VLOOKUP('Données projet'!$B$12,Paramètres!$A$1:$I$89,5,0)</f>
        <v>-6.0151705838507046E-13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312.16891625633968</v>
      </c>
      <c r="CE134" s="62">
        <f t="shared" si="148"/>
        <v>215.34305815516177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0.73023467342867465</v>
      </c>
      <c r="CM134" s="23">
        <f>EXP(-LN(2)/2)*CM133+(1-EXP(-LN(2)/2))/(LN(2)/2)*CG134*CJ134*VLOOKUP('Données projet'!$B$12,Paramètres!$A$1:$I$89,3,0)*0.475*44/12</f>
        <v>5.1169881893600444E-15</v>
      </c>
      <c r="CN134" s="24">
        <f t="shared" si="120"/>
        <v>0.73023467342867976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3.979039320256561E-13</v>
      </c>
      <c r="CU134" s="18">
        <f>CT134*VLOOKUP('Données projet'!$B$13,Paramètres!$A$1:$I$89,3,0)*VLOOKUP('Données projet'!$B$13,Paramètres!$A$1:$I$89,5,0)</f>
        <v>2.669139576028101E-13</v>
      </c>
      <c r="CV134" s="14">
        <f t="shared" si="149"/>
        <v>3.5767923834585247E-12</v>
      </c>
      <c r="CW134" s="22">
        <f t="shared" si="121"/>
        <v>6.6944552106818241E-12</v>
      </c>
      <c r="CX134" s="62">
        <f t="shared" si="122"/>
        <v>286.01826427206026</v>
      </c>
      <c r="CY134" s="62">
        <f ca="1">AVERAGE(OFFSET($CX$3,0,0,'Données projet'!$E$13+1,1))-AVERAGE(OFFSET($H$3,0,0,'Données projet'!$E$13+1,1))</f>
        <v>369.04754428478793</v>
      </c>
      <c r="CZ134" s="62">
        <f t="shared" si="150"/>
        <v>277.00523259351712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1.1368683772161603E-13</v>
      </c>
      <c r="DP134" s="18">
        <f>DO134*VLOOKUP('Données projet'!$B$14,Paramètres!$A$1:$I$89,3,0)*VLOOKUP('Données projet'!$B$14,Paramètres!$A$1:$I$89,5,0)</f>
        <v>8.8675733422860506E-14</v>
      </c>
      <c r="DQ134" s="14">
        <f t="shared" si="151"/>
        <v>1.3509285393066301E-12</v>
      </c>
      <c r="DR134" s="22">
        <f t="shared" si="124"/>
        <v>2.5073107750038623E-12</v>
      </c>
      <c r="DS134" s="62">
        <f t="shared" si="125"/>
        <v>286.01826427205606</v>
      </c>
      <c r="DT134" s="62">
        <f ca="1">AVERAGE(OFFSET($DS$3,0,0,'Données projet'!$E$14+1,1))-AVERAGE(OFFSET($H$3,0,0,'Données projet'!$E$14+1,1))</f>
        <v>308.39181291575227</v>
      </c>
      <c r="DU134" s="62">
        <f t="shared" si="152"/>
        <v>298.58225298824334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2.7</v>
      </c>
      <c r="EJ134" s="13">
        <f>IF('Données projet'!$A$192&gt;35,EJ133+EI134-ER133,IF(A134&lt;'Données projet'!$A$192,$EG$205^A134,IF(A134='Données projet'!$A$192,'Données projet'!$B$192,EJ133+EI134-ER133)))</f>
        <v>271.69999999999936</v>
      </c>
      <c r="EK134" s="18">
        <f>EJ134*VLOOKUP('Données projet'!$B$15,Paramètres!$A$1:$I$89,3,0)*VLOOKUP('Données projet'!$B$15,Paramètres!$A$1:$I$89,5,0)</f>
        <v>262.7882399999994</v>
      </c>
      <c r="EL134" s="14">
        <f t="shared" si="153"/>
        <v>63.316348571334714</v>
      </c>
      <c r="EM134" s="22">
        <f t="shared" si="127"/>
        <v>567.96549176174028</v>
      </c>
      <c r="EN134" s="62">
        <f t="shared" si="128"/>
        <v>853.98375603379384</v>
      </c>
      <c r="EO134" s="62">
        <f ca="1">AVERAGE(OFFSET($EN$3,0,0,'Données projet'!$E$15+1,1))-AVERAGE(OFFSET($H$3,0,0,'Données projet'!$E$15+1,1))</f>
        <v>487.76433095707876</v>
      </c>
      <c r="EP134" s="62">
        <f t="shared" si="154"/>
        <v>276.24209151398361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2.7</v>
      </c>
      <c r="FE134" s="13">
        <f>IF('Données projet'!$A$218&gt;35,FE133+FD134-FM133,IF(A134&lt;'Données projet'!$A$218,$FB$205^A134,IF(A134='Données projet'!$A$218,'Données projet'!$B$218,FE133+FD134-FM133)))</f>
        <v>271.69999999999936</v>
      </c>
      <c r="FF134" s="18">
        <f>FE134*VLOOKUP('Données projet'!$B$16,Paramètres!$A$1:$I$89,3,0)*VLOOKUP('Données projet'!$B$16,Paramètres!$A$1:$I$89,5,0)</f>
        <v>292.45787999999931</v>
      </c>
      <c r="FG134" s="14">
        <f t="shared" si="155"/>
        <v>69.59301004501954</v>
      </c>
      <c r="FH134" s="22">
        <f t="shared" si="130"/>
        <v>630.57196682840777</v>
      </c>
      <c r="FI134" s="62">
        <f t="shared" si="131"/>
        <v>916.59023110046132</v>
      </c>
      <c r="FJ134" s="62">
        <f ca="1">AVERAGE(OFFSET($FI$3,0,0,'Données projet'!$E$16+1,1))-AVERAGE(OFFSET($H$3,0,0,'Données projet'!$E$16+1,1))</f>
        <v>534.33392288300456</v>
      </c>
      <c r="FK134" s="62">
        <f t="shared" si="156"/>
        <v>300.93109615735477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-5.6843418860808015E-14</v>
      </c>
      <c r="GA134" s="18">
        <f>FZ134*VLOOKUP('Données projet'!$B$17,Paramètres!$A$1:$I$89,3,0)*VLOOKUP('Données projet'!$B$17,Paramètres!$A$1:$I$89,5,0)</f>
        <v>-3.813056537183002E-14</v>
      </c>
      <c r="GB134" s="14" t="e">
        <f t="shared" si="157"/>
        <v>#NUM!</v>
      </c>
      <c r="GC134" s="22" t="e">
        <f t="shared" si="133"/>
        <v>#NUM!</v>
      </c>
      <c r="GD134" s="62" t="e">
        <f t="shared" si="134"/>
        <v>#NUM!</v>
      </c>
      <c r="GE134" s="62">
        <f ca="1">AVERAGE(OFFSET($GD$3,0,0,'Données projet'!$E$17+1,1))-AVERAGE(OFFSET($H$3,0,0,'Données projet'!$E$17+1,1))</f>
        <v>316.17772895535211</v>
      </c>
      <c r="GF134" s="62">
        <f t="shared" si="158"/>
        <v>251.94445589652992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68.004981165105519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3.95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14.483333333333334</v>
      </c>
      <c r="H135" s="70">
        <f t="shared" si="110"/>
        <v>198.73333333333335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3.8</v>
      </c>
      <c r="N135" s="14">
        <f>IF('Données projet'!$A$36&gt;35,N134+M135-V134,IF(A135&lt;'Données projet'!$A$36,$K$205^A135,IF(A135='Données projet'!$A$36,'Données projet'!$B$36,N134+M135-V134)))</f>
        <v>310.59999999999968</v>
      </c>
      <c r="O135" s="14">
        <f>N135*VLOOKUP('Données projet'!$B$9,Paramètres!$A$1:$I$89,3,0)*VLOOKUP('Données projet'!$B$9,Paramètres!$A$1:$I$89,5,0)</f>
        <v>261.64943999999974</v>
      </c>
      <c r="P135" s="14">
        <f t="shared" si="141"/>
        <v>63.073842398428624</v>
      </c>
      <c r="Q135" s="22">
        <f t="shared" si="108"/>
        <v>565.55971684392932</v>
      </c>
      <c r="R135" s="62">
        <f t="shared" si="109"/>
        <v>851.7048812101516</v>
      </c>
      <c r="S135" s="62">
        <f ca="1">AVERAGE(OFFSET($R$3,0,0,'Données projet'!$E$9+1,1))-AVERAGE(OFFSET($H$3,0,0,'Données projet'!$E$9+1,1))</f>
        <v>508.93703669150443</v>
      </c>
      <c r="T135" s="62">
        <f t="shared" si="142"/>
        <v>277.04920840696707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2.7</v>
      </c>
      <c r="AI135" s="14">
        <f>IF('Données projet'!$A$62&gt;35,AI134+AH135-AQ134,IF(A135&lt;'Données projet'!$A$62,$AF$205^A135,IF(A135='Données projet'!$A$62,'Données projet'!$B$62,AI134+AH135-AQ134)))</f>
        <v>274.39999999999935</v>
      </c>
      <c r="AJ135" s="14">
        <f>AI135*VLOOKUP('Données projet'!$B$10,Paramètres!$A$1:$I$89,3,0)*VLOOKUP('Données projet'!$B$10,Paramètres!$A$1:$I$89,5,0)</f>
        <v>248.2771199999994</v>
      </c>
      <c r="AK135" s="14">
        <f t="shared" si="143"/>
        <v>60.216863677580257</v>
      </c>
      <c r="AL135" s="22">
        <f t="shared" si="112"/>
        <v>537.29368823845118</v>
      </c>
      <c r="AM135" s="62">
        <f t="shared" si="113"/>
        <v>823.43885260467346</v>
      </c>
      <c r="AN135" s="62">
        <f ca="1">AVERAGE(OFFSET($AM$3,0,0,'Données projet'!$E$10+1,1))-AVERAGE(OFFSET($H$3,0,0,'Données projet'!$E$10+1,1))</f>
        <v>461.10503306101145</v>
      </c>
      <c r="AO135" s="62">
        <f t="shared" si="144"/>
        <v>262.10652147273288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-2.2737367544323206E-13</v>
      </c>
      <c r="BE135" s="14">
        <f>BD135*VLOOKUP('Données projet'!$B$11,Paramètres!$A$1:$I$89,3,0)*VLOOKUP('Données projet'!$B$11,Paramètres!$A$1:$I$89,5,0)</f>
        <v>-1.8089849618263545E-13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389.67854939311752</v>
      </c>
      <c r="BJ135" s="62">
        <f t="shared" si="146"/>
        <v>420.05189970516096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-1.0516032489249483E-12</v>
      </c>
      <c r="BZ135" s="14">
        <f>BY135*VLOOKUP('Données projet'!$B$12,Paramètres!$A$1:$I$89,3,0)*VLOOKUP('Données projet'!$B$12,Paramètres!$A$1:$I$89,5,0)</f>
        <v>-6.0151705838507046E-13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312.16891625633968</v>
      </c>
      <c r="CE135" s="62">
        <f t="shared" si="148"/>
        <v>215.34305815516177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0.71026636788239506</v>
      </c>
      <c r="CM135" s="23">
        <f>EXP(-LN(2)/2)*CM134+(1-EXP(-LN(2)/2))/(LN(2)/2)*CG135*CJ135*VLOOKUP('Données projet'!$B$12,Paramètres!$A$1:$I$89,3,0)*0.475*44/12</f>
        <v>3.6182570479479609E-15</v>
      </c>
      <c r="CN135" s="24">
        <f t="shared" si="120"/>
        <v>0.71026636788239872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3.979039320256561E-13</v>
      </c>
      <c r="CU135" s="18">
        <f>CT135*VLOOKUP('Données projet'!$B$13,Paramètres!$A$1:$I$89,3,0)*VLOOKUP('Données projet'!$B$13,Paramètres!$A$1:$I$89,5,0)</f>
        <v>2.669139576028101E-13</v>
      </c>
      <c r="CV135" s="14">
        <f t="shared" si="149"/>
        <v>3.5767923834585247E-12</v>
      </c>
      <c r="CW135" s="22">
        <f t="shared" si="121"/>
        <v>6.6944552106818241E-12</v>
      </c>
      <c r="CX135" s="62">
        <f t="shared" si="122"/>
        <v>286.14516436622904</v>
      </c>
      <c r="CY135" s="62">
        <f ca="1">AVERAGE(OFFSET($CX$3,0,0,'Données projet'!$E$13+1,1))-AVERAGE(OFFSET($H$3,0,0,'Données projet'!$E$13+1,1))</f>
        <v>369.04754428478793</v>
      </c>
      <c r="CZ135" s="62">
        <f t="shared" si="150"/>
        <v>277.00523259351712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1.1368683772161603E-13</v>
      </c>
      <c r="DP135" s="18">
        <f>DO135*VLOOKUP('Données projet'!$B$14,Paramètres!$A$1:$I$89,3,0)*VLOOKUP('Données projet'!$B$14,Paramètres!$A$1:$I$89,5,0)</f>
        <v>8.8675733422860506E-14</v>
      </c>
      <c r="DQ135" s="14">
        <f t="shared" si="151"/>
        <v>1.3509285393066301E-12</v>
      </c>
      <c r="DR135" s="22">
        <f t="shared" si="124"/>
        <v>2.5073107750038623E-12</v>
      </c>
      <c r="DS135" s="62">
        <f t="shared" si="125"/>
        <v>286.14516436622483</v>
      </c>
      <c r="DT135" s="62">
        <f ca="1">AVERAGE(OFFSET($DS$3,0,0,'Données projet'!$E$14+1,1))-AVERAGE(OFFSET($H$3,0,0,'Données projet'!$E$14+1,1))</f>
        <v>308.39181291575227</v>
      </c>
      <c r="DU135" s="62">
        <f t="shared" si="152"/>
        <v>298.58225298824334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2.7</v>
      </c>
      <c r="EJ135" s="13">
        <f>IF('Données projet'!$A$192&gt;35,EJ134+EI135-ER134,IF(A135&lt;'Données projet'!$A$192,$EG$205^A135,IF(A135='Données projet'!$A$192,'Données projet'!$B$192,EJ134+EI135-ER134)))</f>
        <v>274.39999999999935</v>
      </c>
      <c r="EK135" s="18">
        <f>EJ135*VLOOKUP('Données projet'!$B$15,Paramètres!$A$1:$I$89,3,0)*VLOOKUP('Données projet'!$B$15,Paramètres!$A$1:$I$89,5,0)</f>
        <v>265.39967999999936</v>
      </c>
      <c r="EL135" s="14">
        <f t="shared" si="153"/>
        <v>63.87199095821434</v>
      </c>
      <c r="EM135" s="22">
        <f t="shared" si="127"/>
        <v>573.48149358555554</v>
      </c>
      <c r="EN135" s="62">
        <f t="shared" si="128"/>
        <v>859.62665795177782</v>
      </c>
      <c r="EO135" s="62">
        <f ca="1">AVERAGE(OFFSET($EN$3,0,0,'Données projet'!$E$15+1,1))-AVERAGE(OFFSET($H$3,0,0,'Données projet'!$E$15+1,1))</f>
        <v>487.76433095707876</v>
      </c>
      <c r="EP135" s="62">
        <f t="shared" si="154"/>
        <v>276.24209151398361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2.7</v>
      </c>
      <c r="FE135" s="13">
        <f>IF('Données projet'!$A$218&gt;35,FE134+FD135-FM134,IF(A135&lt;'Données projet'!$A$218,$FB$205^A135,IF(A135='Données projet'!$A$218,'Données projet'!$B$218,FE134+FD135-FM134)))</f>
        <v>274.39999999999935</v>
      </c>
      <c r="FF135" s="18">
        <f>FE135*VLOOKUP('Données projet'!$B$16,Paramètres!$A$1:$I$89,3,0)*VLOOKUP('Données projet'!$B$16,Paramètres!$A$1:$I$89,5,0)</f>
        <v>295.36415999999929</v>
      </c>
      <c r="FG135" s="14">
        <f t="shared" si="155"/>
        <v>70.203734243177976</v>
      </c>
      <c r="FH135" s="22">
        <f t="shared" si="130"/>
        <v>636.69741580686696</v>
      </c>
      <c r="FI135" s="62">
        <f t="shared" si="131"/>
        <v>922.84258017308935</v>
      </c>
      <c r="FJ135" s="62">
        <f ca="1">AVERAGE(OFFSET($FI$3,0,0,'Données projet'!$E$16+1,1))-AVERAGE(OFFSET($H$3,0,0,'Données projet'!$E$16+1,1))</f>
        <v>534.33392288300456</v>
      </c>
      <c r="FK135" s="62">
        <f t="shared" si="156"/>
        <v>300.93109615735477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-5.6843418860808015E-14</v>
      </c>
      <c r="GA135" s="18">
        <f>FZ135*VLOOKUP('Données projet'!$B$17,Paramètres!$A$1:$I$89,3,0)*VLOOKUP('Données projet'!$B$17,Paramètres!$A$1:$I$89,5,0)</f>
        <v>-3.813056537183002E-14</v>
      </c>
      <c r="GB135" s="14" t="e">
        <f t="shared" si="157"/>
        <v>#NUM!</v>
      </c>
      <c r="GC135" s="22" t="e">
        <f t="shared" si="133"/>
        <v>#NUM!</v>
      </c>
      <c r="GD135" s="62" t="e">
        <f t="shared" si="134"/>
        <v>#NUM!</v>
      </c>
      <c r="GE135" s="62">
        <f ca="1">AVERAGE(OFFSET($GD$3,0,0,'Données projet'!$E$17+1,1))-AVERAGE(OFFSET($H$3,0,0,'Données projet'!$E$17+1,1))</f>
        <v>316.17772895535211</v>
      </c>
      <c r="GF135" s="62">
        <f t="shared" si="158"/>
        <v>251.94445589652992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68.039590281697002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3.95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14.483333333333334</v>
      </c>
      <c r="H136" s="70">
        <f t="shared" si="110"/>
        <v>198.73333333333335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3.8</v>
      </c>
      <c r="N136" s="14">
        <f>IF('Données projet'!$A$36&gt;35,N135+M136-V135,IF(A136&lt;'Données projet'!$A$36,$K$205^A136,IF(A136='Données projet'!$A$36,'Données projet'!$B$36,N135+M136-V135)))</f>
        <v>314.39999999999969</v>
      </c>
      <c r="O136" s="14">
        <f>N136*VLOOKUP('Données projet'!$B$9,Paramètres!$A$1:$I$89,3,0)*VLOOKUP('Données projet'!$B$9,Paramètres!$A$1:$I$89,5,0)</f>
        <v>264.85055999999975</v>
      </c>
      <c r="P136" s="14">
        <f t="shared" si="141"/>
        <v>63.755206416242338</v>
      </c>
      <c r="Q136" s="22">
        <f t="shared" si="108"/>
        <v>572.32170984162167</v>
      </c>
      <c r="R136" s="62">
        <f t="shared" si="109"/>
        <v>858.59157286908498</v>
      </c>
      <c r="S136" s="62">
        <f ca="1">AVERAGE(OFFSET($R$3,0,0,'Données projet'!$E$9+1,1))-AVERAGE(OFFSET($H$3,0,0,'Données projet'!$E$9+1,1))</f>
        <v>508.93703669150443</v>
      </c>
      <c r="T136" s="62">
        <f t="shared" si="142"/>
        <v>277.04920840696707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2.7</v>
      </c>
      <c r="AI136" s="14">
        <f>IF('Données projet'!$A$62&gt;35,AI135+AH136-AQ135,IF(A136&lt;'Données projet'!$A$62,$AF$205^A136,IF(A136='Données projet'!$A$62,'Données projet'!$B$62,AI135+AH136-AQ135)))</f>
        <v>277.09999999999934</v>
      </c>
      <c r="AJ136" s="14">
        <f>AI136*VLOOKUP('Données projet'!$B$10,Paramètres!$A$1:$I$89,3,0)*VLOOKUP('Données projet'!$B$10,Paramètres!$A$1:$I$89,5,0)</f>
        <v>250.72007999999943</v>
      </c>
      <c r="AK136" s="14">
        <f t="shared" si="143"/>
        <v>60.740109326032709</v>
      </c>
      <c r="AL136" s="22">
        <f t="shared" si="112"/>
        <v>542.45982974283925</v>
      </c>
      <c r="AM136" s="62">
        <f t="shared" si="113"/>
        <v>828.72969277030256</v>
      </c>
      <c r="AN136" s="62">
        <f ca="1">AVERAGE(OFFSET($AM$3,0,0,'Données projet'!$E$10+1,1))-AVERAGE(OFFSET($H$3,0,0,'Données projet'!$E$10+1,1))</f>
        <v>461.10503306101145</v>
      </c>
      <c r="AO136" s="62">
        <f t="shared" si="144"/>
        <v>262.10652147273288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-2.2737367544323206E-13</v>
      </c>
      <c r="BE136" s="14">
        <f>BD136*VLOOKUP('Données projet'!$B$11,Paramètres!$A$1:$I$89,3,0)*VLOOKUP('Données projet'!$B$11,Paramètres!$A$1:$I$89,5,0)</f>
        <v>-1.8089849618263545E-13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389.67854939311752</v>
      </c>
      <c r="BJ136" s="62">
        <f t="shared" si="146"/>
        <v>420.05189970516096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-1.0516032489249483E-12</v>
      </c>
      <c r="BZ136" s="14">
        <f>BY136*VLOOKUP('Données projet'!$B$12,Paramètres!$A$1:$I$89,3,0)*VLOOKUP('Données projet'!$B$12,Paramètres!$A$1:$I$89,5,0)</f>
        <v>-6.0151705838507046E-13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312.16891625633968</v>
      </c>
      <c r="CE136" s="62">
        <f t="shared" si="148"/>
        <v>215.34305815516177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0.69084409670136604</v>
      </c>
      <c r="CM136" s="23">
        <f>EXP(-LN(2)/2)*CM135+(1-EXP(-LN(2)/2))/(LN(2)/2)*CG136*CJ136*VLOOKUP('Données projet'!$B$12,Paramètres!$A$1:$I$89,3,0)*0.475*44/12</f>
        <v>2.5584940946800222E-15</v>
      </c>
      <c r="CN136" s="24">
        <f t="shared" si="120"/>
        <v>0.69084409670136859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3.979039320256561E-13</v>
      </c>
      <c r="CU136" s="18">
        <f>CT136*VLOOKUP('Données projet'!$B$13,Paramètres!$A$1:$I$89,3,0)*VLOOKUP('Données projet'!$B$13,Paramètres!$A$1:$I$89,5,0)</f>
        <v>2.669139576028101E-13</v>
      </c>
      <c r="CV136" s="14">
        <f t="shared" si="149"/>
        <v>3.5767923834585247E-12</v>
      </c>
      <c r="CW136" s="22">
        <f t="shared" si="121"/>
        <v>6.6944552106818241E-12</v>
      </c>
      <c r="CX136" s="62">
        <f t="shared" si="122"/>
        <v>286.26986302747008</v>
      </c>
      <c r="CY136" s="62">
        <f ca="1">AVERAGE(OFFSET($CX$3,0,0,'Données projet'!$E$13+1,1))-AVERAGE(OFFSET($H$3,0,0,'Données projet'!$E$13+1,1))</f>
        <v>369.04754428478793</v>
      </c>
      <c r="CZ136" s="62">
        <f t="shared" si="150"/>
        <v>277.00523259351712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1.1368683772161603E-13</v>
      </c>
      <c r="DP136" s="18">
        <f>DO136*VLOOKUP('Données projet'!$B$14,Paramètres!$A$1:$I$89,3,0)*VLOOKUP('Données projet'!$B$14,Paramètres!$A$1:$I$89,5,0)</f>
        <v>8.8675733422860506E-14</v>
      </c>
      <c r="DQ136" s="14">
        <f t="shared" si="151"/>
        <v>1.3509285393066301E-12</v>
      </c>
      <c r="DR136" s="22">
        <f t="shared" si="124"/>
        <v>2.5073107750038623E-12</v>
      </c>
      <c r="DS136" s="62">
        <f t="shared" si="125"/>
        <v>286.26986302746587</v>
      </c>
      <c r="DT136" s="62">
        <f ca="1">AVERAGE(OFFSET($DS$3,0,0,'Données projet'!$E$14+1,1))-AVERAGE(OFFSET($H$3,0,0,'Données projet'!$E$14+1,1))</f>
        <v>308.39181291575227</v>
      </c>
      <c r="DU136" s="62">
        <f t="shared" si="152"/>
        <v>298.58225298824334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2.7</v>
      </c>
      <c r="EJ136" s="13">
        <f>IF('Données projet'!$A$192&gt;35,EJ135+EI136-ER135,IF(A136&lt;'Données projet'!$A$192,$EG$205^A136,IF(A136='Données projet'!$A$192,'Données projet'!$B$192,EJ135+EI136-ER135)))</f>
        <v>277.09999999999934</v>
      </c>
      <c r="EK136" s="18">
        <f>EJ136*VLOOKUP('Données projet'!$B$15,Paramètres!$A$1:$I$89,3,0)*VLOOKUP('Données projet'!$B$15,Paramètres!$A$1:$I$89,5,0)</f>
        <v>268.01111999999938</v>
      </c>
      <c r="EL136" s="14">
        <f t="shared" si="153"/>
        <v>64.426997301716739</v>
      </c>
      <c r="EM136" s="22">
        <f t="shared" si="127"/>
        <v>578.99638763382234</v>
      </c>
      <c r="EN136" s="62">
        <f t="shared" si="128"/>
        <v>865.26625066128577</v>
      </c>
      <c r="EO136" s="62">
        <f ca="1">AVERAGE(OFFSET($EN$3,0,0,'Données projet'!$E$15+1,1))-AVERAGE(OFFSET($H$3,0,0,'Données projet'!$E$15+1,1))</f>
        <v>487.76433095707876</v>
      </c>
      <c r="EP136" s="62">
        <f t="shared" si="154"/>
        <v>276.24209151398361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2.7</v>
      </c>
      <c r="FE136" s="13">
        <f>IF('Données projet'!$A$218&gt;35,FE135+FD136-FM135,IF(A136&lt;'Données projet'!$A$218,$FB$205^A136,IF(A136='Données projet'!$A$218,'Données projet'!$B$218,FE135+FD136-FM135)))</f>
        <v>277.09999999999934</v>
      </c>
      <c r="FF136" s="18">
        <f>FE136*VLOOKUP('Données projet'!$B$16,Paramètres!$A$1:$I$89,3,0)*VLOOKUP('Données projet'!$B$16,Paramètres!$A$1:$I$89,5,0)</f>
        <v>298.27043999999927</v>
      </c>
      <c r="FG136" s="14">
        <f t="shared" si="155"/>
        <v>70.813759345855843</v>
      </c>
      <c r="FH136" s="22">
        <f t="shared" si="130"/>
        <v>642.8216471940309</v>
      </c>
      <c r="FI136" s="62">
        <f t="shared" si="131"/>
        <v>929.09151022149422</v>
      </c>
      <c r="FJ136" s="62">
        <f ca="1">AVERAGE(OFFSET($FI$3,0,0,'Données projet'!$E$16+1,1))-AVERAGE(OFFSET($H$3,0,0,'Données projet'!$E$16+1,1))</f>
        <v>534.33392288300456</v>
      </c>
      <c r="FK136" s="62">
        <f t="shared" si="156"/>
        <v>300.93109615735477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-5.6843418860808015E-14</v>
      </c>
      <c r="GA136" s="18">
        <f>FZ136*VLOOKUP('Données projet'!$B$17,Paramètres!$A$1:$I$89,3,0)*VLOOKUP('Données projet'!$B$17,Paramètres!$A$1:$I$89,5,0)</f>
        <v>-3.813056537183002E-14</v>
      </c>
      <c r="GB136" s="14" t="e">
        <f t="shared" si="157"/>
        <v>#NUM!</v>
      </c>
      <c r="GC136" s="22" t="e">
        <f t="shared" si="133"/>
        <v>#NUM!</v>
      </c>
      <c r="GD136" s="62" t="e">
        <f t="shared" si="134"/>
        <v>#NUM!</v>
      </c>
      <c r="GE136" s="62">
        <f ca="1">AVERAGE(OFFSET($GD$3,0,0,'Données projet'!$E$17+1,1))-AVERAGE(OFFSET($H$3,0,0,'Données projet'!$E$17+1,1))</f>
        <v>316.17772895535211</v>
      </c>
      <c r="GF136" s="62">
        <f t="shared" si="158"/>
        <v>251.94445589652992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68.073599007490017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3.95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14.483333333333334</v>
      </c>
      <c r="H137" s="70">
        <f t="shared" si="110"/>
        <v>198.73333333333335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3.8</v>
      </c>
      <c r="N137" s="14">
        <f>IF('Données projet'!$A$36&gt;35,N136+M137-V136,IF(A137&lt;'Données projet'!$A$36,$K$205^A137,IF(A137='Données projet'!$A$36,'Données projet'!$B$36,N136+M137-V136)))</f>
        <v>318.1999999999997</v>
      </c>
      <c r="O137" s="14">
        <f>N137*VLOOKUP('Données projet'!$B$9,Paramètres!$A$1:$I$89,3,0)*VLOOKUP('Données projet'!$B$9,Paramètres!$A$1:$I$89,5,0)</f>
        <v>268.05167999999981</v>
      </c>
      <c r="P137" s="14">
        <f t="shared" si="141"/>
        <v>64.435612492630369</v>
      </c>
      <c r="Q137" s="22">
        <f t="shared" si="108"/>
        <v>579.08203442466413</v>
      </c>
      <c r="R137" s="62">
        <f t="shared" si="109"/>
        <v>865.4744328703805</v>
      </c>
      <c r="S137" s="62">
        <f ca="1">AVERAGE(OFFSET($R$3,0,0,'Données projet'!$E$9+1,1))-AVERAGE(OFFSET($H$3,0,0,'Données projet'!$E$9+1,1))</f>
        <v>508.93703669150443</v>
      </c>
      <c r="T137" s="62">
        <f t="shared" si="142"/>
        <v>277.04920840696707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2.7</v>
      </c>
      <c r="AI137" s="14">
        <f>IF('Données projet'!$A$62&gt;35,AI136+AH137-AQ136,IF(A137&lt;'Données projet'!$A$62,$AF$205^A137,IF(A137='Données projet'!$A$62,'Données projet'!$B$62,AI136+AH137-AQ136)))</f>
        <v>279.79999999999933</v>
      </c>
      <c r="AJ137" s="14">
        <f>AI137*VLOOKUP('Données projet'!$B$10,Paramètres!$A$1:$I$89,3,0)*VLOOKUP('Données projet'!$B$10,Paramètres!$A$1:$I$89,5,0)</f>
        <v>253.16303999999937</v>
      </c>
      <c r="AK137" s="14">
        <f t="shared" si="143"/>
        <v>61.262761848634923</v>
      </c>
      <c r="AL137" s="22">
        <f t="shared" si="112"/>
        <v>547.62493821970475</v>
      </c>
      <c r="AM137" s="62">
        <f t="shared" si="113"/>
        <v>834.01733666542111</v>
      </c>
      <c r="AN137" s="62">
        <f ca="1">AVERAGE(OFFSET($AM$3,0,0,'Données projet'!$E$10+1,1))-AVERAGE(OFFSET($H$3,0,0,'Données projet'!$E$10+1,1))</f>
        <v>461.10503306101145</v>
      </c>
      <c r="AO137" s="62">
        <f t="shared" si="144"/>
        <v>262.10652147273288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-2.2737367544323206E-13</v>
      </c>
      <c r="BE137" s="14">
        <f>BD137*VLOOKUP('Données projet'!$B$11,Paramètres!$A$1:$I$89,3,0)*VLOOKUP('Données projet'!$B$11,Paramètres!$A$1:$I$89,5,0)</f>
        <v>-1.8089849618263545E-13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389.67854939311752</v>
      </c>
      <c r="BJ137" s="62">
        <f t="shared" si="146"/>
        <v>420.05189970516096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-1.0516032489249483E-12</v>
      </c>
      <c r="BZ137" s="14">
        <f>BY137*VLOOKUP('Données projet'!$B$12,Paramètres!$A$1:$I$89,3,0)*VLOOKUP('Données projet'!$B$12,Paramètres!$A$1:$I$89,5,0)</f>
        <v>-6.0151705838507046E-13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312.16891625633968</v>
      </c>
      <c r="CE137" s="62">
        <f t="shared" si="148"/>
        <v>215.34305815516177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0.67195292854715505</v>
      </c>
      <c r="CM137" s="23">
        <f>EXP(-LN(2)/2)*CM136+(1-EXP(-LN(2)/2))/(LN(2)/2)*CG137*CJ137*VLOOKUP('Données projet'!$B$12,Paramètres!$A$1:$I$89,3,0)*0.475*44/12</f>
        <v>1.8091285239739804E-15</v>
      </c>
      <c r="CN137" s="24">
        <f t="shared" si="120"/>
        <v>0.67195292854715682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3.979039320256561E-13</v>
      </c>
      <c r="CU137" s="18">
        <f>CT137*VLOOKUP('Données projet'!$B$13,Paramètres!$A$1:$I$89,3,0)*VLOOKUP('Données projet'!$B$13,Paramètres!$A$1:$I$89,5,0)</f>
        <v>2.669139576028101E-13</v>
      </c>
      <c r="CV137" s="14">
        <f t="shared" si="149"/>
        <v>3.5767923834585247E-12</v>
      </c>
      <c r="CW137" s="22">
        <f t="shared" si="121"/>
        <v>6.6944552106818241E-12</v>
      </c>
      <c r="CX137" s="62">
        <f t="shared" si="122"/>
        <v>286.39239844572307</v>
      </c>
      <c r="CY137" s="62">
        <f ca="1">AVERAGE(OFFSET($CX$3,0,0,'Données projet'!$E$13+1,1))-AVERAGE(OFFSET($H$3,0,0,'Données projet'!$E$13+1,1))</f>
        <v>369.04754428478793</v>
      </c>
      <c r="CZ137" s="62">
        <f t="shared" si="150"/>
        <v>277.00523259351712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1.1368683772161603E-13</v>
      </c>
      <c r="DP137" s="18">
        <f>DO137*VLOOKUP('Données projet'!$B$14,Paramètres!$A$1:$I$89,3,0)*VLOOKUP('Données projet'!$B$14,Paramètres!$A$1:$I$89,5,0)</f>
        <v>8.8675733422860506E-14</v>
      </c>
      <c r="DQ137" s="14">
        <f t="shared" si="151"/>
        <v>1.3509285393066301E-12</v>
      </c>
      <c r="DR137" s="22">
        <f t="shared" si="124"/>
        <v>2.5073107750038623E-12</v>
      </c>
      <c r="DS137" s="62">
        <f t="shared" si="125"/>
        <v>286.39239844571887</v>
      </c>
      <c r="DT137" s="62">
        <f ca="1">AVERAGE(OFFSET($DS$3,0,0,'Données projet'!$E$14+1,1))-AVERAGE(OFFSET($H$3,0,0,'Données projet'!$E$14+1,1))</f>
        <v>308.39181291575227</v>
      </c>
      <c r="DU137" s="62">
        <f t="shared" si="152"/>
        <v>298.58225298824334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2.7</v>
      </c>
      <c r="EJ137" s="13">
        <f>IF('Données projet'!$A$192&gt;35,EJ136+EI137-ER136,IF(A137&lt;'Données projet'!$A$192,$EG$205^A137,IF(A137='Données projet'!$A$192,'Données projet'!$B$192,EJ136+EI137-ER136)))</f>
        <v>279.79999999999933</v>
      </c>
      <c r="EK137" s="18">
        <f>EJ137*VLOOKUP('Données projet'!$B$15,Paramètres!$A$1:$I$89,3,0)*VLOOKUP('Données projet'!$B$15,Paramètres!$A$1:$I$89,5,0)</f>
        <v>270.62255999999934</v>
      </c>
      <c r="EL137" s="14">
        <f t="shared" si="153"/>
        <v>64.981374516987898</v>
      </c>
      <c r="EM137" s="22">
        <f t="shared" si="127"/>
        <v>584.51018595041944</v>
      </c>
      <c r="EN137" s="62">
        <f t="shared" si="128"/>
        <v>870.90258439613581</v>
      </c>
      <c r="EO137" s="62">
        <f ca="1">AVERAGE(OFFSET($EN$3,0,0,'Données projet'!$E$15+1,1))-AVERAGE(OFFSET($H$3,0,0,'Données projet'!$E$15+1,1))</f>
        <v>487.76433095707876</v>
      </c>
      <c r="EP137" s="62">
        <f t="shared" si="154"/>
        <v>276.24209151398361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2.7</v>
      </c>
      <c r="FE137" s="13">
        <f>IF('Données projet'!$A$218&gt;35,FE136+FD137-FM136,IF(A137&lt;'Données projet'!$A$218,$FB$205^A137,IF(A137='Données projet'!$A$218,'Données projet'!$B$218,FE136+FD137-FM136)))</f>
        <v>279.79999999999933</v>
      </c>
      <c r="FF137" s="18">
        <f>FE137*VLOOKUP('Données projet'!$B$16,Paramètres!$A$1:$I$89,3,0)*VLOOKUP('Données projet'!$B$16,Paramètres!$A$1:$I$89,5,0)</f>
        <v>301.17671999999925</v>
      </c>
      <c r="FG137" s="14">
        <f t="shared" si="155"/>
        <v>71.423092953709514</v>
      </c>
      <c r="FH137" s="22">
        <f t="shared" si="130"/>
        <v>648.94467422770936</v>
      </c>
      <c r="FI137" s="62">
        <f t="shared" si="131"/>
        <v>935.33707267342572</v>
      </c>
      <c r="FJ137" s="62">
        <f ca="1">AVERAGE(OFFSET($FI$3,0,0,'Données projet'!$E$16+1,1))-AVERAGE(OFFSET($H$3,0,0,'Données projet'!$E$16+1,1))</f>
        <v>534.33392288300456</v>
      </c>
      <c r="FK137" s="62">
        <f t="shared" si="156"/>
        <v>300.93109615735477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-5.6843418860808015E-14</v>
      </c>
      <c r="GA137" s="18">
        <f>FZ137*VLOOKUP('Données projet'!$B$17,Paramètres!$A$1:$I$89,3,0)*VLOOKUP('Données projet'!$B$17,Paramètres!$A$1:$I$89,5,0)</f>
        <v>-3.813056537183002E-14</v>
      </c>
      <c r="GB137" s="14" t="e">
        <f t="shared" si="157"/>
        <v>#NUM!</v>
      </c>
      <c r="GC137" s="22" t="e">
        <f t="shared" si="133"/>
        <v>#NUM!</v>
      </c>
      <c r="GD137" s="62" t="e">
        <f t="shared" si="134"/>
        <v>#NUM!</v>
      </c>
      <c r="GE137" s="62">
        <f ca="1">AVERAGE(OFFSET($GD$3,0,0,'Données projet'!$E$17+1,1))-AVERAGE(OFFSET($H$3,0,0,'Données projet'!$E$17+1,1))</f>
        <v>316.17772895535211</v>
      </c>
      <c r="GF137" s="62">
        <f t="shared" si="158"/>
        <v>251.94445589652992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68.107017757922648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3.95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14.483333333333334</v>
      </c>
      <c r="H138" s="70">
        <f t="shared" si="110"/>
        <v>198.73333333333335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3.8</v>
      </c>
      <c r="N138" s="14">
        <f>IF('Données projet'!$A$36&gt;35,N137+M138-V137,IF(A138&lt;'Données projet'!$A$36,$K$205^A138,IF(A138='Données projet'!$A$36,'Données projet'!$B$36,N137+M138-V137)))</f>
        <v>321.99999999999972</v>
      </c>
      <c r="O138" s="14">
        <f>N138*VLOOKUP('Données projet'!$B$9,Paramètres!$A$1:$I$89,3,0)*VLOOKUP('Données projet'!$B$9,Paramètres!$A$1:$I$89,5,0)</f>
        <v>271.25279999999981</v>
      </c>
      <c r="P138" s="14">
        <f t="shared" si="141"/>
        <v>65.115073390838859</v>
      </c>
      <c r="Q138" s="22">
        <f t="shared" si="108"/>
        <v>585.84071282237733</v>
      </c>
      <c r="R138" s="62">
        <f t="shared" si="109"/>
        <v>872.35352097078817</v>
      </c>
      <c r="S138" s="62">
        <f ca="1">AVERAGE(OFFSET($R$3,0,0,'Données projet'!$E$9+1,1))-AVERAGE(OFFSET($H$3,0,0,'Données projet'!$E$9+1,1))</f>
        <v>508.93703669150443</v>
      </c>
      <c r="T138" s="62">
        <f t="shared" si="142"/>
        <v>277.04920840696707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2.7</v>
      </c>
      <c r="AI138" s="14">
        <f>IF('Données projet'!$A$62&gt;35,AI137+AH138-AQ137,IF(A138&lt;'Données projet'!$A$62,$AF$205^A138,IF(A138='Données projet'!$A$62,'Données projet'!$B$62,AI137+AH138-AQ137)))</f>
        <v>282.49999999999932</v>
      </c>
      <c r="AJ138" s="14">
        <f>AI138*VLOOKUP('Données projet'!$B$10,Paramètres!$A$1:$I$89,3,0)*VLOOKUP('Données projet'!$B$10,Paramètres!$A$1:$I$89,5,0)</f>
        <v>255.60599999999937</v>
      </c>
      <c r="AK138" s="14">
        <f t="shared" si="143"/>
        <v>61.784827631732192</v>
      </c>
      <c r="AL138" s="22">
        <f t="shared" si="112"/>
        <v>552.78902479193243</v>
      </c>
      <c r="AM138" s="62">
        <f t="shared" si="113"/>
        <v>839.30183294034327</v>
      </c>
      <c r="AN138" s="62">
        <f ca="1">AVERAGE(OFFSET($AM$3,0,0,'Données projet'!$E$10+1,1))-AVERAGE(OFFSET($H$3,0,0,'Données projet'!$E$10+1,1))</f>
        <v>461.10503306101145</v>
      </c>
      <c r="AO138" s="62">
        <f t="shared" si="144"/>
        <v>262.10652147273288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-2.2737367544323206E-13</v>
      </c>
      <c r="BE138" s="14">
        <f>BD138*VLOOKUP('Données projet'!$B$11,Paramètres!$A$1:$I$89,3,0)*VLOOKUP('Données projet'!$B$11,Paramètres!$A$1:$I$89,5,0)</f>
        <v>-1.8089849618263545E-13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389.67854939311752</v>
      </c>
      <c r="BJ138" s="62">
        <f t="shared" si="146"/>
        <v>420.05189970516096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-1.0516032489249483E-12</v>
      </c>
      <c r="BZ138" s="14">
        <f>BY138*VLOOKUP('Données projet'!$B$12,Paramètres!$A$1:$I$89,3,0)*VLOOKUP('Données projet'!$B$12,Paramètres!$A$1:$I$89,5,0)</f>
        <v>-6.0151705838507046E-13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312.16891625633968</v>
      </c>
      <c r="CE138" s="62">
        <f t="shared" si="148"/>
        <v>215.34305815516177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0.6535783403795643</v>
      </c>
      <c r="CM138" s="23">
        <f>EXP(-LN(2)/2)*CM137+(1-EXP(-LN(2)/2))/(LN(2)/2)*CG138*CJ138*VLOOKUP('Données projet'!$B$12,Paramètres!$A$1:$I$89,3,0)*0.475*44/12</f>
        <v>1.2792470473400111E-15</v>
      </c>
      <c r="CN138" s="24">
        <f t="shared" si="120"/>
        <v>0.65357834037956564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3.979039320256561E-13</v>
      </c>
      <c r="CU138" s="18">
        <f>CT138*VLOOKUP('Données projet'!$B$13,Paramètres!$A$1:$I$89,3,0)*VLOOKUP('Données projet'!$B$13,Paramètres!$A$1:$I$89,5,0)</f>
        <v>2.669139576028101E-13</v>
      </c>
      <c r="CV138" s="14">
        <f t="shared" si="149"/>
        <v>3.5767923834585247E-12</v>
      </c>
      <c r="CW138" s="22">
        <f t="shared" si="121"/>
        <v>6.6944552106818241E-12</v>
      </c>
      <c r="CX138" s="62">
        <f t="shared" si="122"/>
        <v>286.51280814841755</v>
      </c>
      <c r="CY138" s="62">
        <f ca="1">AVERAGE(OFFSET($CX$3,0,0,'Données projet'!$E$13+1,1))-AVERAGE(OFFSET($H$3,0,0,'Données projet'!$E$13+1,1))</f>
        <v>369.04754428478793</v>
      </c>
      <c r="CZ138" s="62">
        <f t="shared" si="150"/>
        <v>277.00523259351712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1.1368683772161603E-13</v>
      </c>
      <c r="DP138" s="18">
        <f>DO138*VLOOKUP('Données projet'!$B$14,Paramètres!$A$1:$I$89,3,0)*VLOOKUP('Données projet'!$B$14,Paramètres!$A$1:$I$89,5,0)</f>
        <v>8.8675733422860506E-14</v>
      </c>
      <c r="DQ138" s="14">
        <f t="shared" si="151"/>
        <v>1.3509285393066301E-12</v>
      </c>
      <c r="DR138" s="22">
        <f t="shared" si="124"/>
        <v>2.5073107750038623E-12</v>
      </c>
      <c r="DS138" s="62">
        <f t="shared" si="125"/>
        <v>286.51280814841334</v>
      </c>
      <c r="DT138" s="62">
        <f ca="1">AVERAGE(OFFSET($DS$3,0,0,'Données projet'!$E$14+1,1))-AVERAGE(OFFSET($H$3,0,0,'Données projet'!$E$14+1,1))</f>
        <v>308.39181291575227</v>
      </c>
      <c r="DU138" s="62">
        <f t="shared" si="152"/>
        <v>298.58225298824334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2.7</v>
      </c>
      <c r="EJ138" s="13">
        <f>IF('Données projet'!$A$192&gt;35,EJ137+EI138-ER137,IF(A138&lt;'Données projet'!$A$192,$EG$205^A138,IF(A138='Données projet'!$A$192,'Données projet'!$B$192,EJ137+EI138-ER137)))</f>
        <v>282.49999999999932</v>
      </c>
      <c r="EK138" s="18">
        <f>EJ138*VLOOKUP('Données projet'!$B$15,Paramètres!$A$1:$I$89,3,0)*VLOOKUP('Données projet'!$B$15,Paramètres!$A$1:$I$89,5,0)</f>
        <v>273.23399999999936</v>
      </c>
      <c r="EL138" s="14">
        <f t="shared" si="153"/>
        <v>65.535129378020301</v>
      </c>
      <c r="EM138" s="22">
        <f t="shared" si="127"/>
        <v>590.0229003333842</v>
      </c>
      <c r="EN138" s="62">
        <f t="shared" si="128"/>
        <v>876.53570848179504</v>
      </c>
      <c r="EO138" s="62">
        <f ca="1">AVERAGE(OFFSET($EN$3,0,0,'Données projet'!$E$15+1,1))-AVERAGE(OFFSET($H$3,0,0,'Données projet'!$E$15+1,1))</f>
        <v>487.76433095707876</v>
      </c>
      <c r="EP138" s="62">
        <f t="shared" si="154"/>
        <v>276.24209151398361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2.7</v>
      </c>
      <c r="FE138" s="13">
        <f>IF('Données projet'!$A$218&gt;35,FE137+FD138-FM137,IF(A138&lt;'Données projet'!$A$218,$FB$205^A138,IF(A138='Données projet'!$A$218,'Données projet'!$B$218,FE137+FD138-FM137)))</f>
        <v>282.49999999999932</v>
      </c>
      <c r="FF138" s="18">
        <f>FE138*VLOOKUP('Données projet'!$B$16,Paramètres!$A$1:$I$89,3,0)*VLOOKUP('Données projet'!$B$16,Paramètres!$A$1:$I$89,5,0)</f>
        <v>304.08299999999929</v>
      </c>
      <c r="FG138" s="14">
        <f t="shared" si="155"/>
        <v>72.031742512249494</v>
      </c>
      <c r="FH138" s="22">
        <f t="shared" si="130"/>
        <v>655.06650987549995</v>
      </c>
      <c r="FI138" s="62">
        <f t="shared" si="131"/>
        <v>941.57931802391079</v>
      </c>
      <c r="FJ138" s="62">
        <f ca="1">AVERAGE(OFFSET($FI$3,0,0,'Données projet'!$E$16+1,1))-AVERAGE(OFFSET($H$3,0,0,'Données projet'!$E$16+1,1))</f>
        <v>534.33392288300456</v>
      </c>
      <c r="FK138" s="62">
        <f t="shared" si="156"/>
        <v>300.93109615735477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-5.6843418860808015E-14</v>
      </c>
      <c r="GA138" s="18">
        <f>FZ138*VLOOKUP('Données projet'!$B$17,Paramètres!$A$1:$I$89,3,0)*VLOOKUP('Données projet'!$B$17,Paramètres!$A$1:$I$89,5,0)</f>
        <v>-3.813056537183002E-14</v>
      </c>
      <c r="GB138" s="14" t="e">
        <f t="shared" si="157"/>
        <v>#NUM!</v>
      </c>
      <c r="GC138" s="22" t="e">
        <f t="shared" si="133"/>
        <v>#NUM!</v>
      </c>
      <c r="GD138" s="62" t="e">
        <f t="shared" si="134"/>
        <v>#NUM!</v>
      </c>
      <c r="GE138" s="62">
        <f ca="1">AVERAGE(OFFSET($GD$3,0,0,'Données projet'!$E$17+1,1))-AVERAGE(OFFSET($H$3,0,0,'Données projet'!$E$17+1,1))</f>
        <v>316.17772895535211</v>
      </c>
      <c r="GF138" s="62">
        <f t="shared" si="158"/>
        <v>251.94445589652992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68.139856767748412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3.95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14.483333333333334</v>
      </c>
      <c r="H139" s="70">
        <f t="shared" si="110"/>
        <v>198.73333333333335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3.8</v>
      </c>
      <c r="N139" s="14">
        <f>IF('Données projet'!$A$36&gt;35,N138+M139-V138,IF(A139&lt;'Données projet'!$A$36,$K$205^A139,IF(A139='Données projet'!$A$36,'Données projet'!$B$36,N138+M139-V138)))</f>
        <v>325.79999999999973</v>
      </c>
      <c r="O139" s="14">
        <f>N139*VLOOKUP('Données projet'!$B$9,Paramètres!$A$1:$I$89,3,0)*VLOOKUP('Données projet'!$B$9,Paramètres!$A$1:$I$89,5,0)</f>
        <v>274.45391999999981</v>
      </c>
      <c r="P139" s="14">
        <f t="shared" si="141"/>
        <v>65.793601555534096</v>
      </c>
      <c r="Q139" s="22">
        <f t="shared" si="108"/>
        <v>592.59776670922156</v>
      </c>
      <c r="R139" s="62">
        <f t="shared" si="109"/>
        <v>879.22889572118083</v>
      </c>
      <c r="S139" s="62">
        <f ca="1">AVERAGE(OFFSET($R$3,0,0,'Données projet'!$E$9+1,1))-AVERAGE(OFFSET($H$3,0,0,'Données projet'!$E$9+1,1))</f>
        <v>508.93703669150443</v>
      </c>
      <c r="T139" s="62">
        <f t="shared" si="142"/>
        <v>277.04920840696707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2.7</v>
      </c>
      <c r="AI139" s="14">
        <f>IF('Données projet'!$A$62&gt;35,AI138+AH139-AQ138,IF(A139&lt;'Données projet'!$A$62,$AF$205^A139,IF(A139='Données projet'!$A$62,'Données projet'!$B$62,AI138+AH139-AQ138)))</f>
        <v>285.19999999999931</v>
      </c>
      <c r="AJ139" s="14">
        <f>AI139*VLOOKUP('Données projet'!$B$10,Paramètres!$A$1:$I$89,3,0)*VLOOKUP('Données projet'!$B$10,Paramètres!$A$1:$I$89,5,0)</f>
        <v>258.0489599999994</v>
      </c>
      <c r="AK139" s="14">
        <f t="shared" si="143"/>
        <v>62.306312932555649</v>
      </c>
      <c r="AL139" s="22">
        <f t="shared" si="112"/>
        <v>557.95210035753337</v>
      </c>
      <c r="AM139" s="62">
        <f t="shared" si="113"/>
        <v>844.58322936949276</v>
      </c>
      <c r="AN139" s="62">
        <f ca="1">AVERAGE(OFFSET($AM$3,0,0,'Données projet'!$E$10+1,1))-AVERAGE(OFFSET($H$3,0,0,'Données projet'!$E$10+1,1))</f>
        <v>461.10503306101145</v>
      </c>
      <c r="AO139" s="62">
        <f t="shared" si="144"/>
        <v>262.10652147273288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-2.2737367544323206E-13</v>
      </c>
      <c r="BE139" s="14">
        <f>BD139*VLOOKUP('Données projet'!$B$11,Paramètres!$A$1:$I$89,3,0)*VLOOKUP('Données projet'!$B$11,Paramètres!$A$1:$I$89,5,0)</f>
        <v>-1.8089849618263545E-13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389.67854939311752</v>
      </c>
      <c r="BJ139" s="62">
        <f t="shared" si="146"/>
        <v>420.05189970516096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-1.0516032489249483E-12</v>
      </c>
      <c r="BZ139" s="14">
        <f>BY139*VLOOKUP('Données projet'!$B$12,Paramètres!$A$1:$I$89,3,0)*VLOOKUP('Données projet'!$B$12,Paramètres!$A$1:$I$89,5,0)</f>
        <v>-6.0151705838507046E-13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312.16891625633968</v>
      </c>
      <c r="CE139" s="62">
        <f t="shared" si="148"/>
        <v>215.34305815516177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0.63570620629169394</v>
      </c>
      <c r="CM139" s="23">
        <f>EXP(-LN(2)/2)*CM138+(1-EXP(-LN(2)/2))/(LN(2)/2)*CG139*CJ139*VLOOKUP('Données projet'!$B$12,Paramètres!$A$1:$I$89,3,0)*0.475*44/12</f>
        <v>9.0456426198699022E-16</v>
      </c>
      <c r="CN139" s="24">
        <f t="shared" si="120"/>
        <v>0.63570620629169483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3.979039320256561E-13</v>
      </c>
      <c r="CU139" s="18">
        <f>CT139*VLOOKUP('Données projet'!$B$13,Paramètres!$A$1:$I$89,3,0)*VLOOKUP('Données projet'!$B$13,Paramètres!$A$1:$I$89,5,0)</f>
        <v>2.669139576028101E-13</v>
      </c>
      <c r="CV139" s="14">
        <f t="shared" si="149"/>
        <v>3.5767923834585247E-12</v>
      </c>
      <c r="CW139" s="22">
        <f t="shared" si="121"/>
        <v>6.6944552106818241E-12</v>
      </c>
      <c r="CX139" s="62">
        <f t="shared" si="122"/>
        <v>286.63112901196604</v>
      </c>
      <c r="CY139" s="62">
        <f ca="1">AVERAGE(OFFSET($CX$3,0,0,'Données projet'!$E$13+1,1))-AVERAGE(OFFSET($H$3,0,0,'Données projet'!$E$13+1,1))</f>
        <v>369.04754428478793</v>
      </c>
      <c r="CZ139" s="62">
        <f t="shared" si="150"/>
        <v>277.00523259351712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1.1368683772161603E-13</v>
      </c>
      <c r="DP139" s="18">
        <f>DO139*VLOOKUP('Données projet'!$B$14,Paramètres!$A$1:$I$89,3,0)*VLOOKUP('Données projet'!$B$14,Paramètres!$A$1:$I$89,5,0)</f>
        <v>8.8675733422860506E-14</v>
      </c>
      <c r="DQ139" s="14">
        <f t="shared" si="151"/>
        <v>1.3509285393066301E-12</v>
      </c>
      <c r="DR139" s="22">
        <f t="shared" si="124"/>
        <v>2.5073107750038623E-12</v>
      </c>
      <c r="DS139" s="62">
        <f t="shared" si="125"/>
        <v>286.63112901196183</v>
      </c>
      <c r="DT139" s="62">
        <f ca="1">AVERAGE(OFFSET($DS$3,0,0,'Données projet'!$E$14+1,1))-AVERAGE(OFFSET($H$3,0,0,'Données projet'!$E$14+1,1))</f>
        <v>308.39181291575227</v>
      </c>
      <c r="DU139" s="62">
        <f t="shared" si="152"/>
        <v>298.58225298824334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2.7</v>
      </c>
      <c r="EJ139" s="13">
        <f>IF('Données projet'!$A$192&gt;35,EJ138+EI139-ER138,IF(A139&lt;'Données projet'!$A$192,$EG$205^A139,IF(A139='Données projet'!$A$192,'Données projet'!$B$192,EJ138+EI139-ER138)))</f>
        <v>285.19999999999931</v>
      </c>
      <c r="EK139" s="18">
        <f>EJ139*VLOOKUP('Données projet'!$B$15,Paramètres!$A$1:$I$89,3,0)*VLOOKUP('Données projet'!$B$15,Paramètres!$A$1:$I$89,5,0)</f>
        <v>275.84543999999931</v>
      </c>
      <c r="EL139" s="14">
        <f t="shared" si="153"/>
        <v>66.088268521855113</v>
      </c>
      <c r="EM139" s="22">
        <f t="shared" si="127"/>
        <v>595.53454234222977</v>
      </c>
      <c r="EN139" s="62">
        <f t="shared" si="128"/>
        <v>882.16567135418904</v>
      </c>
      <c r="EO139" s="62">
        <f ca="1">AVERAGE(OFFSET($EN$3,0,0,'Données projet'!$E$15+1,1))-AVERAGE(OFFSET($H$3,0,0,'Données projet'!$E$15+1,1))</f>
        <v>487.76433095707876</v>
      </c>
      <c r="EP139" s="62">
        <f t="shared" si="154"/>
        <v>276.24209151398361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2.7</v>
      </c>
      <c r="FE139" s="13">
        <f>IF('Données projet'!$A$218&gt;35,FE138+FD139-FM138,IF(A139&lt;'Données projet'!$A$218,$FB$205^A139,IF(A139='Données projet'!$A$218,'Données projet'!$B$218,FE138+FD139-FM138)))</f>
        <v>285.19999999999931</v>
      </c>
      <c r="FF139" s="18">
        <f>FE139*VLOOKUP('Données projet'!$B$16,Paramètres!$A$1:$I$89,3,0)*VLOOKUP('Données projet'!$B$16,Paramètres!$A$1:$I$89,5,0)</f>
        <v>306.98927999999921</v>
      </c>
      <c r="FG139" s="14">
        <f t="shared" si="155"/>
        <v>72.639715316458506</v>
      </c>
      <c r="FH139" s="22">
        <f t="shared" si="130"/>
        <v>661.18716684283038</v>
      </c>
      <c r="FI139" s="62">
        <f t="shared" si="131"/>
        <v>947.81829585478977</v>
      </c>
      <c r="FJ139" s="62">
        <f ca="1">AVERAGE(OFFSET($FI$3,0,0,'Données projet'!$E$16+1,1))-AVERAGE(OFFSET($H$3,0,0,'Données projet'!$E$16+1,1))</f>
        <v>534.33392288300456</v>
      </c>
      <c r="FK139" s="62">
        <f t="shared" si="156"/>
        <v>300.93109615735477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-5.6843418860808015E-14</v>
      </c>
      <c r="GA139" s="18">
        <f>FZ139*VLOOKUP('Données projet'!$B$17,Paramètres!$A$1:$I$89,3,0)*VLOOKUP('Données projet'!$B$17,Paramètres!$A$1:$I$89,5,0)</f>
        <v>-3.813056537183002E-14</v>
      </c>
      <c r="GB139" s="14" t="e">
        <f t="shared" si="157"/>
        <v>#NUM!</v>
      </c>
      <c r="GC139" s="22" t="e">
        <f t="shared" si="133"/>
        <v>#NUM!</v>
      </c>
      <c r="GD139" s="62" t="e">
        <f t="shared" si="134"/>
        <v>#NUM!</v>
      </c>
      <c r="GE139" s="62">
        <f ca="1">AVERAGE(OFFSET($GD$3,0,0,'Données projet'!$E$17+1,1))-AVERAGE(OFFSET($H$3,0,0,'Données projet'!$E$17+1,1))</f>
        <v>316.17772895535211</v>
      </c>
      <c r="GF139" s="62">
        <f t="shared" si="158"/>
        <v>251.94445589652992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68.172126094170721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3.95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14.483333333333334</v>
      </c>
      <c r="H140" s="70">
        <f t="shared" si="110"/>
        <v>198.73333333333335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3.8</v>
      </c>
      <c r="N140" s="14">
        <f>IF('Données projet'!$A$36&gt;35,N139+M140-V139,IF(A140&lt;'Données projet'!$A$36,$K$205^A140,IF(A140='Données projet'!$A$36,'Données projet'!$B$36,N139+M140-V139)))</f>
        <v>329.59999999999974</v>
      </c>
      <c r="O140" s="14">
        <f>N140*VLOOKUP('Données projet'!$B$9,Paramètres!$A$1:$I$89,3,0)*VLOOKUP('Données projet'!$B$9,Paramètres!$A$1:$I$89,5,0)</f>
        <v>277.65503999999981</v>
      </c>
      <c r="P140" s="14">
        <f t="shared" si="141"/>
        <v>66.47120912437552</v>
      </c>
      <c r="Q140" s="22">
        <f t="shared" si="108"/>
        <v>599.35321722495371</v>
      </c>
      <c r="R140" s="62">
        <f t="shared" si="109"/>
        <v>886.10061449800469</v>
      </c>
      <c r="S140" s="62">
        <f ca="1">AVERAGE(OFFSET($R$3,0,0,'Données projet'!$E$9+1,1))-AVERAGE(OFFSET($H$3,0,0,'Données projet'!$E$9+1,1))</f>
        <v>508.93703669150443</v>
      </c>
      <c r="T140" s="62">
        <f t="shared" si="142"/>
        <v>277.04920840696707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2.7</v>
      </c>
      <c r="AI140" s="14">
        <f>IF('Données projet'!$A$62&gt;35,AI139+AH140-AQ139,IF(A140&lt;'Données projet'!$A$62,$AF$205^A140,IF(A140='Données projet'!$A$62,'Données projet'!$B$62,AI139+AH140-AQ139)))</f>
        <v>287.8999999999993</v>
      </c>
      <c r="AJ140" s="14">
        <f>AI140*VLOOKUP('Données projet'!$B$10,Paramètres!$A$1:$I$89,3,0)*VLOOKUP('Données projet'!$B$10,Paramètres!$A$1:$I$89,5,0)</f>
        <v>260.49191999999937</v>
      </c>
      <c r="AK140" s="14">
        <f t="shared" si="143"/>
        <v>62.827223883029681</v>
      </c>
      <c r="AL140" s="22">
        <f t="shared" si="112"/>
        <v>563.11417559627546</v>
      </c>
      <c r="AM140" s="62">
        <f t="shared" si="113"/>
        <v>849.86157286932644</v>
      </c>
      <c r="AN140" s="62">
        <f ca="1">AVERAGE(OFFSET($AM$3,0,0,'Données projet'!$E$10+1,1))-AVERAGE(OFFSET($H$3,0,0,'Données projet'!$E$10+1,1))</f>
        <v>461.10503306101145</v>
      </c>
      <c r="AO140" s="62">
        <f t="shared" si="144"/>
        <v>262.10652147273288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-2.2737367544323206E-13</v>
      </c>
      <c r="BE140" s="14">
        <f>BD140*VLOOKUP('Données projet'!$B$11,Paramètres!$A$1:$I$89,3,0)*VLOOKUP('Données projet'!$B$11,Paramètres!$A$1:$I$89,5,0)</f>
        <v>-1.8089849618263545E-13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389.67854939311752</v>
      </c>
      <c r="BJ140" s="62">
        <f t="shared" si="146"/>
        <v>420.05189970516096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-1.0516032489249483E-12</v>
      </c>
      <c r="BZ140" s="14">
        <f>BY140*VLOOKUP('Données projet'!$B$12,Paramètres!$A$1:$I$89,3,0)*VLOOKUP('Données projet'!$B$12,Paramètres!$A$1:$I$89,5,0)</f>
        <v>-6.0151705838507046E-13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312.16891625633968</v>
      </c>
      <c r="CE140" s="62">
        <f t="shared" si="148"/>
        <v>215.34305815516177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0.61832278665031115</v>
      </c>
      <c r="CM140" s="23">
        <f>EXP(-LN(2)/2)*CM139+(1-EXP(-LN(2)/2))/(LN(2)/2)*CG140*CJ140*VLOOKUP('Données projet'!$B$12,Paramètres!$A$1:$I$89,3,0)*0.475*44/12</f>
        <v>6.3962352367000554E-16</v>
      </c>
      <c r="CN140" s="24">
        <f t="shared" si="120"/>
        <v>0.61832278665031182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3.979039320256561E-13</v>
      </c>
      <c r="CU140" s="18">
        <f>CT140*VLOOKUP('Données projet'!$B$13,Paramètres!$A$1:$I$89,3,0)*VLOOKUP('Données projet'!$B$13,Paramètres!$A$1:$I$89,5,0)</f>
        <v>2.669139576028101E-13</v>
      </c>
      <c r="CV140" s="14">
        <f t="shared" si="149"/>
        <v>3.5767923834585247E-12</v>
      </c>
      <c r="CW140" s="22">
        <f t="shared" si="121"/>
        <v>6.6944552106818241E-12</v>
      </c>
      <c r="CX140" s="62">
        <f t="shared" si="122"/>
        <v>286.74739727305774</v>
      </c>
      <c r="CY140" s="62">
        <f ca="1">AVERAGE(OFFSET($CX$3,0,0,'Données projet'!$E$13+1,1))-AVERAGE(OFFSET($H$3,0,0,'Données projet'!$E$13+1,1))</f>
        <v>369.04754428478793</v>
      </c>
      <c r="CZ140" s="62">
        <f t="shared" si="150"/>
        <v>277.00523259351712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1.1368683772161603E-13</v>
      </c>
      <c r="DP140" s="18">
        <f>DO140*VLOOKUP('Données projet'!$B$14,Paramètres!$A$1:$I$89,3,0)*VLOOKUP('Données projet'!$B$14,Paramètres!$A$1:$I$89,5,0)</f>
        <v>8.8675733422860506E-14</v>
      </c>
      <c r="DQ140" s="14">
        <f t="shared" si="151"/>
        <v>1.3509285393066301E-12</v>
      </c>
      <c r="DR140" s="22">
        <f t="shared" si="124"/>
        <v>2.5073107750038623E-12</v>
      </c>
      <c r="DS140" s="62">
        <f t="shared" si="125"/>
        <v>286.74739727305354</v>
      </c>
      <c r="DT140" s="62">
        <f ca="1">AVERAGE(OFFSET($DS$3,0,0,'Données projet'!$E$14+1,1))-AVERAGE(OFFSET($H$3,0,0,'Données projet'!$E$14+1,1))</f>
        <v>308.39181291575227</v>
      </c>
      <c r="DU140" s="62">
        <f t="shared" si="152"/>
        <v>298.58225298824334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2.7</v>
      </c>
      <c r="EJ140" s="13">
        <f>IF('Données projet'!$A$192&gt;35,EJ139+EI140-ER139,IF(A140&lt;'Données projet'!$A$192,$EG$205^A140,IF(A140='Données projet'!$A$192,'Données projet'!$B$192,EJ139+EI140-ER139)))</f>
        <v>287.8999999999993</v>
      </c>
      <c r="EK140" s="18">
        <f>EJ140*VLOOKUP('Données projet'!$B$15,Paramètres!$A$1:$I$89,3,0)*VLOOKUP('Données projet'!$B$15,Paramètres!$A$1:$I$89,5,0)</f>
        <v>278.45687999999933</v>
      </c>
      <c r="EL140" s="14">
        <f t="shared" si="153"/>
        <v>66.640798452620999</v>
      </c>
      <c r="EM140" s="22">
        <f t="shared" si="127"/>
        <v>601.04512330498039</v>
      </c>
      <c r="EN140" s="62">
        <f t="shared" si="128"/>
        <v>887.79252057803137</v>
      </c>
      <c r="EO140" s="62">
        <f ca="1">AVERAGE(OFFSET($EN$3,0,0,'Données projet'!$E$15+1,1))-AVERAGE(OFFSET($H$3,0,0,'Données projet'!$E$15+1,1))</f>
        <v>487.76433095707876</v>
      </c>
      <c r="EP140" s="62">
        <f t="shared" si="154"/>
        <v>276.24209151398361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2.7</v>
      </c>
      <c r="FE140" s="13">
        <f>IF('Données projet'!$A$218&gt;35,FE139+FD140-FM139,IF(A140&lt;'Données projet'!$A$218,$FB$205^A140,IF(A140='Données projet'!$A$218,'Données projet'!$B$218,FE139+FD140-FM139)))</f>
        <v>287.8999999999993</v>
      </c>
      <c r="FF140" s="18">
        <f>FE140*VLOOKUP('Données projet'!$B$16,Paramètres!$A$1:$I$89,3,0)*VLOOKUP('Données projet'!$B$16,Paramètres!$A$1:$I$89,5,0)</f>
        <v>309.89555999999925</v>
      </c>
      <c r="FG140" s="14">
        <f t="shared" si="155"/>
        <v>73.247018515231034</v>
      </c>
      <c r="FH140" s="22">
        <f t="shared" si="130"/>
        <v>667.30665758069279</v>
      </c>
      <c r="FI140" s="62">
        <f t="shared" si="131"/>
        <v>954.05405485374376</v>
      </c>
      <c r="FJ140" s="62">
        <f ca="1">AVERAGE(OFFSET($FI$3,0,0,'Données projet'!$E$16+1,1))-AVERAGE(OFFSET($H$3,0,0,'Données projet'!$E$16+1,1))</f>
        <v>534.33392288300456</v>
      </c>
      <c r="FK140" s="62">
        <f t="shared" si="156"/>
        <v>300.93109615735477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-5.6843418860808015E-14</v>
      </c>
      <c r="GA140" s="18">
        <f>FZ140*VLOOKUP('Données projet'!$B$17,Paramètres!$A$1:$I$89,3,0)*VLOOKUP('Données projet'!$B$17,Paramètres!$A$1:$I$89,5,0)</f>
        <v>-3.813056537183002E-14</v>
      </c>
      <c r="GB140" s="14" t="e">
        <f t="shared" si="157"/>
        <v>#NUM!</v>
      </c>
      <c r="GC140" s="22" t="e">
        <f t="shared" si="133"/>
        <v>#NUM!</v>
      </c>
      <c r="GD140" s="62" t="e">
        <f t="shared" si="134"/>
        <v>#NUM!</v>
      </c>
      <c r="GE140" s="62">
        <f ca="1">AVERAGE(OFFSET($GD$3,0,0,'Données projet'!$E$17+1,1))-AVERAGE(OFFSET($H$3,0,0,'Données projet'!$E$17+1,1))</f>
        <v>316.17772895535211</v>
      </c>
      <c r="GF140" s="62">
        <f t="shared" si="158"/>
        <v>251.94445589652992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68.203835619923012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3.95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14.483333333333334</v>
      </c>
      <c r="H141" s="70">
        <f t="shared" si="110"/>
        <v>198.73333333333335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3.8</v>
      </c>
      <c r="N141" s="14">
        <f>IF('Données projet'!$A$36&gt;35,N140+M141-V140,IF(A141&lt;'Données projet'!$A$36,$K$205^A141,IF(A141='Données projet'!$A$36,'Données projet'!$B$36,N140+M141-V140)))</f>
        <v>333.39999999999975</v>
      </c>
      <c r="O141" s="14">
        <f>N141*VLOOKUP('Données projet'!$B$9,Paramètres!$A$1:$I$89,3,0)*VLOOKUP('Données projet'!$B$9,Paramètres!$A$1:$I$89,5,0)</f>
        <v>280.85615999999982</v>
      </c>
      <c r="P141" s="14">
        <f t="shared" si="141"/>
        <v>67.147907939039882</v>
      </c>
      <c r="Q141" s="22">
        <f t="shared" si="108"/>
        <v>606.10708499382747</v>
      </c>
      <c r="R141" s="62">
        <f t="shared" si="109"/>
        <v>892.96873353357716</v>
      </c>
      <c r="S141" s="62">
        <f ca="1">AVERAGE(OFFSET($R$3,0,0,'Données projet'!$E$9+1,1))-AVERAGE(OFFSET($H$3,0,0,'Données projet'!$E$9+1,1))</f>
        <v>508.93703669150443</v>
      </c>
      <c r="T141" s="62">
        <f t="shared" si="142"/>
        <v>277.04920840696707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2.7</v>
      </c>
      <c r="AI141" s="14">
        <f>IF('Données projet'!$A$62&gt;35,AI140+AH141-AQ140,IF(A141&lt;'Données projet'!$A$62,$AF$205^A141,IF(A141='Données projet'!$A$62,'Données projet'!$B$62,AI140+AH141-AQ140)))</f>
        <v>290.59999999999928</v>
      </c>
      <c r="AJ141" s="14">
        <f>AI141*VLOOKUP('Données projet'!$B$10,Paramètres!$A$1:$I$89,3,0)*VLOOKUP('Données projet'!$B$10,Paramètres!$A$1:$I$89,5,0)</f>
        <v>262.93487999999934</v>
      </c>
      <c r="AK141" s="14">
        <f t="shared" si="143"/>
        <v>63.347566493432652</v>
      </c>
      <c r="AL141" s="22">
        <f t="shared" si="112"/>
        <v>568.27526097606062</v>
      </c>
      <c r="AM141" s="62">
        <f t="shared" si="113"/>
        <v>855.13690951581032</v>
      </c>
      <c r="AN141" s="62">
        <f ca="1">AVERAGE(OFFSET($AM$3,0,0,'Données projet'!$E$10+1,1))-AVERAGE(OFFSET($H$3,0,0,'Données projet'!$E$10+1,1))</f>
        <v>461.10503306101145</v>
      </c>
      <c r="AO141" s="62">
        <f t="shared" si="144"/>
        <v>262.10652147273288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-2.2737367544323206E-13</v>
      </c>
      <c r="BE141" s="14">
        <f>BD141*VLOOKUP('Données projet'!$B$11,Paramètres!$A$1:$I$89,3,0)*VLOOKUP('Données projet'!$B$11,Paramètres!$A$1:$I$89,5,0)</f>
        <v>-1.8089849618263545E-13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389.67854939311752</v>
      </c>
      <c r="BJ141" s="62">
        <f t="shared" si="146"/>
        <v>420.05189970516096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-1.0516032489249483E-12</v>
      </c>
      <c r="BZ141" s="14">
        <f>BY141*VLOOKUP('Données projet'!$B$12,Paramètres!$A$1:$I$89,3,0)*VLOOKUP('Données projet'!$B$12,Paramètres!$A$1:$I$89,5,0)</f>
        <v>-6.0151705838507046E-13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312.16891625633968</v>
      </c>
      <c r="CE141" s="62">
        <f t="shared" si="148"/>
        <v>215.34305815516177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0.60141471753317621</v>
      </c>
      <c r="CM141" s="23">
        <f>EXP(-LN(2)/2)*CM140+(1-EXP(-LN(2)/2))/(LN(2)/2)*CG141*CJ141*VLOOKUP('Données projet'!$B$12,Paramètres!$A$1:$I$89,3,0)*0.475*44/12</f>
        <v>4.5228213099349511E-16</v>
      </c>
      <c r="CN141" s="24">
        <f t="shared" si="120"/>
        <v>0.60141471753317666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3.979039320256561E-13</v>
      </c>
      <c r="CU141" s="18">
        <f>CT141*VLOOKUP('Données projet'!$B$13,Paramètres!$A$1:$I$89,3,0)*VLOOKUP('Données projet'!$B$13,Paramètres!$A$1:$I$89,5,0)</f>
        <v>2.669139576028101E-13</v>
      </c>
      <c r="CV141" s="14">
        <f t="shared" si="149"/>
        <v>3.5767923834585247E-12</v>
      </c>
      <c r="CW141" s="22">
        <f t="shared" si="121"/>
        <v>6.6944552106818241E-12</v>
      </c>
      <c r="CX141" s="62">
        <f t="shared" si="122"/>
        <v>286.8616485397564</v>
      </c>
      <c r="CY141" s="62">
        <f ca="1">AVERAGE(OFFSET($CX$3,0,0,'Données projet'!$E$13+1,1))-AVERAGE(OFFSET($H$3,0,0,'Données projet'!$E$13+1,1))</f>
        <v>369.04754428478793</v>
      </c>
      <c r="CZ141" s="62">
        <f t="shared" si="150"/>
        <v>277.00523259351712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1.1368683772161603E-13</v>
      </c>
      <c r="DP141" s="18">
        <f>DO141*VLOOKUP('Données projet'!$B$14,Paramètres!$A$1:$I$89,3,0)*VLOOKUP('Données projet'!$B$14,Paramètres!$A$1:$I$89,5,0)</f>
        <v>8.8675733422860506E-14</v>
      </c>
      <c r="DQ141" s="14">
        <f t="shared" si="151"/>
        <v>1.3509285393066301E-12</v>
      </c>
      <c r="DR141" s="22">
        <f t="shared" si="124"/>
        <v>2.5073107750038623E-12</v>
      </c>
      <c r="DS141" s="62">
        <f t="shared" si="125"/>
        <v>286.8616485397522</v>
      </c>
      <c r="DT141" s="62">
        <f ca="1">AVERAGE(OFFSET($DS$3,0,0,'Données projet'!$E$14+1,1))-AVERAGE(OFFSET($H$3,0,0,'Données projet'!$E$14+1,1))</f>
        <v>308.39181291575227</v>
      </c>
      <c r="DU141" s="62">
        <f t="shared" si="152"/>
        <v>298.58225298824334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2.7</v>
      </c>
      <c r="EJ141" s="13">
        <f>IF('Données projet'!$A$192&gt;35,EJ140+EI141-ER140,IF(A141&lt;'Données projet'!$A$192,$EG$205^A141,IF(A141='Données projet'!$A$192,'Données projet'!$B$192,EJ140+EI141-ER140)))</f>
        <v>290.59999999999928</v>
      </c>
      <c r="EK141" s="18">
        <f>EJ141*VLOOKUP('Données projet'!$B$15,Paramètres!$A$1:$I$89,3,0)*VLOOKUP('Données projet'!$B$15,Paramètres!$A$1:$I$89,5,0)</f>
        <v>281.06831999999929</v>
      </c>
      <c r="EL141" s="14">
        <f t="shared" si="153"/>
        <v>67.192725545416536</v>
      </c>
      <c r="EM141" s="22">
        <f t="shared" si="127"/>
        <v>606.55465432493247</v>
      </c>
      <c r="EN141" s="62">
        <f t="shared" si="128"/>
        <v>893.41630286468217</v>
      </c>
      <c r="EO141" s="62">
        <f ca="1">AVERAGE(OFFSET($EN$3,0,0,'Données projet'!$E$15+1,1))-AVERAGE(OFFSET($H$3,0,0,'Données projet'!$E$15+1,1))</f>
        <v>487.76433095707876</v>
      </c>
      <c r="EP141" s="62">
        <f t="shared" si="154"/>
        <v>276.24209151398361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2.7</v>
      </c>
      <c r="FE141" s="13">
        <f>IF('Données projet'!$A$218&gt;35,FE140+FD141-FM140,IF(A141&lt;'Données projet'!$A$218,$FB$205^A141,IF(A141='Données projet'!$A$218,'Données projet'!$B$218,FE140+FD141-FM140)))</f>
        <v>290.59999999999928</v>
      </c>
      <c r="FF141" s="18">
        <f>FE141*VLOOKUP('Données projet'!$B$16,Paramètres!$A$1:$I$89,3,0)*VLOOKUP('Données projet'!$B$16,Paramètres!$A$1:$I$89,5,0)</f>
        <v>312.80183999999923</v>
      </c>
      <c r="FG141" s="14">
        <f t="shared" si="155"/>
        <v>73.853659115640255</v>
      </c>
      <c r="FH141" s="22">
        <f t="shared" si="130"/>
        <v>673.42499429307202</v>
      </c>
      <c r="FI141" s="62">
        <f t="shared" si="131"/>
        <v>960.28664283282171</v>
      </c>
      <c r="FJ141" s="62">
        <f ca="1">AVERAGE(OFFSET($FI$3,0,0,'Données projet'!$E$16+1,1))-AVERAGE(OFFSET($H$3,0,0,'Données projet'!$E$16+1,1))</f>
        <v>534.33392288300456</v>
      </c>
      <c r="FK141" s="62">
        <f t="shared" si="156"/>
        <v>300.93109615735477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-5.6843418860808015E-14</v>
      </c>
      <c r="GA141" s="18">
        <f>FZ141*VLOOKUP('Données projet'!$B$17,Paramètres!$A$1:$I$89,3,0)*VLOOKUP('Données projet'!$B$17,Paramètres!$A$1:$I$89,5,0)</f>
        <v>-3.813056537183002E-14</v>
      </c>
      <c r="GB141" s="14" t="e">
        <f t="shared" si="157"/>
        <v>#NUM!</v>
      </c>
      <c r="GC141" s="22" t="e">
        <f t="shared" si="133"/>
        <v>#NUM!</v>
      </c>
      <c r="GD141" s="62" t="e">
        <f t="shared" si="134"/>
        <v>#NUM!</v>
      </c>
      <c r="GE141" s="62">
        <f ca="1">AVERAGE(OFFSET($GD$3,0,0,'Données projet'!$E$17+1,1))-AVERAGE(OFFSET($H$3,0,0,'Données projet'!$E$17+1,1))</f>
        <v>316.17772895535211</v>
      </c>
      <c r="GF141" s="62">
        <f t="shared" si="158"/>
        <v>251.94445589652992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68.234995056295375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3.95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14.483333333333334</v>
      </c>
      <c r="H142" s="70">
        <f t="shared" si="110"/>
        <v>198.73333333333335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3.8</v>
      </c>
      <c r="N142" s="14">
        <f>IF('Données projet'!$A$36&gt;35,N141+M142-V141,IF(A142&lt;'Données projet'!$A$36,$K$205^A142,IF(A142='Données projet'!$A$36,'Données projet'!$B$36,N141+M142-V141)))</f>
        <v>337.19999999999976</v>
      </c>
      <c r="O142" s="14">
        <f>N142*VLOOKUP('Données projet'!$B$9,Paramètres!$A$1:$I$89,3,0)*VLOOKUP('Données projet'!$B$9,Paramètres!$A$1:$I$89,5,0)</f>
        <v>284.05727999999982</v>
      </c>
      <c r="P142" s="14">
        <f t="shared" si="141"/>
        <v>67.823709555728385</v>
      </c>
      <c r="Q142" s="22">
        <f t="shared" si="108"/>
        <v>612.85939014289329</v>
      </c>
      <c r="R142" s="62">
        <f t="shared" si="109"/>
        <v>899.83330794529206</v>
      </c>
      <c r="S142" s="62">
        <f ca="1">AVERAGE(OFFSET($R$3,0,0,'Données projet'!$E$9+1,1))-AVERAGE(OFFSET($H$3,0,0,'Données projet'!$E$9+1,1))</f>
        <v>508.93703669150443</v>
      </c>
      <c r="T142" s="62">
        <f t="shared" si="142"/>
        <v>277.04920840696707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2.7</v>
      </c>
      <c r="AI142" s="14">
        <f>IF('Données projet'!$A$62&gt;35,AI141+AH142-AQ141,IF(A142&lt;'Données projet'!$A$62,$AF$205^A142,IF(A142='Données projet'!$A$62,'Données projet'!$B$62,AI141+AH142-AQ141)))</f>
        <v>293.29999999999927</v>
      </c>
      <c r="AJ142" s="14">
        <f>AI142*VLOOKUP('Données projet'!$B$10,Paramètres!$A$1:$I$89,3,0)*VLOOKUP('Données projet'!$B$10,Paramètres!$A$1:$I$89,5,0)</f>
        <v>265.37783999999937</v>
      </c>
      <c r="AK142" s="14">
        <f t="shared" si="143"/>
        <v>63.867346655917089</v>
      </c>
      <c r="AL142" s="22">
        <f t="shared" si="112"/>
        <v>573.43536675905443</v>
      </c>
      <c r="AM142" s="62">
        <f t="shared" si="113"/>
        <v>860.40928456145321</v>
      </c>
      <c r="AN142" s="62">
        <f ca="1">AVERAGE(OFFSET($AM$3,0,0,'Données projet'!$E$10+1,1))-AVERAGE(OFFSET($H$3,0,0,'Données projet'!$E$10+1,1))</f>
        <v>461.10503306101145</v>
      </c>
      <c r="AO142" s="62">
        <f t="shared" si="144"/>
        <v>262.10652147273288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-2.2737367544323206E-13</v>
      </c>
      <c r="BE142" s="14">
        <f>BD142*VLOOKUP('Données projet'!$B$11,Paramètres!$A$1:$I$89,3,0)*VLOOKUP('Données projet'!$B$11,Paramètres!$A$1:$I$89,5,0)</f>
        <v>-1.8089849618263545E-13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389.67854939311752</v>
      </c>
      <c r="BJ142" s="62">
        <f t="shared" si="146"/>
        <v>420.05189970516096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-1.0516032489249483E-12</v>
      </c>
      <c r="BZ142" s="14">
        <f>BY142*VLOOKUP('Données projet'!$B$12,Paramètres!$A$1:$I$89,3,0)*VLOOKUP('Données projet'!$B$12,Paramètres!$A$1:$I$89,5,0)</f>
        <v>-6.0151705838507046E-13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312.16891625633968</v>
      </c>
      <c r="CE142" s="62">
        <f t="shared" si="148"/>
        <v>215.34305815516177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0.58496900045520606</v>
      </c>
      <c r="CM142" s="23">
        <f>EXP(-LN(2)/2)*CM141+(1-EXP(-LN(2)/2))/(LN(2)/2)*CG142*CJ142*VLOOKUP('Données projet'!$B$12,Paramètres!$A$1:$I$89,3,0)*0.475*44/12</f>
        <v>3.1981176183500277E-16</v>
      </c>
      <c r="CN142" s="24">
        <f t="shared" si="120"/>
        <v>0.58496900045520639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3.979039320256561E-13</v>
      </c>
      <c r="CU142" s="18">
        <f>CT142*VLOOKUP('Données projet'!$B$13,Paramètres!$A$1:$I$89,3,0)*VLOOKUP('Données projet'!$B$13,Paramètres!$A$1:$I$89,5,0)</f>
        <v>2.669139576028101E-13</v>
      </c>
      <c r="CV142" s="14">
        <f t="shared" si="149"/>
        <v>3.5767923834585247E-12</v>
      </c>
      <c r="CW142" s="22">
        <f t="shared" si="121"/>
        <v>6.6944552106818241E-12</v>
      </c>
      <c r="CX142" s="62">
        <f t="shared" si="122"/>
        <v>286.97391780240542</v>
      </c>
      <c r="CY142" s="62">
        <f ca="1">AVERAGE(OFFSET($CX$3,0,0,'Données projet'!$E$13+1,1))-AVERAGE(OFFSET($H$3,0,0,'Données projet'!$E$13+1,1))</f>
        <v>369.04754428478793</v>
      </c>
      <c r="CZ142" s="62">
        <f t="shared" si="150"/>
        <v>277.00523259351712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1.1368683772161603E-13</v>
      </c>
      <c r="DP142" s="18">
        <f>DO142*VLOOKUP('Données projet'!$B$14,Paramètres!$A$1:$I$89,3,0)*VLOOKUP('Données projet'!$B$14,Paramètres!$A$1:$I$89,5,0)</f>
        <v>8.8675733422860506E-14</v>
      </c>
      <c r="DQ142" s="14">
        <f t="shared" si="151"/>
        <v>1.3509285393066301E-12</v>
      </c>
      <c r="DR142" s="22">
        <f t="shared" si="124"/>
        <v>2.5073107750038623E-12</v>
      </c>
      <c r="DS142" s="62">
        <f t="shared" si="125"/>
        <v>286.97391780240122</v>
      </c>
      <c r="DT142" s="62">
        <f ca="1">AVERAGE(OFFSET($DS$3,0,0,'Données projet'!$E$14+1,1))-AVERAGE(OFFSET($H$3,0,0,'Données projet'!$E$14+1,1))</f>
        <v>308.39181291575227</v>
      </c>
      <c r="DU142" s="62">
        <f t="shared" si="152"/>
        <v>298.58225298824334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2.7</v>
      </c>
      <c r="EJ142" s="13">
        <f>IF('Données projet'!$A$192&gt;35,EJ141+EI142-ER141,IF(A142&lt;'Données projet'!$A$192,$EG$205^A142,IF(A142='Données projet'!$A$192,'Données projet'!$B$192,EJ141+EI142-ER141)))</f>
        <v>293.29999999999927</v>
      </c>
      <c r="EK142" s="18">
        <f>EJ142*VLOOKUP('Données projet'!$B$15,Paramètres!$A$1:$I$89,3,0)*VLOOKUP('Données projet'!$B$15,Paramètres!$A$1:$I$89,5,0)</f>
        <v>283.67975999999931</v>
      </c>
      <c r="EL142" s="14">
        <f t="shared" si="153"/>
        <v>67.74405605004435</v>
      </c>
      <c r="EM142" s="22">
        <f t="shared" si="127"/>
        <v>612.06314628715938</v>
      </c>
      <c r="EN142" s="62">
        <f t="shared" si="128"/>
        <v>899.03706408955804</v>
      </c>
      <c r="EO142" s="62">
        <f ca="1">AVERAGE(OFFSET($EN$3,0,0,'Données projet'!$E$15+1,1))-AVERAGE(OFFSET($H$3,0,0,'Données projet'!$E$15+1,1))</f>
        <v>487.76433095707876</v>
      </c>
      <c r="EP142" s="62">
        <f t="shared" si="154"/>
        <v>276.24209151398361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2.7</v>
      </c>
      <c r="FE142" s="13">
        <f>IF('Données projet'!$A$218&gt;35,FE141+FD142-FM141,IF(A142&lt;'Données projet'!$A$218,$FB$205^A142,IF(A142='Données projet'!$A$218,'Données projet'!$B$218,FE141+FD142-FM141)))</f>
        <v>293.29999999999927</v>
      </c>
      <c r="FF142" s="18">
        <f>FE142*VLOOKUP('Données projet'!$B$16,Paramètres!$A$1:$I$89,3,0)*VLOOKUP('Données projet'!$B$16,Paramètres!$A$1:$I$89,5,0)</f>
        <v>315.70811999999916</v>
      </c>
      <c r="FG142" s="14">
        <f t="shared" si="155"/>
        <v>74.459643987042966</v>
      </c>
      <c r="FH142" s="22">
        <f t="shared" si="130"/>
        <v>679.54218894409837</v>
      </c>
      <c r="FI142" s="62">
        <f t="shared" si="131"/>
        <v>966.51610674649714</v>
      </c>
      <c r="FJ142" s="62">
        <f ca="1">AVERAGE(OFFSET($FI$3,0,0,'Données projet'!$E$16+1,1))-AVERAGE(OFFSET($H$3,0,0,'Données projet'!$E$16+1,1))</f>
        <v>534.33392288300456</v>
      </c>
      <c r="FK142" s="62">
        <f t="shared" si="156"/>
        <v>300.93109615735477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-5.6843418860808015E-14</v>
      </c>
      <c r="GA142" s="18">
        <f>FZ142*VLOOKUP('Données projet'!$B$17,Paramètres!$A$1:$I$89,3,0)*VLOOKUP('Données projet'!$B$17,Paramètres!$A$1:$I$89,5,0)</f>
        <v>-3.813056537183002E-14</v>
      </c>
      <c r="GB142" s="14" t="e">
        <f t="shared" si="157"/>
        <v>#NUM!</v>
      </c>
      <c r="GC142" s="22" t="e">
        <f t="shared" si="133"/>
        <v>#NUM!</v>
      </c>
      <c r="GD142" s="62" t="e">
        <f t="shared" si="134"/>
        <v>#NUM!</v>
      </c>
      <c r="GE142" s="62">
        <f ca="1">AVERAGE(OFFSET($GD$3,0,0,'Données projet'!$E$17+1,1))-AVERAGE(OFFSET($H$3,0,0,'Données projet'!$E$17+1,1))</f>
        <v>316.17772895535211</v>
      </c>
      <c r="GF142" s="62">
        <f t="shared" si="158"/>
        <v>251.94445589652992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68.265613946108743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3.95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14.483333333333334</v>
      </c>
      <c r="H143" s="70">
        <f t="shared" si="110"/>
        <v>198.73333333333335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341</v>
      </c>
      <c r="L143" s="13">
        <f>VLOOKUP(A143,'Données projet'!$A$35:$I$55,9,0)</f>
        <v>3.8</v>
      </c>
      <c r="M143" s="13">
        <f t="array" ref="M143">INDEX(L:L,MIN(IF(ISNUMBER(L143:L339),ROW(L143:L339),"")))</f>
        <v>3.8</v>
      </c>
      <c r="N143" s="14">
        <f>IF('Données projet'!$A$36&gt;35,N142+M143-V142,IF(A143&lt;'Données projet'!$A$36,$K$205^A143,IF(A143='Données projet'!$A$36,'Données projet'!$B$36,N142+M143-V142)))</f>
        <v>340.99999999999977</v>
      </c>
      <c r="O143" s="14">
        <f>N143*VLOOKUP('Données projet'!$B$9,Paramètres!$A$1:$I$89,3,0)*VLOOKUP('Données projet'!$B$9,Paramètres!$A$1:$I$89,5,0)</f>
        <v>287.25839999999988</v>
      </c>
      <c r="P143" s="14">
        <f t="shared" si="141"/>
        <v>68.498625255186852</v>
      </c>
      <c r="Q143" s="22">
        <f t="shared" si="108"/>
        <v>619.61015231945009</v>
      </c>
      <c r="R143" s="62">
        <f t="shared" si="109"/>
        <v>906.69439176378739</v>
      </c>
      <c r="S143" s="62">
        <f ca="1">AVERAGE(OFFSET($R$3,0,0,'Données projet'!$E$9+1,1))-AVERAGE(OFFSET($H$3,0,0,'Données projet'!$E$9+1,1))</f>
        <v>508.93703669150443</v>
      </c>
      <c r="T143" s="62">
        <f t="shared" si="142"/>
        <v>277.04920840696707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41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296</v>
      </c>
      <c r="AG143" s="13">
        <f>VLOOKUP(A143,'Données projet'!$A$61:$I$81,9,0)</f>
        <v>2.7</v>
      </c>
      <c r="AH143" s="13">
        <f t="array" ref="AH143">INDEX(AG:AG,MIN(IF(ISNUMBER(AG143:AG339),ROW(AG143:AG339),"")))</f>
        <v>2.7</v>
      </c>
      <c r="AI143" s="14">
        <f>IF('Données projet'!$A$62&gt;35,AI142+AH143-AQ142,IF(A143&lt;'Données projet'!$A$62,$AF$205^A143,IF(A143='Données projet'!$A$62,'Données projet'!$B$62,AI142+AH143-AQ142)))</f>
        <v>295.99999999999926</v>
      </c>
      <c r="AJ143" s="14">
        <f>AI143*VLOOKUP('Données projet'!$B$10,Paramètres!$A$1:$I$89,3,0)*VLOOKUP('Données projet'!$B$10,Paramètres!$A$1:$I$89,5,0)</f>
        <v>267.82079999999934</v>
      </c>
      <c r="AK143" s="14">
        <f t="shared" si="143"/>
        <v>64.386570147897245</v>
      </c>
      <c r="AL143" s="22">
        <f t="shared" si="112"/>
        <v>578.59450300758647</v>
      </c>
      <c r="AM143" s="62">
        <f t="shared" si="113"/>
        <v>865.67874245192377</v>
      </c>
      <c r="AN143" s="62">
        <f ca="1">AVERAGE(OFFSET($AM$3,0,0,'Données projet'!$E$10+1,1))-AVERAGE(OFFSET($H$3,0,0,'Données projet'!$E$10+1,1))</f>
        <v>461.10503306101145</v>
      </c>
      <c r="AO143" s="62">
        <f t="shared" si="144"/>
        <v>262.10652147273288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27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-2.2737367544323206E-13</v>
      </c>
      <c r="BE143" s="14">
        <f>BD143*VLOOKUP('Données projet'!$B$11,Paramètres!$A$1:$I$89,3,0)*VLOOKUP('Données projet'!$B$11,Paramètres!$A$1:$I$89,5,0)</f>
        <v>-1.8089849618263545E-13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389.67854939311752</v>
      </c>
      <c r="BJ143" s="62">
        <f t="shared" si="146"/>
        <v>420.05189970516096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-1.0516032489249483E-12</v>
      </c>
      <c r="BZ143" s="14">
        <f>BY143*VLOOKUP('Données projet'!$B$12,Paramètres!$A$1:$I$89,3,0)*VLOOKUP('Données projet'!$B$12,Paramètres!$A$1:$I$89,5,0)</f>
        <v>-6.0151705838507046E-13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312.16891625633968</v>
      </c>
      <c r="CE143" s="62">
        <f t="shared" si="148"/>
        <v>215.34305815516177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0.56897299237557564</v>
      </c>
      <c r="CM143" s="23">
        <f>EXP(-LN(2)/2)*CM142+(1-EXP(-LN(2)/2))/(LN(2)/2)*CG143*CJ143*VLOOKUP('Données projet'!$B$12,Paramètres!$A$1:$I$89,3,0)*0.475*44/12</f>
        <v>2.2614106549674755E-16</v>
      </c>
      <c r="CN143" s="24">
        <f t="shared" si="120"/>
        <v>0.56897299237557586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3.979039320256561E-13</v>
      </c>
      <c r="CU143" s="18">
        <f>CT143*VLOOKUP('Données projet'!$B$13,Paramètres!$A$1:$I$89,3,0)*VLOOKUP('Données projet'!$B$13,Paramètres!$A$1:$I$89,5,0)</f>
        <v>2.669139576028101E-13</v>
      </c>
      <c r="CV143" s="14">
        <f t="shared" si="149"/>
        <v>3.5767923834585247E-12</v>
      </c>
      <c r="CW143" s="22">
        <f t="shared" si="121"/>
        <v>6.6944552106818241E-12</v>
      </c>
      <c r="CX143" s="62">
        <f t="shared" si="122"/>
        <v>287.08423944434401</v>
      </c>
      <c r="CY143" s="62">
        <f ca="1">AVERAGE(OFFSET($CX$3,0,0,'Données projet'!$E$13+1,1))-AVERAGE(OFFSET($H$3,0,0,'Données projet'!$E$13+1,1))</f>
        <v>369.04754428478793</v>
      </c>
      <c r="CZ143" s="62">
        <f t="shared" si="150"/>
        <v>277.00523259351712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1.1368683772161603E-13</v>
      </c>
      <c r="DP143" s="18">
        <f>DO143*VLOOKUP('Données projet'!$B$14,Paramètres!$A$1:$I$89,3,0)*VLOOKUP('Données projet'!$B$14,Paramètres!$A$1:$I$89,5,0)</f>
        <v>8.8675733422860506E-14</v>
      </c>
      <c r="DQ143" s="14">
        <f t="shared" si="151"/>
        <v>1.3509285393066301E-12</v>
      </c>
      <c r="DR143" s="22">
        <f t="shared" si="124"/>
        <v>2.5073107750038623E-12</v>
      </c>
      <c r="DS143" s="62">
        <f t="shared" si="125"/>
        <v>287.0842394443398</v>
      </c>
      <c r="DT143" s="62">
        <f ca="1">AVERAGE(OFFSET($DS$3,0,0,'Données projet'!$E$14+1,1))-AVERAGE(OFFSET($H$3,0,0,'Données projet'!$E$14+1,1))</f>
        <v>308.39181291575227</v>
      </c>
      <c r="DU143" s="62">
        <f t="shared" si="152"/>
        <v>298.58225298824334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>
        <f>VLOOKUP(A143,'Données projet'!$A$191:$I$211,2,0)</f>
        <v>296</v>
      </c>
      <c r="EH143" s="13">
        <f>VLOOKUP(A143,'Données projet'!$A$191:$I$211,9,0)</f>
        <v>2.7</v>
      </c>
      <c r="EI143" s="13">
        <f t="array" ref="EI143">INDEX(EH:EH,MIN(IF(ISNUMBER(EH143:EH339),ROW(EH143:EH339),"")))</f>
        <v>2.7</v>
      </c>
      <c r="EJ143" s="13">
        <f>IF('Données projet'!$A$192&gt;35,EJ142+EI143-ER142,IF(A143&lt;'Données projet'!$A$192,$EG$205^A143,IF(A143='Données projet'!$A$192,'Données projet'!$B$192,EJ142+EI143-ER142)))</f>
        <v>295.99999999999926</v>
      </c>
      <c r="EK143" s="18">
        <f>EJ143*VLOOKUP('Données projet'!$B$15,Paramètres!$A$1:$I$89,3,0)*VLOOKUP('Données projet'!$B$15,Paramètres!$A$1:$I$89,5,0)</f>
        <v>286.29119999999926</v>
      </c>
      <c r="EL143" s="14">
        <f t="shared" si="153"/>
        <v>68.294796094604223</v>
      </c>
      <c r="EM143" s="22">
        <f t="shared" si="127"/>
        <v>617.57060986476779</v>
      </c>
      <c r="EN143" s="62">
        <f t="shared" si="128"/>
        <v>904.65484930910509</v>
      </c>
      <c r="EO143" s="62">
        <f ca="1">AVERAGE(OFFSET($EN$3,0,0,'Données projet'!$E$15+1,1))-AVERAGE(OFFSET($H$3,0,0,'Données projet'!$E$15+1,1))</f>
        <v>487.76433095707876</v>
      </c>
      <c r="EP143" s="62">
        <f t="shared" si="154"/>
        <v>276.24209151398361</v>
      </c>
      <c r="EQ143" s="16">
        <f>IF(ISNA(VLOOKUP(A143,'Données projet'!$A$191:$I$211,3,0)),0,VLOOKUP(A143,'Données projet'!$A$191:$I$211,3,0))</f>
        <v>12</v>
      </c>
      <c r="ER143" s="16">
        <f>IF(ISNA(VLOOKUP(A143,'Données projet'!$A$191:$I$211,4,0)),0,VLOOKUP(A143,'Données projet'!$A$191:$I$211,4,0))</f>
        <v>27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>
        <f>VLOOKUP(A143,'Données projet'!$A$217:$I$237,2,0)</f>
        <v>296</v>
      </c>
      <c r="FC143" s="13">
        <f>VLOOKUP(A143,'Données projet'!$A$217:$I$237,9,0)</f>
        <v>2.7</v>
      </c>
      <c r="FD143" s="13">
        <f t="array" ref="FD143">INDEX(FC:FC,MIN(IF(ISNUMBER(FC143:FC339),ROW(FC143:FC339),"")))</f>
        <v>2.7</v>
      </c>
      <c r="FE143" s="13">
        <f>IF('Données projet'!$A$218&gt;35,FE142+FD143-FM142,IF(A143&lt;'Données projet'!$A$218,$FB$205^A143,IF(A143='Données projet'!$A$218,'Données projet'!$B$218,FE142+FD143-FM142)))</f>
        <v>295.99999999999926</v>
      </c>
      <c r="FF143" s="18">
        <f>FE143*VLOOKUP('Données projet'!$B$16,Paramètres!$A$1:$I$89,3,0)*VLOOKUP('Données projet'!$B$16,Paramètres!$A$1:$I$89,5,0)</f>
        <v>318.61439999999919</v>
      </c>
      <c r="FG143" s="14">
        <f t="shared" si="155"/>
        <v>75.064979865028292</v>
      </c>
      <c r="FH143" s="22">
        <f t="shared" si="130"/>
        <v>685.65825326492302</v>
      </c>
      <c r="FI143" s="62">
        <f t="shared" si="131"/>
        <v>972.74249270926032</v>
      </c>
      <c r="FJ143" s="62">
        <f ca="1">AVERAGE(OFFSET($FI$3,0,0,'Données projet'!$E$16+1,1))-AVERAGE(OFFSET($H$3,0,0,'Données projet'!$E$16+1,1))</f>
        <v>534.33392288300456</v>
      </c>
      <c r="FK143" s="62">
        <f t="shared" si="156"/>
        <v>300.93109615735477</v>
      </c>
      <c r="FL143" s="16">
        <f>IF(ISNA(VLOOKUP(A143,'Données projet'!$A$217:$I$237,3,0)),0,VLOOKUP(A143,'Données projet'!$A$217:$I$237,3,0))</f>
        <v>12</v>
      </c>
      <c r="FM143" s="16">
        <f>IF(ISNA(VLOOKUP(A143,'Données projet'!$A$217:$I$237,4,0)),0,VLOOKUP(A143,'Données projet'!$A$217:$I$237,4,0))</f>
        <v>27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-5.6843418860808015E-14</v>
      </c>
      <c r="GA143" s="18">
        <f>FZ143*VLOOKUP('Données projet'!$B$17,Paramètres!$A$1:$I$89,3,0)*VLOOKUP('Données projet'!$B$17,Paramètres!$A$1:$I$89,5,0)</f>
        <v>-3.813056537183002E-14</v>
      </c>
      <c r="GB143" s="14" t="e">
        <f t="shared" si="157"/>
        <v>#NUM!</v>
      </c>
      <c r="GC143" s="22" t="e">
        <f t="shared" si="133"/>
        <v>#NUM!</v>
      </c>
      <c r="GD143" s="62" t="e">
        <f t="shared" si="134"/>
        <v>#NUM!</v>
      </c>
      <c r="GE143" s="62">
        <f ca="1">AVERAGE(OFFSET($GD$3,0,0,'Données projet'!$E$17+1,1))-AVERAGE(OFFSET($H$3,0,0,'Données projet'!$E$17+1,1))</f>
        <v>316.17772895535211</v>
      </c>
      <c r="GF143" s="62">
        <f t="shared" si="158"/>
        <v>251.94445589652992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68.295701666637441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3.95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14.483333333333334</v>
      </c>
      <c r="H144" s="70">
        <f t="shared" si="110"/>
        <v>198.73333333333335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3.5</v>
      </c>
      <c r="N144" s="14">
        <f>IF('Données projet'!$A$36&gt;35,N143+M144-V143,IF(A144&lt;'Données projet'!$A$36,$K$205^A144,IF(A144='Données projet'!$A$36,'Données projet'!$B$36,N143+M144-V143)))</f>
        <v>303.49999999999977</v>
      </c>
      <c r="O144" s="14">
        <f>N144*VLOOKUP('Données projet'!$B$9,Paramètres!$A$1:$I$89,3,0)*VLOOKUP('Données projet'!$B$9,Paramètres!$A$1:$I$89,5,0)</f>
        <v>255.66839999999985</v>
      </c>
      <c r="P144" s="14">
        <f t="shared" si="141"/>
        <v>61.798155016071895</v>
      </c>
      <c r="Q144" s="22">
        <f t="shared" si="108"/>
        <v>552.92091665299165</v>
      </c>
      <c r="R144" s="62">
        <f t="shared" si="109"/>
        <v>840.1135639054221</v>
      </c>
      <c r="S144" s="62">
        <f ca="1">AVERAGE(OFFSET($R$3,0,0,'Données projet'!$E$9+1,1))-AVERAGE(OFFSET($H$3,0,0,'Données projet'!$E$9+1,1))</f>
        <v>508.93703669150443</v>
      </c>
      <c r="T144" s="62">
        <f t="shared" si="142"/>
        <v>277.04920840696707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2.4</v>
      </c>
      <c r="AI144" s="14">
        <f>IF('Données projet'!$A$62&gt;35,AI143+AH144-AQ143,IF(A144&lt;'Données projet'!$A$62,$AF$205^A144,IF(A144='Données projet'!$A$62,'Données projet'!$B$62,AI143+AH144-AQ143)))</f>
        <v>271.39999999999924</v>
      </c>
      <c r="AJ144" s="14">
        <f>AI144*VLOOKUP('Données projet'!$B$10,Paramètres!$A$1:$I$89,3,0)*VLOOKUP('Données projet'!$B$10,Paramètres!$A$1:$I$89,5,0)</f>
        <v>245.5627199999993</v>
      </c>
      <c r="AK144" s="14">
        <f t="shared" si="143"/>
        <v>59.634776048276741</v>
      </c>
      <c r="AL144" s="22">
        <f t="shared" si="112"/>
        <v>531.55230561741405</v>
      </c>
      <c r="AM144" s="62">
        <f t="shared" si="113"/>
        <v>818.74495286984438</v>
      </c>
      <c r="AN144" s="62">
        <f ca="1">AVERAGE(OFFSET($AM$3,0,0,'Données projet'!$E$10+1,1))-AVERAGE(OFFSET($H$3,0,0,'Données projet'!$E$10+1,1))</f>
        <v>461.10503306101145</v>
      </c>
      <c r="AO144" s="62">
        <f t="shared" si="144"/>
        <v>262.10652147273288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-2.2737367544323206E-13</v>
      </c>
      <c r="BE144" s="14">
        <f>BD144*VLOOKUP('Données projet'!$B$11,Paramètres!$A$1:$I$89,3,0)*VLOOKUP('Données projet'!$B$11,Paramètres!$A$1:$I$89,5,0)</f>
        <v>-1.8089849618263545E-13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389.67854939311752</v>
      </c>
      <c r="BJ144" s="62">
        <f t="shared" si="146"/>
        <v>420.05189970516096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-1.0516032489249483E-12</v>
      </c>
      <c r="BZ144" s="14">
        <f>BY144*VLOOKUP('Données projet'!$B$12,Paramètres!$A$1:$I$89,3,0)*VLOOKUP('Données projet'!$B$12,Paramètres!$A$1:$I$89,5,0)</f>
        <v>-6.0151705838507046E-13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312.16891625633968</v>
      </c>
      <c r="CE144" s="62">
        <f t="shared" si="148"/>
        <v>215.34305815516177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0.55341439597807629</v>
      </c>
      <c r="CM144" s="23">
        <f>EXP(-LN(2)/2)*CM143+(1-EXP(-LN(2)/2))/(LN(2)/2)*CG144*CJ144*VLOOKUP('Données projet'!$B$12,Paramètres!$A$1:$I$89,3,0)*0.475*44/12</f>
        <v>1.5990588091750139E-16</v>
      </c>
      <c r="CN144" s="24">
        <f t="shared" si="120"/>
        <v>0.5534143959780764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3.979039320256561E-13</v>
      </c>
      <c r="CU144" s="18">
        <f>CT144*VLOOKUP('Données projet'!$B$13,Paramètres!$A$1:$I$89,3,0)*VLOOKUP('Données projet'!$B$13,Paramètres!$A$1:$I$89,5,0)</f>
        <v>2.669139576028101E-13</v>
      </c>
      <c r="CV144" s="14">
        <f t="shared" si="149"/>
        <v>3.5767923834585247E-12</v>
      </c>
      <c r="CW144" s="22">
        <f t="shared" si="121"/>
        <v>6.6944552106818241E-12</v>
      </c>
      <c r="CX144" s="62">
        <f t="shared" si="122"/>
        <v>287.1926472524371</v>
      </c>
      <c r="CY144" s="62">
        <f ca="1">AVERAGE(OFFSET($CX$3,0,0,'Données projet'!$E$13+1,1))-AVERAGE(OFFSET($H$3,0,0,'Données projet'!$E$13+1,1))</f>
        <v>369.04754428478793</v>
      </c>
      <c r="CZ144" s="62">
        <f t="shared" si="150"/>
        <v>277.00523259351712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1.1368683772161603E-13</v>
      </c>
      <c r="DP144" s="18">
        <f>DO144*VLOOKUP('Données projet'!$B$14,Paramètres!$A$1:$I$89,3,0)*VLOOKUP('Données projet'!$B$14,Paramètres!$A$1:$I$89,5,0)</f>
        <v>8.8675733422860506E-14</v>
      </c>
      <c r="DQ144" s="14">
        <f t="shared" si="151"/>
        <v>1.3509285393066301E-12</v>
      </c>
      <c r="DR144" s="22">
        <f t="shared" si="124"/>
        <v>2.5073107750038623E-12</v>
      </c>
      <c r="DS144" s="62">
        <f t="shared" si="125"/>
        <v>287.19264725243289</v>
      </c>
      <c r="DT144" s="62">
        <f ca="1">AVERAGE(OFFSET($DS$3,0,0,'Données projet'!$E$14+1,1))-AVERAGE(OFFSET($H$3,0,0,'Données projet'!$E$14+1,1))</f>
        <v>308.39181291575227</v>
      </c>
      <c r="DU144" s="62">
        <f t="shared" si="152"/>
        <v>298.58225298824334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2.4</v>
      </c>
      <c r="EJ144" s="13">
        <f>IF('Données projet'!$A$192&gt;35,EJ143+EI144-ER143,IF(A144&lt;'Données projet'!$A$192,$EG$205^A144,IF(A144='Données projet'!$A$192,'Données projet'!$B$192,EJ143+EI144-ER143)))</f>
        <v>271.39999999999924</v>
      </c>
      <c r="EK144" s="18">
        <f>EJ144*VLOOKUP('Données projet'!$B$15,Paramètres!$A$1:$I$89,3,0)*VLOOKUP('Données projet'!$B$15,Paramètres!$A$1:$I$89,5,0)</f>
        <v>262.49807999999928</v>
      </c>
      <c r="EL144" s="14">
        <f t="shared" si="153"/>
        <v>63.254570961137979</v>
      </c>
      <c r="EM144" s="22">
        <f t="shared" si="127"/>
        <v>567.35253375731406</v>
      </c>
      <c r="EN144" s="62">
        <f t="shared" si="128"/>
        <v>854.54518100974451</v>
      </c>
      <c r="EO144" s="62">
        <f ca="1">AVERAGE(OFFSET($EN$3,0,0,'Données projet'!$E$15+1,1))-AVERAGE(OFFSET($H$3,0,0,'Données projet'!$E$15+1,1))</f>
        <v>487.76433095707876</v>
      </c>
      <c r="EP144" s="62">
        <f t="shared" si="154"/>
        <v>276.24209151398361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2.4</v>
      </c>
      <c r="FE144" s="13">
        <f>IF('Données projet'!$A$218&gt;35,FE143+FD144-FM143,IF(A144&lt;'Données projet'!$A$218,$FB$205^A144,IF(A144='Données projet'!$A$218,'Données projet'!$B$218,FE143+FD144-FM143)))</f>
        <v>271.39999999999924</v>
      </c>
      <c r="FF144" s="18">
        <f>FE144*VLOOKUP('Données projet'!$B$16,Paramètres!$A$1:$I$89,3,0)*VLOOKUP('Données projet'!$B$16,Paramètres!$A$1:$I$89,5,0)</f>
        <v>292.13495999999913</v>
      </c>
      <c r="FG144" s="14">
        <f t="shared" si="155"/>
        <v>69.525108311202104</v>
      </c>
      <c r="FH144" s="22">
        <f t="shared" si="130"/>
        <v>629.89128564200882</v>
      </c>
      <c r="FI144" s="62">
        <f t="shared" si="131"/>
        <v>917.08393289443916</v>
      </c>
      <c r="FJ144" s="62">
        <f ca="1">AVERAGE(OFFSET($FI$3,0,0,'Données projet'!$E$16+1,1))-AVERAGE(OFFSET($H$3,0,0,'Données projet'!$E$16+1,1))</f>
        <v>534.33392288300456</v>
      </c>
      <c r="FK144" s="62">
        <f t="shared" si="156"/>
        <v>300.93109615735477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-5.6843418860808015E-14</v>
      </c>
      <c r="GA144" s="18">
        <f>FZ144*VLOOKUP('Données projet'!$B$17,Paramètres!$A$1:$I$89,3,0)*VLOOKUP('Données projet'!$B$17,Paramètres!$A$1:$I$89,5,0)</f>
        <v>-3.813056537183002E-14</v>
      </c>
      <c r="GB144" s="14" t="e">
        <f t="shared" si="157"/>
        <v>#NUM!</v>
      </c>
      <c r="GC144" s="22" t="e">
        <f t="shared" si="133"/>
        <v>#NUM!</v>
      </c>
      <c r="GD144" s="62" t="e">
        <f t="shared" si="134"/>
        <v>#NUM!</v>
      </c>
      <c r="GE144" s="62">
        <f ca="1">AVERAGE(OFFSET($GD$3,0,0,'Données projet'!$E$17+1,1))-AVERAGE(OFFSET($H$3,0,0,'Données projet'!$E$17+1,1))</f>
        <v>316.17772895535211</v>
      </c>
      <c r="GF144" s="62">
        <f t="shared" si="158"/>
        <v>251.94445589652992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68.325267432481013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3.95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14.483333333333334</v>
      </c>
      <c r="H145" s="70">
        <f t="shared" si="110"/>
        <v>198.73333333333335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3.5</v>
      </c>
      <c r="N145" s="14">
        <f>IF('Données projet'!$A$36&gt;35,N144+M145-V144,IF(A145&lt;'Données projet'!$A$36,$K$205^A145,IF(A145='Données projet'!$A$36,'Données projet'!$B$36,N144+M145-V144)))</f>
        <v>306.99999999999977</v>
      </c>
      <c r="O145" s="14">
        <f>N145*VLOOKUP('Données projet'!$B$9,Paramètres!$A$1:$I$89,3,0)*VLOOKUP('Données projet'!$B$9,Paramètres!$A$1:$I$89,5,0)</f>
        <v>258.61679999999984</v>
      </c>
      <c r="P145" s="14">
        <f t="shared" si="141"/>
        <v>62.427444141032382</v>
      </c>
      <c r="Q145" s="22">
        <f t="shared" si="108"/>
        <v>559.15205854563101</v>
      </c>
      <c r="R145" s="62">
        <f t="shared" si="109"/>
        <v>846.45123297304769</v>
      </c>
      <c r="S145" s="62">
        <f ca="1">AVERAGE(OFFSET($R$3,0,0,'Données projet'!$E$9+1,1))-AVERAGE(OFFSET($H$3,0,0,'Données projet'!$E$9+1,1))</f>
        <v>508.93703669150443</v>
      </c>
      <c r="T145" s="62">
        <f t="shared" si="142"/>
        <v>277.04920840696707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2.4</v>
      </c>
      <c r="AI145" s="14">
        <f>IF('Données projet'!$A$62&gt;35,AI144+AH145-AQ144,IF(A145&lt;'Données projet'!$A$62,$AF$205^A145,IF(A145='Données projet'!$A$62,'Données projet'!$B$62,AI144+AH145-AQ144)))</f>
        <v>273.79999999999922</v>
      </c>
      <c r="AJ145" s="14">
        <f>AI145*VLOOKUP('Données projet'!$B$10,Paramètres!$A$1:$I$89,3,0)*VLOOKUP('Données projet'!$B$10,Paramètres!$A$1:$I$89,5,0)</f>
        <v>247.73423999999929</v>
      </c>
      <c r="AK145" s="14">
        <f t="shared" si="143"/>
        <v>60.100505665694953</v>
      </c>
      <c r="AL145" s="22">
        <f t="shared" si="112"/>
        <v>536.14551536775082</v>
      </c>
      <c r="AM145" s="62">
        <f t="shared" si="113"/>
        <v>823.44468979516751</v>
      </c>
      <c r="AN145" s="62">
        <f ca="1">AVERAGE(OFFSET($AM$3,0,0,'Données projet'!$E$10+1,1))-AVERAGE(OFFSET($H$3,0,0,'Données projet'!$E$10+1,1))</f>
        <v>461.10503306101145</v>
      </c>
      <c r="AO145" s="62">
        <f t="shared" si="144"/>
        <v>262.10652147273288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-2.2737367544323206E-13</v>
      </c>
      <c r="BE145" s="14">
        <f>BD145*VLOOKUP('Données projet'!$B$11,Paramètres!$A$1:$I$89,3,0)*VLOOKUP('Données projet'!$B$11,Paramètres!$A$1:$I$89,5,0)</f>
        <v>-1.8089849618263545E-13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389.67854939311752</v>
      </c>
      <c r="BJ145" s="62">
        <f t="shared" si="146"/>
        <v>420.05189970516096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-1.0516032489249483E-12</v>
      </c>
      <c r="BZ145" s="14">
        <f>BY145*VLOOKUP('Données projet'!$B$12,Paramètres!$A$1:$I$89,3,0)*VLOOKUP('Données projet'!$B$12,Paramètres!$A$1:$I$89,5,0)</f>
        <v>-6.0151705838507046E-13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312.16891625633968</v>
      </c>
      <c r="CE145" s="62">
        <f t="shared" si="148"/>
        <v>215.34305815516177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0.53828125021725759</v>
      </c>
      <c r="CM145" s="23">
        <f>EXP(-LN(2)/2)*CM144+(1-EXP(-LN(2)/2))/(LN(2)/2)*CG145*CJ145*VLOOKUP('Données projet'!$B$12,Paramètres!$A$1:$I$89,3,0)*0.475*44/12</f>
        <v>1.1307053274837378E-16</v>
      </c>
      <c r="CN145" s="24">
        <f t="shared" si="120"/>
        <v>0.5382812502172577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3.979039320256561E-13</v>
      </c>
      <c r="CU145" s="18">
        <f>CT145*VLOOKUP('Données projet'!$B$13,Paramètres!$A$1:$I$89,3,0)*VLOOKUP('Données projet'!$B$13,Paramètres!$A$1:$I$89,5,0)</f>
        <v>2.669139576028101E-13</v>
      </c>
      <c r="CV145" s="14">
        <f t="shared" si="149"/>
        <v>3.5767923834585247E-12</v>
      </c>
      <c r="CW145" s="22">
        <f t="shared" si="121"/>
        <v>6.6944552106818241E-12</v>
      </c>
      <c r="CX145" s="62">
        <f t="shared" si="122"/>
        <v>287.2991744274234</v>
      </c>
      <c r="CY145" s="62">
        <f ca="1">AVERAGE(OFFSET($CX$3,0,0,'Données projet'!$E$13+1,1))-AVERAGE(OFFSET($H$3,0,0,'Données projet'!$E$13+1,1))</f>
        <v>369.04754428478793</v>
      </c>
      <c r="CZ145" s="62">
        <f t="shared" si="150"/>
        <v>277.00523259351712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1.1368683772161603E-13</v>
      </c>
      <c r="DP145" s="18">
        <f>DO145*VLOOKUP('Données projet'!$B$14,Paramètres!$A$1:$I$89,3,0)*VLOOKUP('Données projet'!$B$14,Paramètres!$A$1:$I$89,5,0)</f>
        <v>8.8675733422860506E-14</v>
      </c>
      <c r="DQ145" s="14">
        <f t="shared" si="151"/>
        <v>1.3509285393066301E-12</v>
      </c>
      <c r="DR145" s="22">
        <f t="shared" si="124"/>
        <v>2.5073107750038623E-12</v>
      </c>
      <c r="DS145" s="62">
        <f t="shared" si="125"/>
        <v>287.29917442741919</v>
      </c>
      <c r="DT145" s="62">
        <f ca="1">AVERAGE(OFFSET($DS$3,0,0,'Données projet'!$E$14+1,1))-AVERAGE(OFFSET($H$3,0,0,'Données projet'!$E$14+1,1))</f>
        <v>308.39181291575227</v>
      </c>
      <c r="DU145" s="62">
        <f t="shared" si="152"/>
        <v>298.58225298824334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2.4</v>
      </c>
      <c r="EJ145" s="13">
        <f>IF('Données projet'!$A$192&gt;35,EJ144+EI145-ER144,IF(A145&lt;'Données projet'!$A$192,$EG$205^A145,IF(A145='Données projet'!$A$192,'Données projet'!$B$192,EJ144+EI145-ER144)))</f>
        <v>273.79999999999922</v>
      </c>
      <c r="EK145" s="18">
        <f>EJ145*VLOOKUP('Données projet'!$B$15,Paramètres!$A$1:$I$89,3,0)*VLOOKUP('Données projet'!$B$15,Paramètres!$A$1:$I$89,5,0)</f>
        <v>264.81935999999928</v>
      </c>
      <c r="EL145" s="14">
        <f t="shared" si="153"/>
        <v>63.748570085236892</v>
      </c>
      <c r="EM145" s="22">
        <f t="shared" si="127"/>
        <v>572.25581156511964</v>
      </c>
      <c r="EN145" s="62">
        <f t="shared" si="128"/>
        <v>859.55498599253633</v>
      </c>
      <c r="EO145" s="62">
        <f ca="1">AVERAGE(OFFSET($EN$3,0,0,'Données projet'!$E$15+1,1))-AVERAGE(OFFSET($H$3,0,0,'Données projet'!$E$15+1,1))</f>
        <v>487.76433095707876</v>
      </c>
      <c r="EP145" s="62">
        <f t="shared" si="154"/>
        <v>276.24209151398361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2.4</v>
      </c>
      <c r="FE145" s="13">
        <f>IF('Données projet'!$A$218&gt;35,FE144+FD145-FM144,IF(A145&lt;'Données projet'!$A$218,$FB$205^A145,IF(A145='Données projet'!$A$218,'Données projet'!$B$218,FE144+FD145-FM144)))</f>
        <v>273.79999999999922</v>
      </c>
      <c r="FF145" s="18">
        <f>FE145*VLOOKUP('Données projet'!$B$16,Paramètres!$A$1:$I$89,3,0)*VLOOKUP('Données projet'!$B$16,Paramètres!$A$1:$I$89,5,0)</f>
        <v>294.71831999999915</v>
      </c>
      <c r="FG145" s="14">
        <f t="shared" si="155"/>
        <v>70.068078441055917</v>
      </c>
      <c r="FH145" s="22">
        <f t="shared" si="130"/>
        <v>635.33631061817096</v>
      </c>
      <c r="FI145" s="62">
        <f t="shared" si="131"/>
        <v>922.63548504558764</v>
      </c>
      <c r="FJ145" s="62">
        <f ca="1">AVERAGE(OFFSET($FI$3,0,0,'Données projet'!$E$16+1,1))-AVERAGE(OFFSET($H$3,0,0,'Données projet'!$E$16+1,1))</f>
        <v>534.33392288300456</v>
      </c>
      <c r="FK145" s="62">
        <f t="shared" si="156"/>
        <v>300.93109615735477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-5.6843418860808015E-14</v>
      </c>
      <c r="GA145" s="18">
        <f>FZ145*VLOOKUP('Données projet'!$B$17,Paramètres!$A$1:$I$89,3,0)*VLOOKUP('Données projet'!$B$17,Paramètres!$A$1:$I$89,5,0)</f>
        <v>-3.813056537183002E-14</v>
      </c>
      <c r="GB145" s="14" t="e">
        <f t="shared" si="157"/>
        <v>#NUM!</v>
      </c>
      <c r="GC145" s="22" t="e">
        <f t="shared" si="133"/>
        <v>#NUM!</v>
      </c>
      <c r="GD145" s="62" t="e">
        <f t="shared" si="134"/>
        <v>#NUM!</v>
      </c>
      <c r="GE145" s="62">
        <f ca="1">AVERAGE(OFFSET($GD$3,0,0,'Données projet'!$E$17+1,1))-AVERAGE(OFFSET($H$3,0,0,'Données projet'!$E$17+1,1))</f>
        <v>316.17772895535211</v>
      </c>
      <c r="GF145" s="62">
        <f t="shared" si="158"/>
        <v>251.94445589652992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68.354320298386369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3.95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14.483333333333334</v>
      </c>
      <c r="H146" s="70">
        <f t="shared" si="110"/>
        <v>198.73333333333335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3.5</v>
      </c>
      <c r="N146" s="14">
        <f>IF('Données projet'!$A$36&gt;35,N145+M146-V145,IF(A146&lt;'Données projet'!$A$36,$K$205^A146,IF(A146='Données projet'!$A$36,'Données projet'!$B$36,N145+M146-V145)))</f>
        <v>310.49999999999977</v>
      </c>
      <c r="O146" s="14">
        <f>N146*VLOOKUP('Données projet'!$B$9,Paramètres!$A$1:$I$89,3,0)*VLOOKUP('Données projet'!$B$9,Paramètres!$A$1:$I$89,5,0)</f>
        <v>261.56519999999983</v>
      </c>
      <c r="P146" s="14">
        <f t="shared" si="141"/>
        <v>63.055898711509279</v>
      </c>
      <c r="Q146" s="22">
        <f t="shared" si="108"/>
        <v>565.38174692254495</v>
      </c>
      <c r="R146" s="62">
        <f t="shared" si="109"/>
        <v>852.785600516621</v>
      </c>
      <c r="S146" s="62">
        <f ca="1">AVERAGE(OFFSET($R$3,0,0,'Données projet'!$E$9+1,1))-AVERAGE(OFFSET($H$3,0,0,'Données projet'!$E$9+1,1))</f>
        <v>508.93703669150443</v>
      </c>
      <c r="T146" s="62">
        <f t="shared" si="142"/>
        <v>277.04920840696707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2.4</v>
      </c>
      <c r="AI146" s="14">
        <f>IF('Données projet'!$A$62&gt;35,AI145+AH146-AQ145,IF(A146&lt;'Données projet'!$A$62,$AF$205^A146,IF(A146='Données projet'!$A$62,'Données projet'!$B$62,AI145+AH146-AQ145)))</f>
        <v>276.19999999999919</v>
      </c>
      <c r="AJ146" s="14">
        <f>AI146*VLOOKUP('Données projet'!$B$10,Paramètres!$A$1:$I$89,3,0)*VLOOKUP('Données projet'!$B$10,Paramètres!$A$1:$I$89,5,0)</f>
        <v>249.90575999999925</v>
      </c>
      <c r="AK146" s="14">
        <f t="shared" si="143"/>
        <v>60.565760331923727</v>
      </c>
      <c r="AL146" s="22">
        <f t="shared" si="112"/>
        <v>540.73789791143247</v>
      </c>
      <c r="AM146" s="62">
        <f t="shared" si="113"/>
        <v>828.14175150550852</v>
      </c>
      <c r="AN146" s="62">
        <f ca="1">AVERAGE(OFFSET($AM$3,0,0,'Données projet'!$E$10+1,1))-AVERAGE(OFFSET($H$3,0,0,'Données projet'!$E$10+1,1))</f>
        <v>461.10503306101145</v>
      </c>
      <c r="AO146" s="62">
        <f t="shared" si="144"/>
        <v>262.10652147273288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-2.2737367544323206E-13</v>
      </c>
      <c r="BE146" s="14">
        <f>BD146*VLOOKUP('Données projet'!$B$11,Paramètres!$A$1:$I$89,3,0)*VLOOKUP('Données projet'!$B$11,Paramètres!$A$1:$I$89,5,0)</f>
        <v>-1.8089849618263545E-13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389.67854939311752</v>
      </c>
      <c r="BJ146" s="62">
        <f t="shared" si="146"/>
        <v>420.05189970516096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-1.0516032489249483E-12</v>
      </c>
      <c r="BZ146" s="14">
        <f>BY146*VLOOKUP('Données projet'!$B$12,Paramètres!$A$1:$I$89,3,0)*VLOOKUP('Données projet'!$B$12,Paramètres!$A$1:$I$89,5,0)</f>
        <v>-6.0151705838507046E-13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312.16891625633968</v>
      </c>
      <c r="CE146" s="62">
        <f t="shared" si="148"/>
        <v>215.34305815516177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0.52356192112308597</v>
      </c>
      <c r="CM146" s="23">
        <f>EXP(-LN(2)/2)*CM145+(1-EXP(-LN(2)/2))/(LN(2)/2)*CG146*CJ146*VLOOKUP('Données projet'!$B$12,Paramètres!$A$1:$I$89,3,0)*0.475*44/12</f>
        <v>7.9952940458750693E-17</v>
      </c>
      <c r="CN146" s="24">
        <f t="shared" si="120"/>
        <v>0.52356192112308608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3.979039320256561E-13</v>
      </c>
      <c r="CU146" s="18">
        <f>CT146*VLOOKUP('Données projet'!$B$13,Paramètres!$A$1:$I$89,3,0)*VLOOKUP('Données projet'!$B$13,Paramètres!$A$1:$I$89,5,0)</f>
        <v>2.669139576028101E-13</v>
      </c>
      <c r="CV146" s="14">
        <f t="shared" si="149"/>
        <v>3.5767923834585247E-12</v>
      </c>
      <c r="CW146" s="22">
        <f t="shared" si="121"/>
        <v>6.6944552106818241E-12</v>
      </c>
      <c r="CX146" s="62">
        <f t="shared" si="122"/>
        <v>287.40385359408276</v>
      </c>
      <c r="CY146" s="62">
        <f ca="1">AVERAGE(OFFSET($CX$3,0,0,'Données projet'!$E$13+1,1))-AVERAGE(OFFSET($H$3,0,0,'Données projet'!$E$13+1,1))</f>
        <v>369.04754428478793</v>
      </c>
      <c r="CZ146" s="62">
        <f t="shared" si="150"/>
        <v>277.00523259351712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1.1368683772161603E-13</v>
      </c>
      <c r="DP146" s="18">
        <f>DO146*VLOOKUP('Données projet'!$B$14,Paramètres!$A$1:$I$89,3,0)*VLOOKUP('Données projet'!$B$14,Paramètres!$A$1:$I$89,5,0)</f>
        <v>8.8675733422860506E-14</v>
      </c>
      <c r="DQ146" s="14">
        <f t="shared" si="151"/>
        <v>1.3509285393066301E-12</v>
      </c>
      <c r="DR146" s="22">
        <f t="shared" si="124"/>
        <v>2.5073107750038623E-12</v>
      </c>
      <c r="DS146" s="62">
        <f t="shared" si="125"/>
        <v>287.40385359407856</v>
      </c>
      <c r="DT146" s="62">
        <f ca="1">AVERAGE(OFFSET($DS$3,0,0,'Données projet'!$E$14+1,1))-AVERAGE(OFFSET($H$3,0,0,'Données projet'!$E$14+1,1))</f>
        <v>308.39181291575227</v>
      </c>
      <c r="DU146" s="62">
        <f t="shared" si="152"/>
        <v>298.58225298824334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2.4</v>
      </c>
      <c r="EJ146" s="13">
        <f>IF('Données projet'!$A$192&gt;35,EJ145+EI146-ER145,IF(A146&lt;'Données projet'!$A$192,$EG$205^A146,IF(A146='Données projet'!$A$192,'Données projet'!$B$192,EJ145+EI146-ER145)))</f>
        <v>276.19999999999919</v>
      </c>
      <c r="EK146" s="18">
        <f>EJ146*VLOOKUP('Données projet'!$B$15,Paramètres!$A$1:$I$89,3,0)*VLOOKUP('Données projet'!$B$15,Paramètres!$A$1:$I$89,5,0)</f>
        <v>267.14063999999922</v>
      </c>
      <c r="EL146" s="14">
        <f t="shared" si="153"/>
        <v>64.242065428895785</v>
      </c>
      <c r="EM146" s="22">
        <f t="shared" si="127"/>
        <v>577.15821195532533</v>
      </c>
      <c r="EN146" s="62">
        <f t="shared" si="128"/>
        <v>864.56206554940138</v>
      </c>
      <c r="EO146" s="62">
        <f ca="1">AVERAGE(OFFSET($EN$3,0,0,'Données projet'!$E$15+1,1))-AVERAGE(OFFSET($H$3,0,0,'Données projet'!$E$15+1,1))</f>
        <v>487.76433095707876</v>
      </c>
      <c r="EP146" s="62">
        <f t="shared" si="154"/>
        <v>276.24209151398361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2.4</v>
      </c>
      <c r="FE146" s="13">
        <f>IF('Données projet'!$A$218&gt;35,FE145+FD146-FM145,IF(A146&lt;'Données projet'!$A$218,$FB$205^A146,IF(A146='Données projet'!$A$218,'Données projet'!$B$218,FE145+FD146-FM145)))</f>
        <v>276.19999999999919</v>
      </c>
      <c r="FF146" s="18">
        <f>FE146*VLOOKUP('Données projet'!$B$16,Paramètres!$A$1:$I$89,3,0)*VLOOKUP('Données projet'!$B$16,Paramètres!$A$1:$I$89,5,0)</f>
        <v>297.30167999999912</v>
      </c>
      <c r="FG146" s="14">
        <f t="shared" si="155"/>
        <v>70.610494849824818</v>
      </c>
      <c r="FH146" s="22">
        <f t="shared" si="130"/>
        <v>640.78037119677663</v>
      </c>
      <c r="FI146" s="62">
        <f t="shared" si="131"/>
        <v>928.18422479085268</v>
      </c>
      <c r="FJ146" s="62">
        <f ca="1">AVERAGE(OFFSET($FI$3,0,0,'Données projet'!$E$16+1,1))-AVERAGE(OFFSET($H$3,0,0,'Données projet'!$E$16+1,1))</f>
        <v>534.33392288300456</v>
      </c>
      <c r="FK146" s="62">
        <f t="shared" si="156"/>
        <v>300.93109615735477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-5.6843418860808015E-14</v>
      </c>
      <c r="GA146" s="18">
        <f>FZ146*VLOOKUP('Données projet'!$B$17,Paramètres!$A$1:$I$89,3,0)*VLOOKUP('Données projet'!$B$17,Paramètres!$A$1:$I$89,5,0)</f>
        <v>-3.813056537183002E-14</v>
      </c>
      <c r="GB146" s="14" t="e">
        <f t="shared" si="157"/>
        <v>#NUM!</v>
      </c>
      <c r="GC146" s="22" t="e">
        <f t="shared" si="133"/>
        <v>#NUM!</v>
      </c>
      <c r="GD146" s="62" t="e">
        <f t="shared" si="134"/>
        <v>#NUM!</v>
      </c>
      <c r="GE146" s="62">
        <f ca="1">AVERAGE(OFFSET($GD$3,0,0,'Données projet'!$E$17+1,1))-AVERAGE(OFFSET($H$3,0,0,'Données projet'!$E$17+1,1))</f>
        <v>316.17772895535211</v>
      </c>
      <c r="GF146" s="62">
        <f t="shared" si="158"/>
        <v>251.94445589652992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68.382869162020739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3.95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14.483333333333334</v>
      </c>
      <c r="H147" s="70">
        <f t="shared" si="110"/>
        <v>198.73333333333335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3.5</v>
      </c>
      <c r="N147" s="14">
        <f>IF('Données projet'!$A$36&gt;35,N146+M147-V146,IF(A147&lt;'Données projet'!$A$36,$K$205^A147,IF(A147='Données projet'!$A$36,'Données projet'!$B$36,N146+M147-V146)))</f>
        <v>313.99999999999977</v>
      </c>
      <c r="O147" s="14">
        <f>N147*VLOOKUP('Données projet'!$B$9,Paramètres!$A$1:$I$89,3,0)*VLOOKUP('Données projet'!$B$9,Paramètres!$A$1:$I$89,5,0)</f>
        <v>264.51359999999983</v>
      </c>
      <c r="P147" s="14">
        <f t="shared" si="141"/>
        <v>63.683529223278924</v>
      </c>
      <c r="Q147" s="22">
        <f t="shared" si="108"/>
        <v>571.61000006387712</v>
      </c>
      <c r="R147" s="62">
        <f t="shared" si="109"/>
        <v>859.11671687509852</v>
      </c>
      <c r="S147" s="62">
        <f ca="1">AVERAGE(OFFSET($R$3,0,0,'Données projet'!$E$9+1,1))-AVERAGE(OFFSET($H$3,0,0,'Données projet'!$E$9+1,1))</f>
        <v>508.93703669150443</v>
      </c>
      <c r="T147" s="62">
        <f t="shared" si="142"/>
        <v>277.04920840696707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2.4</v>
      </c>
      <c r="AI147" s="14">
        <f>IF('Données projet'!$A$62&gt;35,AI146+AH147-AQ146,IF(A147&lt;'Données projet'!$A$62,$AF$205^A147,IF(A147='Données projet'!$A$62,'Données projet'!$B$62,AI146+AH147-AQ146)))</f>
        <v>278.59999999999917</v>
      </c>
      <c r="AJ147" s="14">
        <f>AI147*VLOOKUP('Données projet'!$B$10,Paramètres!$A$1:$I$89,3,0)*VLOOKUP('Données projet'!$B$10,Paramètres!$A$1:$I$89,5,0)</f>
        <v>252.07727999999923</v>
      </c>
      <c r="AK147" s="14">
        <f t="shared" si="143"/>
        <v>61.030544652154823</v>
      </c>
      <c r="AL147" s="22">
        <f t="shared" si="112"/>
        <v>545.32946126916829</v>
      </c>
      <c r="AM147" s="62">
        <f t="shared" si="113"/>
        <v>832.83617808038969</v>
      </c>
      <c r="AN147" s="62">
        <f ca="1">AVERAGE(OFFSET($AM$3,0,0,'Données projet'!$E$10+1,1))-AVERAGE(OFFSET($H$3,0,0,'Données projet'!$E$10+1,1))</f>
        <v>461.10503306101145</v>
      </c>
      <c r="AO147" s="62">
        <f t="shared" si="144"/>
        <v>262.10652147273288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-2.2737367544323206E-13</v>
      </c>
      <c r="BE147" s="14">
        <f>BD147*VLOOKUP('Données projet'!$B$11,Paramètres!$A$1:$I$89,3,0)*VLOOKUP('Données projet'!$B$11,Paramètres!$A$1:$I$89,5,0)</f>
        <v>-1.8089849618263545E-13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389.67854939311752</v>
      </c>
      <c r="BJ147" s="62">
        <f t="shared" si="146"/>
        <v>420.05189970516096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-1.0516032489249483E-12</v>
      </c>
      <c r="BZ147" s="14">
        <f>BY147*VLOOKUP('Données projet'!$B$12,Paramètres!$A$1:$I$89,3,0)*VLOOKUP('Données projet'!$B$12,Paramètres!$A$1:$I$89,5,0)</f>
        <v>-6.0151705838507046E-13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312.16891625633968</v>
      </c>
      <c r="CE147" s="62">
        <f t="shared" si="148"/>
        <v>215.34305815516177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0.50924509285705033</v>
      </c>
      <c r="CM147" s="23">
        <f>EXP(-LN(2)/2)*CM146+(1-EXP(-LN(2)/2))/(LN(2)/2)*CG147*CJ147*VLOOKUP('Données projet'!$B$12,Paramètres!$A$1:$I$89,3,0)*0.475*44/12</f>
        <v>5.6535266374186889E-17</v>
      </c>
      <c r="CN147" s="24">
        <f t="shared" si="120"/>
        <v>0.50924509285705044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3.979039320256561E-13</v>
      </c>
      <c r="CU147" s="18">
        <f>CT147*VLOOKUP('Données projet'!$B$13,Paramètres!$A$1:$I$89,3,0)*VLOOKUP('Données projet'!$B$13,Paramètres!$A$1:$I$89,5,0)</f>
        <v>2.669139576028101E-13</v>
      </c>
      <c r="CV147" s="14">
        <f t="shared" si="149"/>
        <v>3.5767923834585247E-12</v>
      </c>
      <c r="CW147" s="22">
        <f t="shared" si="121"/>
        <v>6.6944552106818241E-12</v>
      </c>
      <c r="CX147" s="62">
        <f t="shared" si="122"/>
        <v>287.5067168112281</v>
      </c>
      <c r="CY147" s="62">
        <f ca="1">AVERAGE(OFFSET($CX$3,0,0,'Données projet'!$E$13+1,1))-AVERAGE(OFFSET($H$3,0,0,'Données projet'!$E$13+1,1))</f>
        <v>369.04754428478793</v>
      </c>
      <c r="CZ147" s="62">
        <f t="shared" si="150"/>
        <v>277.00523259351712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1.1368683772161603E-13</v>
      </c>
      <c r="DP147" s="18">
        <f>DO147*VLOOKUP('Données projet'!$B$14,Paramètres!$A$1:$I$89,3,0)*VLOOKUP('Données projet'!$B$14,Paramètres!$A$1:$I$89,5,0)</f>
        <v>8.8675733422860506E-14</v>
      </c>
      <c r="DQ147" s="14">
        <f t="shared" si="151"/>
        <v>1.3509285393066301E-12</v>
      </c>
      <c r="DR147" s="22">
        <f t="shared" si="124"/>
        <v>2.5073107750038623E-12</v>
      </c>
      <c r="DS147" s="62">
        <f t="shared" si="125"/>
        <v>287.5067168112239</v>
      </c>
      <c r="DT147" s="62">
        <f ca="1">AVERAGE(OFFSET($DS$3,0,0,'Données projet'!$E$14+1,1))-AVERAGE(OFFSET($H$3,0,0,'Données projet'!$E$14+1,1))</f>
        <v>308.39181291575227</v>
      </c>
      <c r="DU147" s="62">
        <f t="shared" si="152"/>
        <v>298.58225298824334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2.4</v>
      </c>
      <c r="EJ147" s="13">
        <f>IF('Données projet'!$A$192&gt;35,EJ146+EI147-ER146,IF(A147&lt;'Données projet'!$A$192,$EG$205^A147,IF(A147='Données projet'!$A$192,'Données projet'!$B$192,EJ146+EI147-ER146)))</f>
        <v>278.59999999999917</v>
      </c>
      <c r="EK147" s="18">
        <f>EJ147*VLOOKUP('Données projet'!$B$15,Paramètres!$A$1:$I$89,3,0)*VLOOKUP('Données projet'!$B$15,Paramètres!$A$1:$I$89,5,0)</f>
        <v>269.46191999999922</v>
      </c>
      <c r="EL147" s="14">
        <f t="shared" si="153"/>
        <v>64.735061876838927</v>
      </c>
      <c r="EM147" s="22">
        <f t="shared" si="127"/>
        <v>582.05974343549315</v>
      </c>
      <c r="EN147" s="62">
        <f t="shared" si="128"/>
        <v>869.56646024671454</v>
      </c>
      <c r="EO147" s="62">
        <f ca="1">AVERAGE(OFFSET($EN$3,0,0,'Données projet'!$E$15+1,1))-AVERAGE(OFFSET($H$3,0,0,'Données projet'!$E$15+1,1))</f>
        <v>487.76433095707876</v>
      </c>
      <c r="EP147" s="62">
        <f t="shared" si="154"/>
        <v>276.24209151398361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2.4</v>
      </c>
      <c r="FE147" s="13">
        <f>IF('Données projet'!$A$218&gt;35,FE146+FD147-FM146,IF(A147&lt;'Données projet'!$A$218,$FB$205^A147,IF(A147='Données projet'!$A$218,'Données projet'!$B$218,FE146+FD147-FM146)))</f>
        <v>278.59999999999917</v>
      </c>
      <c r="FF147" s="18">
        <f>FE147*VLOOKUP('Données projet'!$B$16,Paramètres!$A$1:$I$89,3,0)*VLOOKUP('Données projet'!$B$16,Paramètres!$A$1:$I$89,5,0)</f>
        <v>299.88503999999909</v>
      </c>
      <c r="FG147" s="14">
        <f t="shared" si="155"/>
        <v>71.152362906464447</v>
      </c>
      <c r="FH147" s="22">
        <f t="shared" si="130"/>
        <v>646.2234767287573</v>
      </c>
      <c r="FI147" s="62">
        <f t="shared" si="131"/>
        <v>933.7301935399787</v>
      </c>
      <c r="FJ147" s="62">
        <f ca="1">AVERAGE(OFFSET($FI$3,0,0,'Données projet'!$E$16+1,1))-AVERAGE(OFFSET($H$3,0,0,'Données projet'!$E$16+1,1))</f>
        <v>534.33392288300456</v>
      </c>
      <c r="FK147" s="62">
        <f t="shared" si="156"/>
        <v>300.93109615735477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-5.6843418860808015E-14</v>
      </c>
      <c r="GA147" s="18">
        <f>FZ147*VLOOKUP('Données projet'!$B$17,Paramètres!$A$1:$I$89,3,0)*VLOOKUP('Données projet'!$B$17,Paramètres!$A$1:$I$89,5,0)</f>
        <v>-3.813056537183002E-14</v>
      </c>
      <c r="GB147" s="14" t="e">
        <f t="shared" si="157"/>
        <v>#NUM!</v>
      </c>
      <c r="GC147" s="22" t="e">
        <f t="shared" si="133"/>
        <v>#NUM!</v>
      </c>
      <c r="GD147" s="62" t="e">
        <f t="shared" si="134"/>
        <v>#NUM!</v>
      </c>
      <c r="GE147" s="62">
        <f ca="1">AVERAGE(OFFSET($GD$3,0,0,'Données projet'!$E$17+1,1))-AVERAGE(OFFSET($H$3,0,0,'Données projet'!$E$17+1,1))</f>
        <v>316.17772895535211</v>
      </c>
      <c r="GF147" s="62">
        <f t="shared" si="158"/>
        <v>251.94445589652992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68.410922766696743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3.95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14.483333333333334</v>
      </c>
      <c r="H148" s="70">
        <f t="shared" si="110"/>
        <v>198.73333333333335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3.5</v>
      </c>
      <c r="N148" s="14">
        <f>IF('Données projet'!$A$36&gt;35,N147+M148-V147,IF(A148&lt;'Données projet'!$A$36,$K$205^A148,IF(A148='Données projet'!$A$36,'Données projet'!$B$36,N147+M148-V147)))</f>
        <v>317.49999999999977</v>
      </c>
      <c r="O148" s="14">
        <f>N148*VLOOKUP('Données projet'!$B$9,Paramètres!$A$1:$I$89,3,0)*VLOOKUP('Données projet'!$B$9,Paramètres!$A$1:$I$89,5,0)</f>
        <v>267.46199999999982</v>
      </c>
      <c r="P148" s="14">
        <f t="shared" si="141"/>
        <v>64.310345924662869</v>
      </c>
      <c r="Q148" s="22">
        <f t="shared" si="108"/>
        <v>577.83683581878734</v>
      </c>
      <c r="R148" s="62">
        <f t="shared" si="109"/>
        <v>865.44463140030427</v>
      </c>
      <c r="S148" s="62">
        <f ca="1">AVERAGE(OFFSET($R$3,0,0,'Données projet'!$E$9+1,1))-AVERAGE(OFFSET($H$3,0,0,'Données projet'!$E$9+1,1))</f>
        <v>508.93703669150443</v>
      </c>
      <c r="T148" s="62">
        <f t="shared" si="142"/>
        <v>277.04920840696707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2.4</v>
      </c>
      <c r="AI148" s="14">
        <f>IF('Données projet'!$A$62&gt;35,AI147+AH148-AQ147,IF(A148&lt;'Données projet'!$A$62,$AF$205^A148,IF(A148='Données projet'!$A$62,'Données projet'!$B$62,AI147+AH148-AQ147)))</f>
        <v>280.99999999999915</v>
      </c>
      <c r="AJ148" s="14">
        <f>AI148*VLOOKUP('Données projet'!$B$10,Paramètres!$A$1:$I$89,3,0)*VLOOKUP('Données projet'!$B$10,Paramètres!$A$1:$I$89,5,0)</f>
        <v>254.24879999999925</v>
      </c>
      <c r="AK148" s="14">
        <f t="shared" si="143"/>
        <v>61.494863147658698</v>
      </c>
      <c r="AL148" s="22">
        <f t="shared" si="112"/>
        <v>549.92021331550427</v>
      </c>
      <c r="AM148" s="62">
        <f t="shared" si="113"/>
        <v>837.52800889702121</v>
      </c>
      <c r="AN148" s="62">
        <f ca="1">AVERAGE(OFFSET($AM$3,0,0,'Données projet'!$E$10+1,1))-AVERAGE(OFFSET($H$3,0,0,'Données projet'!$E$10+1,1))</f>
        <v>461.10503306101145</v>
      </c>
      <c r="AO148" s="62">
        <f t="shared" si="144"/>
        <v>262.10652147273288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-2.2737367544323206E-13</v>
      </c>
      <c r="BE148" s="14">
        <f>BD148*VLOOKUP('Données projet'!$B$11,Paramètres!$A$1:$I$89,3,0)*VLOOKUP('Données projet'!$B$11,Paramètres!$A$1:$I$89,5,0)</f>
        <v>-1.8089849618263545E-13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389.67854939311752</v>
      </c>
      <c r="BJ148" s="62">
        <f t="shared" si="146"/>
        <v>420.05189970516096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-1.0516032489249483E-12</v>
      </c>
      <c r="BZ148" s="14">
        <f>BY148*VLOOKUP('Données projet'!$B$12,Paramètres!$A$1:$I$89,3,0)*VLOOKUP('Données projet'!$B$12,Paramètres!$A$1:$I$89,5,0)</f>
        <v>-6.0151705838507046E-13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312.16891625633968</v>
      </c>
      <c r="CE148" s="62">
        <f t="shared" si="148"/>
        <v>215.34305815516177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0.49531975901283876</v>
      </c>
      <c r="CM148" s="23">
        <f>EXP(-LN(2)/2)*CM147+(1-EXP(-LN(2)/2))/(LN(2)/2)*CG148*CJ148*VLOOKUP('Données projet'!$B$12,Paramètres!$A$1:$I$89,3,0)*0.475*44/12</f>
        <v>3.9976470229375347E-17</v>
      </c>
      <c r="CN148" s="24">
        <f t="shared" si="120"/>
        <v>0.49531975901283881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3.979039320256561E-13</v>
      </c>
      <c r="CU148" s="18">
        <f>CT148*VLOOKUP('Données projet'!$B$13,Paramètres!$A$1:$I$89,3,0)*VLOOKUP('Données projet'!$B$13,Paramètres!$A$1:$I$89,5,0)</f>
        <v>2.669139576028101E-13</v>
      </c>
      <c r="CV148" s="14">
        <f t="shared" si="149"/>
        <v>3.5767923834585247E-12</v>
      </c>
      <c r="CW148" s="22">
        <f t="shared" si="121"/>
        <v>6.6944552106818241E-12</v>
      </c>
      <c r="CX148" s="62">
        <f t="shared" si="122"/>
        <v>287.60779558152365</v>
      </c>
      <c r="CY148" s="62">
        <f ca="1">AVERAGE(OFFSET($CX$3,0,0,'Données projet'!$E$13+1,1))-AVERAGE(OFFSET($H$3,0,0,'Données projet'!$E$13+1,1))</f>
        <v>369.04754428478793</v>
      </c>
      <c r="CZ148" s="62">
        <f t="shared" si="150"/>
        <v>277.00523259351712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1.1368683772161603E-13</v>
      </c>
      <c r="DP148" s="18">
        <f>DO148*VLOOKUP('Données projet'!$B$14,Paramètres!$A$1:$I$89,3,0)*VLOOKUP('Données projet'!$B$14,Paramètres!$A$1:$I$89,5,0)</f>
        <v>8.8675733422860506E-14</v>
      </c>
      <c r="DQ148" s="14">
        <f t="shared" si="151"/>
        <v>1.3509285393066301E-12</v>
      </c>
      <c r="DR148" s="22">
        <f t="shared" si="124"/>
        <v>2.5073107750038623E-12</v>
      </c>
      <c r="DS148" s="62">
        <f t="shared" si="125"/>
        <v>287.60779558151944</v>
      </c>
      <c r="DT148" s="62">
        <f ca="1">AVERAGE(OFFSET($DS$3,0,0,'Données projet'!$E$14+1,1))-AVERAGE(OFFSET($H$3,0,0,'Données projet'!$E$14+1,1))</f>
        <v>308.39181291575227</v>
      </c>
      <c r="DU148" s="62">
        <f t="shared" si="152"/>
        <v>298.58225298824334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2.4</v>
      </c>
      <c r="EJ148" s="13">
        <f>IF('Données projet'!$A$192&gt;35,EJ147+EI148-ER147,IF(A148&lt;'Données projet'!$A$192,$EG$205^A148,IF(A148='Données projet'!$A$192,'Données projet'!$B$192,EJ147+EI148-ER147)))</f>
        <v>280.99999999999915</v>
      </c>
      <c r="EK148" s="18">
        <f>EJ148*VLOOKUP('Données projet'!$B$15,Paramètres!$A$1:$I$89,3,0)*VLOOKUP('Données projet'!$B$15,Paramètres!$A$1:$I$89,5,0)</f>
        <v>271.78319999999917</v>
      </c>
      <c r="EL148" s="14">
        <f t="shared" si="153"/>
        <v>65.227564224775008</v>
      </c>
      <c r="EM148" s="22">
        <f t="shared" si="127"/>
        <v>586.96041435814834</v>
      </c>
      <c r="EN148" s="62">
        <f t="shared" si="128"/>
        <v>874.56820993966528</v>
      </c>
      <c r="EO148" s="62">
        <f ca="1">AVERAGE(OFFSET($EN$3,0,0,'Données projet'!$E$15+1,1))-AVERAGE(OFFSET($H$3,0,0,'Données projet'!$E$15+1,1))</f>
        <v>487.76433095707876</v>
      </c>
      <c r="EP148" s="62">
        <f t="shared" si="154"/>
        <v>276.24209151398361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2.4</v>
      </c>
      <c r="FE148" s="13">
        <f>IF('Données projet'!$A$218&gt;35,FE147+FD148-FM147,IF(A148&lt;'Données projet'!$A$218,$FB$205^A148,IF(A148='Données projet'!$A$218,'Données projet'!$B$218,FE147+FD148-FM147)))</f>
        <v>280.99999999999915</v>
      </c>
      <c r="FF148" s="18">
        <f>FE148*VLOOKUP('Données projet'!$B$16,Paramètres!$A$1:$I$89,3,0)*VLOOKUP('Données projet'!$B$16,Paramètres!$A$1:$I$89,5,0)</f>
        <v>302.46839999999906</v>
      </c>
      <c r="FG148" s="14">
        <f t="shared" si="155"/>
        <v>71.693687882090543</v>
      </c>
      <c r="FH148" s="22">
        <f t="shared" si="130"/>
        <v>651.66563639463936</v>
      </c>
      <c r="FI148" s="62">
        <f t="shared" si="131"/>
        <v>939.2734319761563</v>
      </c>
      <c r="FJ148" s="62">
        <f ca="1">AVERAGE(OFFSET($FI$3,0,0,'Données projet'!$E$16+1,1))-AVERAGE(OFFSET($H$3,0,0,'Données projet'!$E$16+1,1))</f>
        <v>534.33392288300456</v>
      </c>
      <c r="FK148" s="62">
        <f t="shared" si="156"/>
        <v>300.93109615735477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-5.6843418860808015E-14</v>
      </c>
      <c r="GA148" s="18">
        <f>FZ148*VLOOKUP('Données projet'!$B$17,Paramètres!$A$1:$I$89,3,0)*VLOOKUP('Données projet'!$B$17,Paramètres!$A$1:$I$89,5,0)</f>
        <v>-3.813056537183002E-14</v>
      </c>
      <c r="GB148" s="14" t="e">
        <f t="shared" si="157"/>
        <v>#NUM!</v>
      </c>
      <c r="GC148" s="22" t="e">
        <f t="shared" si="133"/>
        <v>#NUM!</v>
      </c>
      <c r="GD148" s="62" t="e">
        <f t="shared" si="134"/>
        <v>#NUM!</v>
      </c>
      <c r="GE148" s="62">
        <f ca="1">AVERAGE(OFFSET($GD$3,0,0,'Données projet'!$E$17+1,1))-AVERAGE(OFFSET($H$3,0,0,'Données projet'!$E$17+1,1))</f>
        <v>316.17772895535211</v>
      </c>
      <c r="GF148" s="62">
        <f t="shared" si="158"/>
        <v>251.94445589652992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68.43848970405007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3.95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14.483333333333334</v>
      </c>
      <c r="H149" s="70">
        <f t="shared" si="110"/>
        <v>198.73333333333335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3.5</v>
      </c>
      <c r="N149" s="14">
        <f>IF('Données projet'!$A$36&gt;35,N148+M149-V148,IF(A149&lt;'Données projet'!$A$36,$K$205^A149,IF(A149='Données projet'!$A$36,'Données projet'!$B$36,N148+M149-V148)))</f>
        <v>320.99999999999977</v>
      </c>
      <c r="O149" s="14">
        <f>N149*VLOOKUP('Données projet'!$B$9,Paramètres!$A$1:$I$89,3,0)*VLOOKUP('Données projet'!$B$9,Paramètres!$A$1:$I$89,5,0)</f>
        <v>270.41039999999981</v>
      </c>
      <c r="P149" s="14">
        <f t="shared" si="141"/>
        <v>64.936358825024342</v>
      </c>
      <c r="Q149" s="22">
        <f t="shared" si="108"/>
        <v>584.06227162025027</v>
      </c>
      <c r="R149" s="62">
        <f t="shared" si="109"/>
        <v>871.76939248137649</v>
      </c>
      <c r="S149" s="62">
        <f ca="1">AVERAGE(OFFSET($R$3,0,0,'Données projet'!$E$9+1,1))-AVERAGE(OFFSET($H$3,0,0,'Données projet'!$E$9+1,1))</f>
        <v>508.93703669150443</v>
      </c>
      <c r="T149" s="62">
        <f t="shared" si="142"/>
        <v>277.04920840696707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2.4</v>
      </c>
      <c r="AI149" s="14">
        <f>IF('Données projet'!$A$62&gt;35,AI148+AH149-AQ148,IF(A149&lt;'Données projet'!$A$62,$AF$205^A149,IF(A149='Données projet'!$A$62,'Données projet'!$B$62,AI148+AH149-AQ148)))</f>
        <v>283.39999999999912</v>
      </c>
      <c r="AJ149" s="14">
        <f>AI149*VLOOKUP('Données projet'!$B$10,Paramètres!$A$1:$I$89,3,0)*VLOOKUP('Données projet'!$B$10,Paramètres!$A$1:$I$89,5,0)</f>
        <v>256.42031999999921</v>
      </c>
      <c r="AK149" s="14">
        <f t="shared" si="143"/>
        <v>61.958720258016747</v>
      </c>
      <c r="AL149" s="22">
        <f t="shared" si="112"/>
        <v>554.51016178271107</v>
      </c>
      <c r="AM149" s="62">
        <f t="shared" si="113"/>
        <v>842.21728264383728</v>
      </c>
      <c r="AN149" s="62">
        <f ca="1">AVERAGE(OFFSET($AM$3,0,0,'Données projet'!$E$10+1,1))-AVERAGE(OFFSET($H$3,0,0,'Données projet'!$E$10+1,1))</f>
        <v>461.10503306101145</v>
      </c>
      <c r="AO149" s="62">
        <f t="shared" si="144"/>
        <v>262.10652147273288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-2.2737367544323206E-13</v>
      </c>
      <c r="BE149" s="14">
        <f>BD149*VLOOKUP('Données projet'!$B$11,Paramètres!$A$1:$I$89,3,0)*VLOOKUP('Données projet'!$B$11,Paramètres!$A$1:$I$89,5,0)</f>
        <v>-1.8089849618263545E-13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389.67854939311752</v>
      </c>
      <c r="BJ149" s="62">
        <f t="shared" si="146"/>
        <v>420.05189970516096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-1.0516032489249483E-12</v>
      </c>
      <c r="BZ149" s="14">
        <f>BY149*VLOOKUP('Données projet'!$B$12,Paramètres!$A$1:$I$89,3,0)*VLOOKUP('Données projet'!$B$12,Paramètres!$A$1:$I$89,5,0)</f>
        <v>-6.0151705838507046E-13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312.16891625633968</v>
      </c>
      <c r="CE149" s="62">
        <f t="shared" si="148"/>
        <v>215.34305815516177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0.4817752141548986</v>
      </c>
      <c r="CM149" s="23">
        <f>EXP(-LN(2)/2)*CM148+(1-EXP(-LN(2)/2))/(LN(2)/2)*CG149*CJ149*VLOOKUP('Données projet'!$B$12,Paramètres!$A$1:$I$89,3,0)*0.475*44/12</f>
        <v>2.8267633187093444E-17</v>
      </c>
      <c r="CN149" s="24">
        <f t="shared" si="120"/>
        <v>0.48177521415489866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3.979039320256561E-13</v>
      </c>
      <c r="CU149" s="18">
        <f>CT149*VLOOKUP('Données projet'!$B$13,Paramètres!$A$1:$I$89,3,0)*VLOOKUP('Données projet'!$B$13,Paramètres!$A$1:$I$89,5,0)</f>
        <v>2.669139576028101E-13</v>
      </c>
      <c r="CV149" s="14">
        <f t="shared" si="149"/>
        <v>3.5767923834585247E-12</v>
      </c>
      <c r="CW149" s="22">
        <f t="shared" si="121"/>
        <v>6.6944552106818241E-12</v>
      </c>
      <c r="CX149" s="62">
        <f t="shared" si="122"/>
        <v>287.70712086113292</v>
      </c>
      <c r="CY149" s="62">
        <f ca="1">AVERAGE(OFFSET($CX$3,0,0,'Données projet'!$E$13+1,1))-AVERAGE(OFFSET($H$3,0,0,'Données projet'!$E$13+1,1))</f>
        <v>369.04754428478793</v>
      </c>
      <c r="CZ149" s="62">
        <f t="shared" si="150"/>
        <v>277.00523259351712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1.1368683772161603E-13</v>
      </c>
      <c r="DP149" s="18">
        <f>DO149*VLOOKUP('Données projet'!$B$14,Paramètres!$A$1:$I$89,3,0)*VLOOKUP('Données projet'!$B$14,Paramètres!$A$1:$I$89,5,0)</f>
        <v>8.8675733422860506E-14</v>
      </c>
      <c r="DQ149" s="14">
        <f t="shared" si="151"/>
        <v>1.3509285393066301E-12</v>
      </c>
      <c r="DR149" s="22">
        <f t="shared" si="124"/>
        <v>2.5073107750038623E-12</v>
      </c>
      <c r="DS149" s="62">
        <f t="shared" si="125"/>
        <v>287.70712086112871</v>
      </c>
      <c r="DT149" s="62">
        <f ca="1">AVERAGE(OFFSET($DS$3,0,0,'Données projet'!$E$14+1,1))-AVERAGE(OFFSET($H$3,0,0,'Données projet'!$E$14+1,1))</f>
        <v>308.39181291575227</v>
      </c>
      <c r="DU149" s="62">
        <f t="shared" si="152"/>
        <v>298.58225298824334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2.4</v>
      </c>
      <c r="EJ149" s="13">
        <f>IF('Données projet'!$A$192&gt;35,EJ148+EI149-ER148,IF(A149&lt;'Données projet'!$A$192,$EG$205^A149,IF(A149='Données projet'!$A$192,'Données projet'!$B$192,EJ148+EI149-ER148)))</f>
        <v>283.39999999999912</v>
      </c>
      <c r="EK149" s="18">
        <f>EJ149*VLOOKUP('Données projet'!$B$15,Paramètres!$A$1:$I$89,3,0)*VLOOKUP('Données projet'!$B$15,Paramètres!$A$1:$I$89,5,0)</f>
        <v>274.10447999999917</v>
      </c>
      <c r="EL149" s="14">
        <f t="shared" si="153"/>
        <v>65.719577181765331</v>
      </c>
      <c r="EM149" s="22">
        <f t="shared" si="127"/>
        <v>591.86023292490643</v>
      </c>
      <c r="EN149" s="62">
        <f t="shared" si="128"/>
        <v>879.56735378603264</v>
      </c>
      <c r="EO149" s="62">
        <f ca="1">AVERAGE(OFFSET($EN$3,0,0,'Données projet'!$E$15+1,1))-AVERAGE(OFFSET($H$3,0,0,'Données projet'!$E$15+1,1))</f>
        <v>487.76433095707876</v>
      </c>
      <c r="EP149" s="62">
        <f t="shared" si="154"/>
        <v>276.24209151398361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2.4</v>
      </c>
      <c r="FE149" s="13">
        <f>IF('Données projet'!$A$218&gt;35,FE148+FD149-FM148,IF(A149&lt;'Données projet'!$A$218,$FB$205^A149,IF(A149='Données projet'!$A$218,'Données projet'!$B$218,FE148+FD149-FM148)))</f>
        <v>283.39999999999912</v>
      </c>
      <c r="FF149" s="18">
        <f>FE149*VLOOKUP('Données projet'!$B$16,Paramètres!$A$1:$I$89,3,0)*VLOOKUP('Données projet'!$B$16,Paramètres!$A$1:$I$89,5,0)</f>
        <v>305.05175999999904</v>
      </c>
      <c r="FG149" s="14">
        <f t="shared" si="155"/>
        <v>72.234474952581991</v>
      </c>
      <c r="FH149" s="22">
        <f t="shared" si="130"/>
        <v>657.10685920907861</v>
      </c>
      <c r="FI149" s="62">
        <f t="shared" si="131"/>
        <v>944.81398007020482</v>
      </c>
      <c r="FJ149" s="62">
        <f ca="1">AVERAGE(OFFSET($FI$3,0,0,'Données projet'!$E$16+1,1))-AVERAGE(OFFSET($H$3,0,0,'Données projet'!$E$16+1,1))</f>
        <v>534.33392288300456</v>
      </c>
      <c r="FK149" s="62">
        <f t="shared" si="156"/>
        <v>300.93109615735477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-5.6843418860808015E-14</v>
      </c>
      <c r="GA149" s="18">
        <f>FZ149*VLOOKUP('Données projet'!$B$17,Paramètres!$A$1:$I$89,3,0)*VLOOKUP('Données projet'!$B$17,Paramètres!$A$1:$I$89,5,0)</f>
        <v>-3.813056537183002E-14</v>
      </c>
      <c r="GB149" s="14" t="e">
        <f t="shared" si="157"/>
        <v>#NUM!</v>
      </c>
      <c r="GC149" s="22" t="e">
        <f t="shared" si="133"/>
        <v>#NUM!</v>
      </c>
      <c r="GD149" s="62" t="e">
        <f t="shared" si="134"/>
        <v>#NUM!</v>
      </c>
      <c r="GE149" s="62">
        <f ca="1">AVERAGE(OFFSET($GD$3,0,0,'Données projet'!$E$17+1,1))-AVERAGE(OFFSET($H$3,0,0,'Données projet'!$E$17+1,1))</f>
        <v>316.17772895535211</v>
      </c>
      <c r="GF149" s="62">
        <f t="shared" si="158"/>
        <v>251.94445589652992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68.46557841667078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3.95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14.483333333333334</v>
      </c>
      <c r="H150" s="70">
        <f t="shared" si="110"/>
        <v>198.73333333333335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3.5</v>
      </c>
      <c r="N150" s="14">
        <f>IF('Données projet'!$A$36&gt;35,N149+M150-V149,IF(A150&lt;'Données projet'!$A$36,$K$205^A150,IF(A150='Données projet'!$A$36,'Données projet'!$B$36,N149+M150-V149)))</f>
        <v>324.49999999999977</v>
      </c>
      <c r="O150" s="14">
        <f>N150*VLOOKUP('Données projet'!$B$9,Paramètres!$A$1:$I$89,3,0)*VLOOKUP('Données projet'!$B$9,Paramètres!$A$1:$I$89,5,0)</f>
        <v>273.3587999999998</v>
      </c>
      <c r="P150" s="14">
        <f t="shared" si="141"/>
        <v>65.561577702883213</v>
      </c>
      <c r="Q150" s="22">
        <f t="shared" si="108"/>
        <v>590.28632449918791</v>
      </c>
      <c r="R150" s="62">
        <f t="shared" si="109"/>
        <v>878.09104756838019</v>
      </c>
      <c r="S150" s="62">
        <f ca="1">AVERAGE(OFFSET($R$3,0,0,'Données projet'!$E$9+1,1))-AVERAGE(OFFSET($H$3,0,0,'Données projet'!$E$9+1,1))</f>
        <v>508.93703669150443</v>
      </c>
      <c r="T150" s="62">
        <f t="shared" si="142"/>
        <v>277.04920840696707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2.4</v>
      </c>
      <c r="AI150" s="14">
        <f>IF('Données projet'!$A$62&gt;35,AI149+AH150-AQ149,IF(A150&lt;'Données projet'!$A$62,$AF$205^A150,IF(A150='Données projet'!$A$62,'Données projet'!$B$62,AI149+AH150-AQ149)))</f>
        <v>285.7999999999991</v>
      </c>
      <c r="AJ150" s="14">
        <f>AI150*VLOOKUP('Données projet'!$B$10,Paramètres!$A$1:$I$89,3,0)*VLOOKUP('Données projet'!$B$10,Paramètres!$A$1:$I$89,5,0)</f>
        <v>258.59183999999919</v>
      </c>
      <c r="AK150" s="14">
        <f t="shared" si="143"/>
        <v>62.422120343276475</v>
      </c>
      <c r="AL150" s="22">
        <f t="shared" si="112"/>
        <v>559.09931426453841</v>
      </c>
      <c r="AM150" s="62">
        <f t="shared" si="113"/>
        <v>846.90403733373068</v>
      </c>
      <c r="AN150" s="62">
        <f ca="1">AVERAGE(OFFSET($AM$3,0,0,'Données projet'!$E$10+1,1))-AVERAGE(OFFSET($H$3,0,0,'Données projet'!$E$10+1,1))</f>
        <v>461.10503306101145</v>
      </c>
      <c r="AO150" s="62">
        <f t="shared" si="144"/>
        <v>262.10652147273288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-2.2737367544323206E-13</v>
      </c>
      <c r="BE150" s="14">
        <f>BD150*VLOOKUP('Données projet'!$B$11,Paramètres!$A$1:$I$89,3,0)*VLOOKUP('Données projet'!$B$11,Paramètres!$A$1:$I$89,5,0)</f>
        <v>-1.8089849618263545E-13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389.67854939311752</v>
      </c>
      <c r="BJ150" s="62">
        <f t="shared" si="146"/>
        <v>420.05189970516096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-1.0516032489249483E-12</v>
      </c>
      <c r="BZ150" s="14">
        <f>BY150*VLOOKUP('Données projet'!$B$12,Paramètres!$A$1:$I$89,3,0)*VLOOKUP('Données projet'!$B$12,Paramètres!$A$1:$I$89,5,0)</f>
        <v>-6.0151705838507046E-13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312.16891625633968</v>
      </c>
      <c r="CE150" s="62">
        <f t="shared" si="148"/>
        <v>215.34305815516177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0.46860104558837551</v>
      </c>
      <c r="CM150" s="23">
        <f>EXP(-LN(2)/2)*CM149+(1-EXP(-LN(2)/2))/(LN(2)/2)*CG150*CJ150*VLOOKUP('Données projet'!$B$12,Paramètres!$A$1:$I$89,3,0)*0.475*44/12</f>
        <v>1.9988235114687673E-17</v>
      </c>
      <c r="CN150" s="24">
        <f t="shared" si="120"/>
        <v>0.46860104558837551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3.979039320256561E-13</v>
      </c>
      <c r="CU150" s="18">
        <f>CT150*VLOOKUP('Données projet'!$B$13,Paramètres!$A$1:$I$89,3,0)*VLOOKUP('Données projet'!$B$13,Paramètres!$A$1:$I$89,5,0)</f>
        <v>2.669139576028101E-13</v>
      </c>
      <c r="CV150" s="14">
        <f t="shared" si="149"/>
        <v>3.5767923834585247E-12</v>
      </c>
      <c r="CW150" s="22">
        <f t="shared" si="121"/>
        <v>6.6944552106818241E-12</v>
      </c>
      <c r="CX150" s="62">
        <f t="shared" si="122"/>
        <v>287.80472306919893</v>
      </c>
      <c r="CY150" s="62">
        <f ca="1">AVERAGE(OFFSET($CX$3,0,0,'Données projet'!$E$13+1,1))-AVERAGE(OFFSET($H$3,0,0,'Données projet'!$E$13+1,1))</f>
        <v>369.04754428478793</v>
      </c>
      <c r="CZ150" s="62">
        <f t="shared" si="150"/>
        <v>277.00523259351712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1.1368683772161603E-13</v>
      </c>
      <c r="DP150" s="18">
        <f>DO150*VLOOKUP('Données projet'!$B$14,Paramètres!$A$1:$I$89,3,0)*VLOOKUP('Données projet'!$B$14,Paramètres!$A$1:$I$89,5,0)</f>
        <v>8.8675733422860506E-14</v>
      </c>
      <c r="DQ150" s="14">
        <f t="shared" si="151"/>
        <v>1.3509285393066301E-12</v>
      </c>
      <c r="DR150" s="22">
        <f t="shared" si="124"/>
        <v>2.5073107750038623E-12</v>
      </c>
      <c r="DS150" s="62">
        <f t="shared" si="125"/>
        <v>287.80472306919472</v>
      </c>
      <c r="DT150" s="62">
        <f ca="1">AVERAGE(OFFSET($DS$3,0,0,'Données projet'!$E$14+1,1))-AVERAGE(OFFSET($H$3,0,0,'Données projet'!$E$14+1,1))</f>
        <v>308.39181291575227</v>
      </c>
      <c r="DU150" s="62">
        <f t="shared" si="152"/>
        <v>298.58225298824334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2.4</v>
      </c>
      <c r="EJ150" s="13">
        <f>IF('Données projet'!$A$192&gt;35,EJ149+EI150-ER149,IF(A150&lt;'Données projet'!$A$192,$EG$205^A150,IF(A150='Données projet'!$A$192,'Données projet'!$B$192,EJ149+EI150-ER149)))</f>
        <v>285.7999999999991</v>
      </c>
      <c r="EK150" s="18">
        <f>EJ150*VLOOKUP('Données projet'!$B$15,Paramètres!$A$1:$I$89,3,0)*VLOOKUP('Données projet'!$B$15,Paramètres!$A$1:$I$89,5,0)</f>
        <v>276.42575999999912</v>
      </c>
      <c r="EL150" s="14">
        <f t="shared" si="153"/>
        <v>66.211105372509707</v>
      </c>
      <c r="EM150" s="22">
        <f t="shared" si="127"/>
        <v>596.75920719045291</v>
      </c>
      <c r="EN150" s="62">
        <f t="shared" si="128"/>
        <v>884.56393025964508</v>
      </c>
      <c r="EO150" s="62">
        <f ca="1">AVERAGE(OFFSET($EN$3,0,0,'Données projet'!$E$15+1,1))-AVERAGE(OFFSET($H$3,0,0,'Données projet'!$E$15+1,1))</f>
        <v>487.76433095707876</v>
      </c>
      <c r="EP150" s="62">
        <f t="shared" si="154"/>
        <v>276.24209151398361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2.4</v>
      </c>
      <c r="FE150" s="13">
        <f>IF('Données projet'!$A$218&gt;35,FE149+FD150-FM149,IF(A150&lt;'Données projet'!$A$218,$FB$205^A150,IF(A150='Données projet'!$A$218,'Données projet'!$B$218,FE149+FD150-FM149)))</f>
        <v>285.7999999999991</v>
      </c>
      <c r="FF150" s="18">
        <f>FE150*VLOOKUP('Données projet'!$B$16,Paramètres!$A$1:$I$89,3,0)*VLOOKUP('Données projet'!$B$16,Paramètres!$A$1:$I$89,5,0)</f>
        <v>307.63511999999901</v>
      </c>
      <c r="FG150" s="14">
        <f t="shared" si="155"/>
        <v>72.774729201093322</v>
      </c>
      <c r="FH150" s="22">
        <f t="shared" si="130"/>
        <v>662.54715402523584</v>
      </c>
      <c r="FI150" s="62">
        <f t="shared" si="131"/>
        <v>950.35187709442812</v>
      </c>
      <c r="FJ150" s="62">
        <f ca="1">AVERAGE(OFFSET($FI$3,0,0,'Données projet'!$E$16+1,1))-AVERAGE(OFFSET($H$3,0,0,'Données projet'!$E$16+1,1))</f>
        <v>534.33392288300456</v>
      </c>
      <c r="FK150" s="62">
        <f t="shared" si="156"/>
        <v>300.93109615735477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-5.6843418860808015E-14</v>
      </c>
      <c r="GA150" s="18">
        <f>FZ150*VLOOKUP('Données projet'!$B$17,Paramètres!$A$1:$I$89,3,0)*VLOOKUP('Données projet'!$B$17,Paramètres!$A$1:$I$89,5,0)</f>
        <v>-3.813056537183002E-14</v>
      </c>
      <c r="GB150" s="14" t="e">
        <f t="shared" si="157"/>
        <v>#NUM!</v>
      </c>
      <c r="GC150" s="22" t="e">
        <f t="shared" si="133"/>
        <v>#NUM!</v>
      </c>
      <c r="GD150" s="62" t="e">
        <f t="shared" si="134"/>
        <v>#NUM!</v>
      </c>
      <c r="GE150" s="62">
        <f ca="1">AVERAGE(OFFSET($GD$3,0,0,'Données projet'!$E$17+1,1))-AVERAGE(OFFSET($H$3,0,0,'Données projet'!$E$17+1,1))</f>
        <v>316.17772895535211</v>
      </c>
      <c r="GF150" s="62">
        <f t="shared" si="158"/>
        <v>251.94445589652992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68.492197200688793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3.95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14.483333333333334</v>
      </c>
      <c r="H151" s="70">
        <f t="shared" si="110"/>
        <v>198.73333333333335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3.5</v>
      </c>
      <c r="N151" s="14">
        <f>IF('Données projet'!$A$36&gt;35,N150+M151-V150,IF(A151&lt;'Données projet'!$A$36,$K$205^A151,IF(A151='Données projet'!$A$36,'Données projet'!$B$36,N150+M151-V150)))</f>
        <v>327.99999999999977</v>
      </c>
      <c r="O151" s="14">
        <f>N151*VLOOKUP('Données projet'!$B$9,Paramètres!$A$1:$I$89,3,0)*VLOOKUP('Données projet'!$B$9,Paramètres!$A$1:$I$89,5,0)</f>
        <v>276.30719999999985</v>
      </c>
      <c r="P151" s="14">
        <f t="shared" si="141"/>
        <v>66.186012113671126</v>
      </c>
      <c r="Q151" s="22">
        <f t="shared" si="108"/>
        <v>596.5090110979769</v>
      </c>
      <c r="R151" s="62">
        <f t="shared" si="109"/>
        <v>884.40964319513114</v>
      </c>
      <c r="S151" s="62">
        <f ca="1">AVERAGE(OFFSET($R$3,0,0,'Données projet'!$E$9+1,1))-AVERAGE(OFFSET($H$3,0,0,'Données projet'!$E$9+1,1))</f>
        <v>508.93703669150443</v>
      </c>
      <c r="T151" s="62">
        <f t="shared" si="142"/>
        <v>277.04920840696707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2.4</v>
      </c>
      <c r="AI151" s="14">
        <f>IF('Données projet'!$A$62&gt;35,AI150+AH151-AQ150,IF(A151&lt;'Données projet'!$A$62,$AF$205^A151,IF(A151='Données projet'!$A$62,'Données projet'!$B$62,AI150+AH151-AQ150)))</f>
        <v>288.19999999999908</v>
      </c>
      <c r="AJ151" s="14">
        <f>AI151*VLOOKUP('Données projet'!$B$10,Paramètres!$A$1:$I$89,3,0)*VLOOKUP('Données projet'!$B$10,Paramètres!$A$1:$I$89,5,0)</f>
        <v>260.76335999999918</v>
      </c>
      <c r="AK151" s="14">
        <f t="shared" si="143"/>
        <v>62.885067686031789</v>
      </c>
      <c r="AL151" s="22">
        <f t="shared" si="112"/>
        <v>563.68767821983727</v>
      </c>
      <c r="AM151" s="62">
        <f t="shared" si="113"/>
        <v>851.58831031699151</v>
      </c>
      <c r="AN151" s="62">
        <f ca="1">AVERAGE(OFFSET($AM$3,0,0,'Données projet'!$E$10+1,1))-AVERAGE(OFFSET($H$3,0,0,'Données projet'!$E$10+1,1))</f>
        <v>461.10503306101145</v>
      </c>
      <c r="AO151" s="62">
        <f t="shared" si="144"/>
        <v>262.10652147273288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-2.2737367544323206E-13</v>
      </c>
      <c r="BE151" s="14">
        <f>BD151*VLOOKUP('Données projet'!$B$11,Paramètres!$A$1:$I$89,3,0)*VLOOKUP('Données projet'!$B$11,Paramètres!$A$1:$I$89,5,0)</f>
        <v>-1.8089849618263545E-13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389.67854939311752</v>
      </c>
      <c r="BJ151" s="62">
        <f t="shared" si="146"/>
        <v>420.05189970516096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-1.0516032489249483E-12</v>
      </c>
      <c r="BZ151" s="14">
        <f>BY151*VLOOKUP('Données projet'!$B$12,Paramètres!$A$1:$I$89,3,0)*VLOOKUP('Données projet'!$B$12,Paramètres!$A$1:$I$89,5,0)</f>
        <v>-6.0151705838507046E-13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312.16891625633968</v>
      </c>
      <c r="CE151" s="62">
        <f t="shared" si="148"/>
        <v>215.34305815516177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0.45578712535410337</v>
      </c>
      <c r="CM151" s="23">
        <f>EXP(-LN(2)/2)*CM150+(1-EXP(-LN(2)/2))/(LN(2)/2)*CG151*CJ151*VLOOKUP('Données projet'!$B$12,Paramètres!$A$1:$I$89,3,0)*0.475*44/12</f>
        <v>1.4133816593546722E-17</v>
      </c>
      <c r="CN151" s="24">
        <f t="shared" si="120"/>
        <v>0.45578712535410337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3.979039320256561E-13</v>
      </c>
      <c r="CU151" s="18">
        <f>CT151*VLOOKUP('Données projet'!$B$13,Paramètres!$A$1:$I$89,3,0)*VLOOKUP('Données projet'!$B$13,Paramètres!$A$1:$I$89,5,0)</f>
        <v>2.669139576028101E-13</v>
      </c>
      <c r="CV151" s="14">
        <f t="shared" si="149"/>
        <v>3.5767923834585247E-12</v>
      </c>
      <c r="CW151" s="22">
        <f t="shared" si="121"/>
        <v>6.6944552106818241E-12</v>
      </c>
      <c r="CX151" s="62">
        <f t="shared" si="122"/>
        <v>287.90063209716095</v>
      </c>
      <c r="CY151" s="62">
        <f ca="1">AVERAGE(OFFSET($CX$3,0,0,'Données projet'!$E$13+1,1))-AVERAGE(OFFSET($H$3,0,0,'Données projet'!$E$13+1,1))</f>
        <v>369.04754428478793</v>
      </c>
      <c r="CZ151" s="62">
        <f t="shared" si="150"/>
        <v>277.00523259351712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1.1368683772161603E-13</v>
      </c>
      <c r="DP151" s="18">
        <f>DO151*VLOOKUP('Données projet'!$B$14,Paramètres!$A$1:$I$89,3,0)*VLOOKUP('Données projet'!$B$14,Paramètres!$A$1:$I$89,5,0)</f>
        <v>8.8675733422860506E-14</v>
      </c>
      <c r="DQ151" s="14">
        <f t="shared" si="151"/>
        <v>1.3509285393066301E-12</v>
      </c>
      <c r="DR151" s="22">
        <f t="shared" si="124"/>
        <v>2.5073107750038623E-12</v>
      </c>
      <c r="DS151" s="62">
        <f t="shared" si="125"/>
        <v>287.90063209715674</v>
      </c>
      <c r="DT151" s="62">
        <f ca="1">AVERAGE(OFFSET($DS$3,0,0,'Données projet'!$E$14+1,1))-AVERAGE(OFFSET($H$3,0,0,'Données projet'!$E$14+1,1))</f>
        <v>308.39181291575227</v>
      </c>
      <c r="DU151" s="62">
        <f t="shared" si="152"/>
        <v>298.58225298824334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2.4</v>
      </c>
      <c r="EJ151" s="13">
        <f>IF('Données projet'!$A$192&gt;35,EJ150+EI151-ER150,IF(A151&lt;'Données projet'!$A$192,$EG$205^A151,IF(A151='Données projet'!$A$192,'Données projet'!$B$192,EJ150+EI151-ER150)))</f>
        <v>288.19999999999908</v>
      </c>
      <c r="EK151" s="18">
        <f>EJ151*VLOOKUP('Données projet'!$B$15,Paramètres!$A$1:$I$89,3,0)*VLOOKUP('Données projet'!$B$15,Paramètres!$A$1:$I$89,5,0)</f>
        <v>278.74703999999912</v>
      </c>
      <c r="EL151" s="14">
        <f t="shared" si="153"/>
        <v>66.702153339553078</v>
      </c>
      <c r="EM151" s="22">
        <f t="shared" si="127"/>
        <v>601.65734506638671</v>
      </c>
      <c r="EN151" s="62">
        <f t="shared" si="128"/>
        <v>889.55797716354095</v>
      </c>
      <c r="EO151" s="62">
        <f ca="1">AVERAGE(OFFSET($EN$3,0,0,'Données projet'!$E$15+1,1))-AVERAGE(OFFSET($H$3,0,0,'Données projet'!$E$15+1,1))</f>
        <v>487.76433095707876</v>
      </c>
      <c r="EP151" s="62">
        <f t="shared" si="154"/>
        <v>276.24209151398361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2.4</v>
      </c>
      <c r="FE151" s="13">
        <f>IF('Données projet'!$A$218&gt;35,FE150+FD151-FM150,IF(A151&lt;'Données projet'!$A$218,$FB$205^A151,IF(A151='Données projet'!$A$218,'Données projet'!$B$218,FE150+FD151-FM150)))</f>
        <v>288.19999999999908</v>
      </c>
      <c r="FF151" s="18">
        <f>FE151*VLOOKUP('Données projet'!$B$16,Paramètres!$A$1:$I$89,3,0)*VLOOKUP('Données projet'!$B$16,Paramètres!$A$1:$I$89,5,0)</f>
        <v>310.21847999999898</v>
      </c>
      <c r="FG151" s="14">
        <f t="shared" si="155"/>
        <v>73.314455620479777</v>
      </c>
      <c r="FH151" s="22">
        <f t="shared" si="130"/>
        <v>667.98652953900034</v>
      </c>
      <c r="FI151" s="62">
        <f t="shared" si="131"/>
        <v>955.88716163615459</v>
      </c>
      <c r="FJ151" s="62">
        <f ca="1">AVERAGE(OFFSET($FI$3,0,0,'Données projet'!$E$16+1,1))-AVERAGE(OFFSET($H$3,0,0,'Données projet'!$E$16+1,1))</f>
        <v>534.33392288300456</v>
      </c>
      <c r="FK151" s="62">
        <f t="shared" si="156"/>
        <v>300.93109615735477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-5.6843418860808015E-14</v>
      </c>
      <c r="GA151" s="18">
        <f>FZ151*VLOOKUP('Données projet'!$B$17,Paramètres!$A$1:$I$89,3,0)*VLOOKUP('Données projet'!$B$17,Paramètres!$A$1:$I$89,5,0)</f>
        <v>-3.813056537183002E-14</v>
      </c>
      <c r="GB151" s="14" t="e">
        <f t="shared" si="157"/>
        <v>#NUM!</v>
      </c>
      <c r="GC151" s="22" t="e">
        <f t="shared" si="133"/>
        <v>#NUM!</v>
      </c>
      <c r="GD151" s="62" t="e">
        <f t="shared" si="134"/>
        <v>#NUM!</v>
      </c>
      <c r="GE151" s="62">
        <f ca="1">AVERAGE(OFFSET($GD$3,0,0,'Données projet'!$E$17+1,1))-AVERAGE(OFFSET($H$3,0,0,'Données projet'!$E$17+1,1))</f>
        <v>316.17772895535211</v>
      </c>
      <c r="GF151" s="62">
        <f t="shared" si="158"/>
        <v>251.94445589652992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68.51835420831479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3.95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14.483333333333334</v>
      </c>
      <c r="H152" s="70">
        <f t="shared" si="110"/>
        <v>198.73333333333335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3.5</v>
      </c>
      <c r="N152" s="14">
        <f>IF('Données projet'!$A$36&gt;35,N151+M152-V151,IF(A152&lt;'Données projet'!$A$36,$K$205^A152,IF(A152='Données projet'!$A$36,'Données projet'!$B$36,N151+M152-V151)))</f>
        <v>331.49999999999977</v>
      </c>
      <c r="O152" s="14">
        <f>N152*VLOOKUP('Données projet'!$B$9,Paramètres!$A$1:$I$89,3,0)*VLOOKUP('Données projet'!$B$9,Paramètres!$A$1:$I$89,5,0)</f>
        <v>279.25559999999984</v>
      </c>
      <c r="P152" s="14">
        <f t="shared" si="141"/>
        <v>66.809671397146104</v>
      </c>
      <c r="Q152" s="22">
        <f t="shared" si="108"/>
        <v>602.73034768336242</v>
      </c>
      <c r="R152" s="62">
        <f t="shared" si="109"/>
        <v>890.72522500126388</v>
      </c>
      <c r="S152" s="62">
        <f ca="1">AVERAGE(OFFSET($R$3,0,0,'Données projet'!$E$9+1,1))-AVERAGE(OFFSET($H$3,0,0,'Données projet'!$E$9+1,1))</f>
        <v>508.93703669150443</v>
      </c>
      <c r="T152" s="62">
        <f t="shared" si="142"/>
        <v>277.04920840696707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2.4</v>
      </c>
      <c r="AI152" s="14">
        <f>IF('Données projet'!$A$62&gt;35,AI151+AH152-AQ151,IF(A152&lt;'Données projet'!$A$62,$AF$205^A152,IF(A152='Données projet'!$A$62,'Données projet'!$B$62,AI151+AH152-AQ151)))</f>
        <v>290.59999999999906</v>
      </c>
      <c r="AJ152" s="14">
        <f>AI152*VLOOKUP('Données projet'!$B$10,Paramètres!$A$1:$I$89,3,0)*VLOOKUP('Données projet'!$B$10,Paramètres!$A$1:$I$89,5,0)</f>
        <v>262.93487999999911</v>
      </c>
      <c r="AK152" s="14">
        <f t="shared" si="143"/>
        <v>63.347566493432595</v>
      </c>
      <c r="AL152" s="22">
        <f t="shared" si="112"/>
        <v>568.27526097606028</v>
      </c>
      <c r="AM152" s="62">
        <f t="shared" si="113"/>
        <v>856.27013829396174</v>
      </c>
      <c r="AN152" s="62">
        <f ca="1">AVERAGE(OFFSET($AM$3,0,0,'Données projet'!$E$10+1,1))-AVERAGE(OFFSET($H$3,0,0,'Données projet'!$E$10+1,1))</f>
        <v>461.10503306101145</v>
      </c>
      <c r="AO152" s="62">
        <f t="shared" si="144"/>
        <v>262.10652147273288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-2.2737367544323206E-13</v>
      </c>
      <c r="BE152" s="14">
        <f>BD152*VLOOKUP('Données projet'!$B$11,Paramètres!$A$1:$I$89,3,0)*VLOOKUP('Données projet'!$B$11,Paramètres!$A$1:$I$89,5,0)</f>
        <v>-1.8089849618263545E-13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389.67854939311752</v>
      </c>
      <c r="BJ152" s="62">
        <f t="shared" si="146"/>
        <v>420.05189970516096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-1.0516032489249483E-12</v>
      </c>
      <c r="BZ152" s="14">
        <f>BY152*VLOOKUP('Données projet'!$B$12,Paramètres!$A$1:$I$89,3,0)*VLOOKUP('Données projet'!$B$12,Paramètres!$A$1:$I$89,5,0)</f>
        <v>-6.0151705838507046E-13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312.16891625633968</v>
      </c>
      <c r="CE152" s="62">
        <f t="shared" si="148"/>
        <v>215.34305815516177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0.44332360244249219</v>
      </c>
      <c r="CM152" s="23">
        <f>EXP(-LN(2)/2)*CM151+(1-EXP(-LN(2)/2))/(LN(2)/2)*CG152*CJ152*VLOOKUP('Données projet'!$B$12,Paramètres!$A$1:$I$89,3,0)*0.475*44/12</f>
        <v>9.9941175573438366E-18</v>
      </c>
      <c r="CN152" s="24">
        <f t="shared" si="120"/>
        <v>0.44332360244249219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3.979039320256561E-13</v>
      </c>
      <c r="CU152" s="18">
        <f>CT152*VLOOKUP('Données projet'!$B$13,Paramètres!$A$1:$I$89,3,0)*VLOOKUP('Données projet'!$B$13,Paramètres!$A$1:$I$89,5,0)</f>
        <v>2.669139576028101E-13</v>
      </c>
      <c r="CV152" s="14">
        <f t="shared" si="149"/>
        <v>3.5767923834585247E-12</v>
      </c>
      <c r="CW152" s="22">
        <f t="shared" si="121"/>
        <v>6.6944552106818241E-12</v>
      </c>
      <c r="CX152" s="62">
        <f t="shared" si="122"/>
        <v>287.99487731790822</v>
      </c>
      <c r="CY152" s="62">
        <f ca="1">AVERAGE(OFFSET($CX$3,0,0,'Données projet'!$E$13+1,1))-AVERAGE(OFFSET($H$3,0,0,'Données projet'!$E$13+1,1))</f>
        <v>369.04754428478793</v>
      </c>
      <c r="CZ152" s="62">
        <f t="shared" si="150"/>
        <v>277.00523259351712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1.1368683772161603E-13</v>
      </c>
      <c r="DP152" s="18">
        <f>DO152*VLOOKUP('Données projet'!$B$14,Paramètres!$A$1:$I$89,3,0)*VLOOKUP('Données projet'!$B$14,Paramètres!$A$1:$I$89,5,0)</f>
        <v>8.8675733422860506E-14</v>
      </c>
      <c r="DQ152" s="14">
        <f t="shared" si="151"/>
        <v>1.3509285393066301E-12</v>
      </c>
      <c r="DR152" s="22">
        <f t="shared" si="124"/>
        <v>2.5073107750038623E-12</v>
      </c>
      <c r="DS152" s="62">
        <f t="shared" si="125"/>
        <v>287.99487731790401</v>
      </c>
      <c r="DT152" s="62">
        <f ca="1">AVERAGE(OFFSET($DS$3,0,0,'Données projet'!$E$14+1,1))-AVERAGE(OFFSET($H$3,0,0,'Données projet'!$E$14+1,1))</f>
        <v>308.39181291575227</v>
      </c>
      <c r="DU152" s="62">
        <f t="shared" si="152"/>
        <v>298.58225298824334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2.4</v>
      </c>
      <c r="EJ152" s="13">
        <f>IF('Données projet'!$A$192&gt;35,EJ151+EI152-ER151,IF(A152&lt;'Données projet'!$A$192,$EG$205^A152,IF(A152='Données projet'!$A$192,'Données projet'!$B$192,EJ151+EI152-ER151)))</f>
        <v>290.59999999999906</v>
      </c>
      <c r="EK152" s="18">
        <f>EJ152*VLOOKUP('Données projet'!$B$15,Paramètres!$A$1:$I$89,3,0)*VLOOKUP('Données projet'!$B$15,Paramètres!$A$1:$I$89,5,0)</f>
        <v>281.06831999999906</v>
      </c>
      <c r="EL152" s="14">
        <f t="shared" si="153"/>
        <v>67.192725545416479</v>
      </c>
      <c r="EM152" s="22">
        <f t="shared" si="127"/>
        <v>606.55465432493213</v>
      </c>
      <c r="EN152" s="62">
        <f t="shared" si="128"/>
        <v>894.5495316428337</v>
      </c>
      <c r="EO152" s="62">
        <f ca="1">AVERAGE(OFFSET($EN$3,0,0,'Données projet'!$E$15+1,1))-AVERAGE(OFFSET($H$3,0,0,'Données projet'!$E$15+1,1))</f>
        <v>487.76433095707876</v>
      </c>
      <c r="EP152" s="62">
        <f t="shared" si="154"/>
        <v>276.24209151398361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2.4</v>
      </c>
      <c r="FE152" s="13">
        <f>IF('Données projet'!$A$218&gt;35,FE151+FD152-FM151,IF(A152&lt;'Données projet'!$A$218,$FB$205^A152,IF(A152='Données projet'!$A$218,'Données projet'!$B$218,FE151+FD152-FM151)))</f>
        <v>290.59999999999906</v>
      </c>
      <c r="FF152" s="18">
        <f>FE152*VLOOKUP('Données projet'!$B$16,Paramètres!$A$1:$I$89,3,0)*VLOOKUP('Données projet'!$B$16,Paramètres!$A$1:$I$89,5,0)</f>
        <v>312.80183999999895</v>
      </c>
      <c r="FG152" s="14">
        <f t="shared" si="155"/>
        <v>73.853659115640198</v>
      </c>
      <c r="FH152" s="22">
        <f t="shared" si="130"/>
        <v>673.42499429307145</v>
      </c>
      <c r="FI152" s="62">
        <f t="shared" si="131"/>
        <v>961.4198716109729</v>
      </c>
      <c r="FJ152" s="62">
        <f ca="1">AVERAGE(OFFSET($FI$3,0,0,'Données projet'!$E$16+1,1))-AVERAGE(OFFSET($H$3,0,0,'Données projet'!$E$16+1,1))</f>
        <v>534.33392288300456</v>
      </c>
      <c r="FK152" s="62">
        <f t="shared" si="156"/>
        <v>300.93109615735477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-5.6843418860808015E-14</v>
      </c>
      <c r="GA152" s="18">
        <f>FZ152*VLOOKUP('Données projet'!$B$17,Paramètres!$A$1:$I$89,3,0)*VLOOKUP('Données projet'!$B$17,Paramètres!$A$1:$I$89,5,0)</f>
        <v>-3.813056537183002E-14</v>
      </c>
      <c r="GB152" s="14" t="e">
        <f t="shared" si="157"/>
        <v>#NUM!</v>
      </c>
      <c r="GC152" s="22" t="e">
        <f t="shared" si="133"/>
        <v>#NUM!</v>
      </c>
      <c r="GD152" s="62" t="e">
        <f t="shared" si="134"/>
        <v>#NUM!</v>
      </c>
      <c r="GE152" s="62">
        <f ca="1">AVERAGE(OFFSET($GD$3,0,0,'Données projet'!$E$17+1,1))-AVERAGE(OFFSET($H$3,0,0,'Données projet'!$E$17+1,1))</f>
        <v>316.17772895535211</v>
      </c>
      <c r="GF152" s="62">
        <f t="shared" si="158"/>
        <v>251.94445589652992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68.54405745033678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3.95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14.483333333333334</v>
      </c>
      <c r="H153" s="70">
        <f t="shared" si="110"/>
        <v>198.73333333333335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335</v>
      </c>
      <c r="L153" s="13">
        <f>VLOOKUP(A153,'Données projet'!$A$35:$I$55,9,0)</f>
        <v>3.5</v>
      </c>
      <c r="M153" s="13">
        <f t="array" ref="M153">INDEX(L:L,MIN(IF(ISNUMBER(L153:L349),ROW(L153:L349),"")))</f>
        <v>3.5</v>
      </c>
      <c r="N153" s="14">
        <f>IF('Données projet'!$A$36&gt;35,N152+M153-V152,IF(A153&lt;'Données projet'!$A$36,$K$205^A153,IF(A153='Données projet'!$A$36,'Données projet'!$B$36,N152+M153-V152)))</f>
        <v>334.99999999999977</v>
      </c>
      <c r="O153" s="14">
        <f>N153*VLOOKUP('Données projet'!$B$9,Paramètres!$A$1:$I$89,3,0)*VLOOKUP('Données projet'!$B$9,Paramètres!$A$1:$I$89,5,0)</f>
        <v>282.20399999999984</v>
      </c>
      <c r="P153" s="14">
        <f t="shared" si="141"/>
        <v>67.432564684485129</v>
      </c>
      <c r="Q153" s="22">
        <f t="shared" si="108"/>
        <v>608.95035015881115</v>
      </c>
      <c r="R153" s="62">
        <f t="shared" si="109"/>
        <v>897.03783775358079</v>
      </c>
      <c r="S153" s="62">
        <f ca="1">AVERAGE(OFFSET($R$3,0,0,'Données projet'!$E$9+1,1))-AVERAGE(OFFSET($H$3,0,0,'Données projet'!$E$9+1,1))</f>
        <v>508.93703669150443</v>
      </c>
      <c r="T153" s="62">
        <f t="shared" si="142"/>
        <v>277.04920840696707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37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293</v>
      </c>
      <c r="AG153" s="13">
        <f>VLOOKUP(A153,'Données projet'!$A$61:$I$81,9,0)</f>
        <v>2.4</v>
      </c>
      <c r="AH153" s="13">
        <f t="array" ref="AH153">INDEX(AG:AG,MIN(IF(ISNUMBER(AG153:AG349),ROW(AG153:AG349),"")))</f>
        <v>2.4</v>
      </c>
      <c r="AI153" s="14">
        <f>IF('Données projet'!$A$62&gt;35,AI152+AH153-AQ152,IF(A153&lt;'Données projet'!$A$62,$AF$205^A153,IF(A153='Données projet'!$A$62,'Données projet'!$B$62,AI152+AH153-AQ152)))</f>
        <v>292.99999999999903</v>
      </c>
      <c r="AJ153" s="14">
        <f>AI153*VLOOKUP('Données projet'!$B$10,Paramètres!$A$1:$I$89,3,0)*VLOOKUP('Données projet'!$B$10,Paramètres!$A$1:$I$89,5,0)</f>
        <v>265.1063999999991</v>
      </c>
      <c r="AK153" s="14">
        <f t="shared" si="143"/>
        <v>63.809620899125136</v>
      </c>
      <c r="AL153" s="22">
        <f t="shared" si="112"/>
        <v>572.86206973264132</v>
      </c>
      <c r="AM153" s="62">
        <f t="shared" si="113"/>
        <v>860.94955732741096</v>
      </c>
      <c r="AN153" s="62">
        <f ca="1">AVERAGE(OFFSET($AM$3,0,0,'Données projet'!$E$10+1,1))-AVERAGE(OFFSET($H$3,0,0,'Données projet'!$E$10+1,1))</f>
        <v>461.10503306101145</v>
      </c>
      <c r="AO153" s="62">
        <f t="shared" si="144"/>
        <v>262.10652147273288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293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-2.2737367544323206E-13</v>
      </c>
      <c r="BE153" s="14">
        <f>BD153*VLOOKUP('Données projet'!$B$11,Paramètres!$A$1:$I$89,3,0)*VLOOKUP('Données projet'!$B$11,Paramètres!$A$1:$I$89,5,0)</f>
        <v>-1.8089849618263545E-13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389.67854939311752</v>
      </c>
      <c r="BJ153" s="62">
        <f t="shared" si="146"/>
        <v>420.05189970516096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-1.0516032489249483E-12</v>
      </c>
      <c r="BZ153" s="14">
        <f>BY153*VLOOKUP('Données projet'!$B$12,Paramètres!$A$1:$I$89,3,0)*VLOOKUP('Données projet'!$B$12,Paramètres!$A$1:$I$89,5,0)</f>
        <v>-6.0151705838507046E-13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312.16891625633968</v>
      </c>
      <c r="CE153" s="62">
        <f t="shared" si="148"/>
        <v>215.34305815516177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0.43120089522032723</v>
      </c>
      <c r="CM153" s="23">
        <f>EXP(-LN(2)/2)*CM152+(1-EXP(-LN(2)/2))/(LN(2)/2)*CG153*CJ153*VLOOKUP('Données projet'!$B$12,Paramètres!$A$1:$I$89,3,0)*0.475*44/12</f>
        <v>7.0669082967733611E-18</v>
      </c>
      <c r="CN153" s="24">
        <f t="shared" si="120"/>
        <v>0.43120089522032723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3.979039320256561E-13</v>
      </c>
      <c r="CU153" s="18">
        <f>CT153*VLOOKUP('Données projet'!$B$13,Paramètres!$A$1:$I$89,3,0)*VLOOKUP('Données projet'!$B$13,Paramètres!$A$1:$I$89,5,0)</f>
        <v>2.669139576028101E-13</v>
      </c>
      <c r="CV153" s="14">
        <f t="shared" si="149"/>
        <v>3.5767923834585247E-12</v>
      </c>
      <c r="CW153" s="22">
        <f t="shared" si="121"/>
        <v>6.6944552106818241E-12</v>
      </c>
      <c r="CX153" s="62">
        <f t="shared" si="122"/>
        <v>288.08748759477641</v>
      </c>
      <c r="CY153" s="62">
        <f ca="1">AVERAGE(OFFSET($CX$3,0,0,'Données projet'!$E$13+1,1))-AVERAGE(OFFSET($H$3,0,0,'Données projet'!$E$13+1,1))</f>
        <v>369.04754428478793</v>
      </c>
      <c r="CZ153" s="62">
        <f t="shared" si="150"/>
        <v>277.00523259351712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1.1368683772161603E-13</v>
      </c>
      <c r="DP153" s="18">
        <f>DO153*VLOOKUP('Données projet'!$B$14,Paramètres!$A$1:$I$89,3,0)*VLOOKUP('Données projet'!$B$14,Paramètres!$A$1:$I$89,5,0)</f>
        <v>8.8675733422860506E-14</v>
      </c>
      <c r="DQ153" s="14">
        <f t="shared" si="151"/>
        <v>1.3509285393066301E-12</v>
      </c>
      <c r="DR153" s="22">
        <f t="shared" si="124"/>
        <v>2.5073107750038623E-12</v>
      </c>
      <c r="DS153" s="62">
        <f t="shared" si="125"/>
        <v>288.0874875947722</v>
      </c>
      <c r="DT153" s="62">
        <f ca="1">AVERAGE(OFFSET($DS$3,0,0,'Données projet'!$E$14+1,1))-AVERAGE(OFFSET($H$3,0,0,'Données projet'!$E$14+1,1))</f>
        <v>308.39181291575227</v>
      </c>
      <c r="DU153" s="62">
        <f t="shared" si="152"/>
        <v>298.58225298824334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>
        <f>VLOOKUP(A153,'Données projet'!$A$191:$I$211,2,0)</f>
        <v>293</v>
      </c>
      <c r="EH153" s="13">
        <f>VLOOKUP(A153,'Données projet'!$A$191:$I$211,9,0)</f>
        <v>2.4</v>
      </c>
      <c r="EI153" s="13">
        <f t="array" ref="EI153">INDEX(EH:EH,MIN(IF(ISNUMBER(EH153:EH349),ROW(EH153:EH349),"")))</f>
        <v>2.4</v>
      </c>
      <c r="EJ153" s="13">
        <f>IF('Données projet'!$A$192&gt;35,EJ152+EI153-ER152,IF(A153&lt;'Données projet'!$A$192,$EG$205^A153,IF(A153='Données projet'!$A$192,'Données projet'!$B$192,EJ152+EI153-ER152)))</f>
        <v>292.99999999999903</v>
      </c>
      <c r="EK153" s="18">
        <f>EJ153*VLOOKUP('Données projet'!$B$15,Paramètres!$A$1:$I$89,3,0)*VLOOKUP('Données projet'!$B$15,Paramètres!$A$1:$I$89,5,0)</f>
        <v>283.38959999999906</v>
      </c>
      <c r="EL153" s="14">
        <f t="shared" si="153"/>
        <v>67.682826374656187</v>
      </c>
      <c r="EM153" s="22">
        <f t="shared" si="127"/>
        <v>611.45114260252456</v>
      </c>
      <c r="EN153" s="62">
        <f t="shared" si="128"/>
        <v>899.5386301972942</v>
      </c>
      <c r="EO153" s="62">
        <f ca="1">AVERAGE(OFFSET($EN$3,0,0,'Données projet'!$E$15+1,1))-AVERAGE(OFFSET($H$3,0,0,'Données projet'!$E$15+1,1))</f>
        <v>487.76433095707876</v>
      </c>
      <c r="EP153" s="62">
        <f t="shared" si="154"/>
        <v>276.24209151398361</v>
      </c>
      <c r="EQ153" s="16">
        <f>IF(ISNA(VLOOKUP(A153,'Données projet'!$A$191:$I$211,3,0)),0,VLOOKUP(A153,'Données projet'!$A$191:$I$211,3,0))</f>
        <v>13</v>
      </c>
      <c r="ER153" s="16">
        <f>IF(ISNA(VLOOKUP(A153,'Données projet'!$A$191:$I$211,4,0)),0,VLOOKUP(A153,'Données projet'!$A$191:$I$211,4,0))</f>
        <v>293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>
        <f>VLOOKUP(A153,'Données projet'!$A$217:$I$237,2,0)</f>
        <v>293</v>
      </c>
      <c r="FC153" s="13">
        <f>VLOOKUP(A153,'Données projet'!$A$217:$I$237,9,0)</f>
        <v>2.4</v>
      </c>
      <c r="FD153" s="13">
        <f t="array" ref="FD153">INDEX(FC:FC,MIN(IF(ISNUMBER(FC153:FC349),ROW(FC153:FC349),"")))</f>
        <v>2.4</v>
      </c>
      <c r="FE153" s="13">
        <f>IF('Données projet'!$A$218&gt;35,FE152+FD153-FM152,IF(A153&lt;'Données projet'!$A$218,$FB$205^A153,IF(A153='Données projet'!$A$218,'Données projet'!$B$218,FE152+FD153-FM152)))</f>
        <v>292.99999999999903</v>
      </c>
      <c r="FF153" s="18">
        <f>FE153*VLOOKUP('Données projet'!$B$16,Paramètres!$A$1:$I$89,3,0)*VLOOKUP('Données projet'!$B$16,Paramètres!$A$1:$I$89,5,0)</f>
        <v>315.38519999999892</v>
      </c>
      <c r="FG153" s="14">
        <f t="shared" si="155"/>
        <v>74.392344505779604</v>
      </c>
      <c r="FH153" s="22">
        <f t="shared" si="130"/>
        <v>678.86255668089746</v>
      </c>
      <c r="FI153" s="62">
        <f t="shared" si="131"/>
        <v>966.9500442756671</v>
      </c>
      <c r="FJ153" s="62">
        <f ca="1">AVERAGE(OFFSET($FI$3,0,0,'Données projet'!$E$16+1,1))-AVERAGE(OFFSET($H$3,0,0,'Données projet'!$E$16+1,1))</f>
        <v>534.33392288300456</v>
      </c>
      <c r="FK153" s="62">
        <f t="shared" si="156"/>
        <v>300.93109615735477</v>
      </c>
      <c r="FL153" s="16">
        <f>IF(ISNA(VLOOKUP(A153,'Données projet'!$A$217:$I$237,3,0)),0,VLOOKUP(A153,'Données projet'!$A$217:$I$237,3,0))</f>
        <v>13</v>
      </c>
      <c r="FM153" s="16">
        <f>IF(ISNA(VLOOKUP(A153,'Données projet'!$A$217:$I$237,4,0)),0,VLOOKUP(A153,'Données projet'!$A$217:$I$237,4,0))</f>
        <v>293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-5.6843418860808015E-14</v>
      </c>
      <c r="GA153" s="18">
        <f>FZ153*VLOOKUP('Données projet'!$B$17,Paramètres!$A$1:$I$89,3,0)*VLOOKUP('Données projet'!$B$17,Paramètres!$A$1:$I$89,5,0)</f>
        <v>-3.813056537183002E-14</v>
      </c>
      <c r="GB153" s="14" t="e">
        <f t="shared" si="157"/>
        <v>#NUM!</v>
      </c>
      <c r="GC153" s="22" t="e">
        <f t="shared" si="133"/>
        <v>#NUM!</v>
      </c>
      <c r="GD153" s="62" t="e">
        <f t="shared" si="134"/>
        <v>#NUM!</v>
      </c>
      <c r="GE153" s="62">
        <f ca="1">AVERAGE(OFFSET($GD$3,0,0,'Données projet'!$E$17+1,1))-AVERAGE(OFFSET($H$3,0,0,'Données projet'!$E$17+1,1))</f>
        <v>316.17772895535211</v>
      </c>
      <c r="GF153" s="62">
        <f t="shared" si="158"/>
        <v>251.94445589652992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68.569314798573544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3.95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14.483333333333334</v>
      </c>
      <c r="H154" s="70">
        <f t="shared" si="110"/>
        <v>198.73333333333335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297.99999999999977</v>
      </c>
      <c r="O154" s="14">
        <f>N154*VLOOKUP('Données projet'!$B$9,Paramètres!$A$1:$I$89,3,0)*VLOOKUP('Données projet'!$B$9,Paramètres!$A$1:$I$89,5,0)</f>
        <v>251.0351999999998</v>
      </c>
      <c r="P154" s="14">
        <f t="shared" si="141"/>
        <v>60.807560012183302</v>
      </c>
      <c r="Q154" s="22">
        <f t="shared" ref="Q154:Q203" si="162">(O154+P154)*0.475*44/12</f>
        <v>543.12614035455226</v>
      </c>
      <c r="R154" s="62">
        <f t="shared" si="109"/>
        <v>831.30463164493187</v>
      </c>
      <c r="S154" s="62">
        <f ca="1">AVERAGE(OFFSET($R$3,0,0,'Données projet'!$E$9+1,1))-AVERAGE(OFFSET($H$3,0,0,'Données projet'!$E$9+1,1))</f>
        <v>508.93703669150443</v>
      </c>
      <c r="T154" s="62">
        <f t="shared" si="142"/>
        <v>277.04920840696707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-9.6633812063373625E-13</v>
      </c>
      <c r="AJ154" s="14">
        <f>AI154*VLOOKUP('Données projet'!$B$10,Paramètres!$A$1:$I$89,3,0)*VLOOKUP('Données projet'!$B$10,Paramètres!$A$1:$I$89,5,0)</f>
        <v>-8.7434273154940449E-13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461.10503306101145</v>
      </c>
      <c r="AO154" s="62">
        <f t="shared" si="144"/>
        <v>262.10652147273288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-2.2737367544323206E-13</v>
      </c>
      <c r="BE154" s="14">
        <f>BD154*VLOOKUP('Données projet'!$B$11,Paramètres!$A$1:$I$89,3,0)*VLOOKUP('Données projet'!$B$11,Paramètres!$A$1:$I$89,5,0)</f>
        <v>-1.8089849618263545E-13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389.67854939311752</v>
      </c>
      <c r="BJ154" s="62">
        <f t="shared" si="146"/>
        <v>420.05189970516096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-1.0516032489249483E-12</v>
      </c>
      <c r="BZ154" s="14">
        <f>BY154*VLOOKUP('Données projet'!$B$12,Paramètres!$A$1:$I$89,3,0)*VLOOKUP('Données projet'!$B$12,Paramètres!$A$1:$I$89,5,0)</f>
        <v>-6.0151705838507046E-13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312.16891625633968</v>
      </c>
      <c r="CE154" s="62">
        <f t="shared" si="148"/>
        <v>215.34305815516177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0.41940968406465784</v>
      </c>
      <c r="CM154" s="23">
        <f>EXP(-LN(2)/2)*CM153+(1-EXP(-LN(2)/2))/(LN(2)/2)*CG154*CJ154*VLOOKUP('Données projet'!$B$12,Paramètres!$A$1:$I$89,3,0)*0.475*44/12</f>
        <v>4.9970587786719183E-18</v>
      </c>
      <c r="CN154" s="24">
        <f t="shared" ref="CN154:CN203" si="172">SUM(CK154:CM154)</f>
        <v>0.41940968406465784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3.979039320256561E-13</v>
      </c>
      <c r="CU154" s="18">
        <f>CT154*VLOOKUP('Données projet'!$B$13,Paramètres!$A$1:$I$89,3,0)*VLOOKUP('Données projet'!$B$13,Paramètres!$A$1:$I$89,5,0)</f>
        <v>2.669139576028101E-13</v>
      </c>
      <c r="CV154" s="14">
        <f t="shared" ref="CV154:CV203" si="173">EXP(-1.0587+0.8836*LN(CU154)+0.284)</f>
        <v>3.5767923834585247E-12</v>
      </c>
      <c r="CW154" s="22">
        <f t="shared" ref="CW154:CW203" si="174">(CU154+CV154)*0.475*44/12</f>
        <v>6.6944552106818241E-12</v>
      </c>
      <c r="CX154" s="62">
        <f t="shared" si="122"/>
        <v>288.17849129038632</v>
      </c>
      <c r="CY154" s="62">
        <f ca="1">AVERAGE(OFFSET($CX$3,0,0,'Données projet'!$E$13+1,1))-AVERAGE(OFFSET($H$3,0,0,'Données projet'!$E$13+1,1))</f>
        <v>369.04754428478793</v>
      </c>
      <c r="CZ154" s="62">
        <f t="shared" si="150"/>
        <v>277.00523259351712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1.1368683772161603E-13</v>
      </c>
      <c r="DP154" s="18">
        <f>DO154*VLOOKUP('Données projet'!$B$14,Paramètres!$A$1:$I$89,3,0)*VLOOKUP('Données projet'!$B$14,Paramètres!$A$1:$I$89,5,0)</f>
        <v>8.8675733422860506E-14</v>
      </c>
      <c r="DQ154" s="14">
        <f t="shared" ref="DQ154:DQ203" si="176">EXP(-1.0587+0.8836*LN(DP154)+0.284)</f>
        <v>1.3509285393066301E-12</v>
      </c>
      <c r="DR154" s="22">
        <f t="shared" ref="DR154:DR203" si="177">(DP154+DQ154)*0.475*44/12</f>
        <v>2.5073107750038623E-12</v>
      </c>
      <c r="DS154" s="62">
        <f t="shared" si="125"/>
        <v>288.17849129038211</v>
      </c>
      <c r="DT154" s="62">
        <f ca="1">AVERAGE(OFFSET($DS$3,0,0,'Données projet'!$E$14+1,1))-AVERAGE(OFFSET($H$3,0,0,'Données projet'!$E$14+1,1))</f>
        <v>308.39181291575227</v>
      </c>
      <c r="DU154" s="62">
        <f t="shared" si="152"/>
        <v>298.58225298824334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-9.6633812063373625E-13</v>
      </c>
      <c r="EK154" s="18">
        <f>EJ154*VLOOKUP('Données projet'!$B$15,Paramètres!$A$1:$I$89,3,0)*VLOOKUP('Données projet'!$B$15,Paramètres!$A$1:$I$89,5,0)</f>
        <v>-9.3464223027694966E-13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2" t="e">
        <f t="shared" si="128"/>
        <v>#NUM!</v>
      </c>
      <c r="EO154" s="62">
        <f ca="1">AVERAGE(OFFSET($EN$3,0,0,'Données projet'!$E$15+1,1))-AVERAGE(OFFSET($H$3,0,0,'Données projet'!$E$15+1,1))</f>
        <v>487.76433095707876</v>
      </c>
      <c r="EP154" s="62">
        <f t="shared" si="154"/>
        <v>276.24209151398361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-9.6633812063373625E-13</v>
      </c>
      <c r="FF154" s="18">
        <f>FE154*VLOOKUP('Données projet'!$B$16,Paramètres!$A$1:$I$89,3,0)*VLOOKUP('Données projet'!$B$16,Paramètres!$A$1:$I$89,5,0)</f>
        <v>-1.0401663530501537E-12</v>
      </c>
      <c r="FG154" s="14" t="e">
        <f t="shared" ref="FG154:FG203" si="182">EXP(-1.0587+0.8836*LN(FF154)+0.284)</f>
        <v>#NUM!</v>
      </c>
      <c r="FH154" s="22" t="e">
        <f t="shared" ref="FH154:FH203" si="183">(FF154+FG154)*0.475*44/12</f>
        <v>#NUM!</v>
      </c>
      <c r="FI154" s="62" t="e">
        <f t="shared" si="131"/>
        <v>#NUM!</v>
      </c>
      <c r="FJ154" s="62">
        <f ca="1">AVERAGE(OFFSET($FI$3,0,0,'Données projet'!$E$16+1,1))-AVERAGE(OFFSET($H$3,0,0,'Données projet'!$E$16+1,1))</f>
        <v>534.33392288300456</v>
      </c>
      <c r="FK154" s="62">
        <f t="shared" si="156"/>
        <v>300.93109615735477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-5.6843418860808015E-14</v>
      </c>
      <c r="GA154" s="18">
        <f>FZ154*VLOOKUP('Données projet'!$B$17,Paramètres!$A$1:$I$89,3,0)*VLOOKUP('Données projet'!$B$17,Paramètres!$A$1:$I$89,5,0)</f>
        <v>-3.813056537183002E-14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2" t="e">
        <f t="shared" si="134"/>
        <v>#NUM!</v>
      </c>
      <c r="GE154" s="62">
        <f ca="1">AVERAGE(OFFSET($GD$3,0,0,'Données projet'!$E$17+1,1))-AVERAGE(OFFSET($H$3,0,0,'Données projet'!$E$17+1,1))</f>
        <v>316.17772895535211</v>
      </c>
      <c r="GF154" s="62">
        <f t="shared" si="158"/>
        <v>251.94445589652992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68.59413398828535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3.95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14.483333333333334</v>
      </c>
      <c r="H155" s="70">
        <f t="shared" si="110"/>
        <v>198.73333333333335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297.99999999999977</v>
      </c>
      <c r="O155" s="14">
        <f>N155*VLOOKUP('Données projet'!$B$9,Paramètres!$A$1:$I$89,3,0)*VLOOKUP('Données projet'!$B$9,Paramètres!$A$1:$I$89,5,0)</f>
        <v>251.0351999999998</v>
      </c>
      <c r="P155" s="14">
        <f t="shared" si="141"/>
        <v>60.807560012183302</v>
      </c>
      <c r="Q155" s="22">
        <f t="shared" si="162"/>
        <v>543.12614035455226</v>
      </c>
      <c r="R155" s="62">
        <f t="shared" si="109"/>
        <v>831.39405662987679</v>
      </c>
      <c r="S155" s="62">
        <f ca="1">AVERAGE(OFFSET($R$3,0,0,'Données projet'!$E$9+1,1))-AVERAGE(OFFSET($H$3,0,0,'Données projet'!$E$9+1,1))</f>
        <v>508.93703669150443</v>
      </c>
      <c r="T155" s="62">
        <f t="shared" si="142"/>
        <v>277.04920840696707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-9.6633812063373625E-13</v>
      </c>
      <c r="AJ155" s="14">
        <f>AI155*VLOOKUP('Données projet'!$B$10,Paramètres!$A$1:$I$89,3,0)*VLOOKUP('Données projet'!$B$10,Paramètres!$A$1:$I$89,5,0)</f>
        <v>-8.7434273154940449E-13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461.10503306101145</v>
      </c>
      <c r="AO155" s="62">
        <f t="shared" si="144"/>
        <v>262.10652147273288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-2.2737367544323206E-13</v>
      </c>
      <c r="BE155" s="14">
        <f>BD155*VLOOKUP('Données projet'!$B$11,Paramètres!$A$1:$I$89,3,0)*VLOOKUP('Données projet'!$B$11,Paramètres!$A$1:$I$89,5,0)</f>
        <v>-1.8089849618263545E-13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389.67854939311752</v>
      </c>
      <c r="BJ155" s="62">
        <f t="shared" si="146"/>
        <v>420.05189970516096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-1.0516032489249483E-12</v>
      </c>
      <c r="BZ155" s="14">
        <f>BY155*VLOOKUP('Données projet'!$B$12,Paramètres!$A$1:$I$89,3,0)*VLOOKUP('Données projet'!$B$12,Paramètres!$A$1:$I$89,5,0)</f>
        <v>-6.0151705838507046E-13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312.16891625633968</v>
      </c>
      <c r="CE155" s="62">
        <f t="shared" si="148"/>
        <v>215.34305815516177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0.40794090419811307</v>
      </c>
      <c r="CM155" s="23">
        <f>EXP(-LN(2)/2)*CM154+(1-EXP(-LN(2)/2))/(LN(2)/2)*CG155*CJ155*VLOOKUP('Données projet'!$B$12,Paramètres!$A$1:$I$89,3,0)*0.475*44/12</f>
        <v>3.5334541483866805E-18</v>
      </c>
      <c r="CN155" s="24">
        <f t="shared" si="172"/>
        <v>0.40794090419811307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3.979039320256561E-13</v>
      </c>
      <c r="CU155" s="18">
        <f>CT155*VLOOKUP('Données projet'!$B$13,Paramètres!$A$1:$I$89,3,0)*VLOOKUP('Données projet'!$B$13,Paramètres!$A$1:$I$89,5,0)</f>
        <v>2.669139576028101E-13</v>
      </c>
      <c r="CV155" s="14">
        <f t="shared" si="173"/>
        <v>3.5767923834585247E-12</v>
      </c>
      <c r="CW155" s="22">
        <f t="shared" si="174"/>
        <v>6.6944552106818241E-12</v>
      </c>
      <c r="CX155" s="62">
        <f t="shared" si="122"/>
        <v>288.26791627533129</v>
      </c>
      <c r="CY155" s="62">
        <f ca="1">AVERAGE(OFFSET($CX$3,0,0,'Données projet'!$E$13+1,1))-AVERAGE(OFFSET($H$3,0,0,'Données projet'!$E$13+1,1))</f>
        <v>369.04754428478793</v>
      </c>
      <c r="CZ155" s="62">
        <f t="shared" si="150"/>
        <v>277.00523259351712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1.1368683772161603E-13</v>
      </c>
      <c r="DP155" s="18">
        <f>DO155*VLOOKUP('Données projet'!$B$14,Paramètres!$A$1:$I$89,3,0)*VLOOKUP('Données projet'!$B$14,Paramètres!$A$1:$I$89,5,0)</f>
        <v>8.8675733422860506E-14</v>
      </c>
      <c r="DQ155" s="14">
        <f t="shared" si="176"/>
        <v>1.3509285393066301E-12</v>
      </c>
      <c r="DR155" s="22">
        <f t="shared" si="177"/>
        <v>2.5073107750038623E-12</v>
      </c>
      <c r="DS155" s="62">
        <f t="shared" si="125"/>
        <v>288.26791627532708</v>
      </c>
      <c r="DT155" s="62">
        <f ca="1">AVERAGE(OFFSET($DS$3,0,0,'Données projet'!$E$14+1,1))-AVERAGE(OFFSET($H$3,0,0,'Données projet'!$E$14+1,1))</f>
        <v>308.39181291575227</v>
      </c>
      <c r="DU155" s="62">
        <f t="shared" si="152"/>
        <v>298.58225298824334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-9.6633812063373625E-13</v>
      </c>
      <c r="EK155" s="18">
        <f>EJ155*VLOOKUP('Données projet'!$B$15,Paramètres!$A$1:$I$89,3,0)*VLOOKUP('Données projet'!$B$15,Paramètres!$A$1:$I$89,5,0)</f>
        <v>-9.3464223027694966E-13</v>
      </c>
      <c r="EL155" s="14" t="e">
        <f t="shared" si="179"/>
        <v>#NUM!</v>
      </c>
      <c r="EM155" s="22" t="e">
        <f t="shared" si="180"/>
        <v>#NUM!</v>
      </c>
      <c r="EN155" s="62" t="e">
        <f t="shared" si="128"/>
        <v>#NUM!</v>
      </c>
      <c r="EO155" s="62">
        <f ca="1">AVERAGE(OFFSET($EN$3,0,0,'Données projet'!$E$15+1,1))-AVERAGE(OFFSET($H$3,0,0,'Données projet'!$E$15+1,1))</f>
        <v>487.76433095707876</v>
      </c>
      <c r="EP155" s="62">
        <f t="shared" si="154"/>
        <v>276.24209151398361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-9.6633812063373625E-13</v>
      </c>
      <c r="FF155" s="18">
        <f>FE155*VLOOKUP('Données projet'!$B$16,Paramètres!$A$1:$I$89,3,0)*VLOOKUP('Données projet'!$B$16,Paramètres!$A$1:$I$89,5,0)</f>
        <v>-1.0401663530501537E-12</v>
      </c>
      <c r="FG155" s="14" t="e">
        <f t="shared" si="182"/>
        <v>#NUM!</v>
      </c>
      <c r="FH155" s="22" t="e">
        <f t="shared" si="183"/>
        <v>#NUM!</v>
      </c>
      <c r="FI155" s="62" t="e">
        <f t="shared" si="131"/>
        <v>#NUM!</v>
      </c>
      <c r="FJ155" s="62">
        <f ca="1">AVERAGE(OFFSET($FI$3,0,0,'Données projet'!$E$16+1,1))-AVERAGE(OFFSET($H$3,0,0,'Données projet'!$E$16+1,1))</f>
        <v>534.33392288300456</v>
      </c>
      <c r="FK155" s="62">
        <f t="shared" si="156"/>
        <v>300.93109615735477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-5.6843418860808015E-14</v>
      </c>
      <c r="GA155" s="18">
        <f>FZ155*VLOOKUP('Données projet'!$B$17,Paramètres!$A$1:$I$89,3,0)*VLOOKUP('Données projet'!$B$17,Paramètres!$A$1:$I$89,5,0)</f>
        <v>-3.813056537183002E-14</v>
      </c>
      <c r="GB155" s="14" t="e">
        <f t="shared" si="185"/>
        <v>#NUM!</v>
      </c>
      <c r="GC155" s="22" t="e">
        <f t="shared" si="186"/>
        <v>#NUM!</v>
      </c>
      <c r="GD155" s="62" t="e">
        <f t="shared" si="134"/>
        <v>#NUM!</v>
      </c>
      <c r="GE155" s="62">
        <f ca="1">AVERAGE(OFFSET($GD$3,0,0,'Données projet'!$E$17+1,1))-AVERAGE(OFFSET($H$3,0,0,'Données projet'!$E$17+1,1))</f>
        <v>316.17772895535211</v>
      </c>
      <c r="GF155" s="62">
        <f t="shared" si="158"/>
        <v>251.94445589652992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68.618522620543061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3.95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14.483333333333334</v>
      </c>
      <c r="H156" s="70">
        <f t="shared" si="110"/>
        <v>198.73333333333335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297.99999999999977</v>
      </c>
      <c r="O156" s="14">
        <f>N156*VLOOKUP('Données projet'!$B$9,Paramètres!$A$1:$I$89,3,0)*VLOOKUP('Données projet'!$B$9,Paramètres!$A$1:$I$89,5,0)</f>
        <v>251.0351999999998</v>
      </c>
      <c r="P156" s="14">
        <f t="shared" si="141"/>
        <v>60.807560012183302</v>
      </c>
      <c r="Q156" s="22">
        <f t="shared" si="162"/>
        <v>543.12614035455226</v>
      </c>
      <c r="R156" s="62">
        <f t="shared" si="109"/>
        <v>831.48193029125719</v>
      </c>
      <c r="S156" s="62">
        <f ca="1">AVERAGE(OFFSET($R$3,0,0,'Données projet'!$E$9+1,1))-AVERAGE(OFFSET($H$3,0,0,'Données projet'!$E$9+1,1))</f>
        <v>508.93703669150443</v>
      </c>
      <c r="T156" s="62">
        <f t="shared" si="142"/>
        <v>277.04920840696707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-9.6633812063373625E-13</v>
      </c>
      <c r="AJ156" s="14">
        <f>AI156*VLOOKUP('Données projet'!$B$10,Paramètres!$A$1:$I$89,3,0)*VLOOKUP('Données projet'!$B$10,Paramètres!$A$1:$I$89,5,0)</f>
        <v>-8.7434273154940449E-13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461.10503306101145</v>
      </c>
      <c r="AO156" s="62">
        <f t="shared" si="144"/>
        <v>262.10652147273288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-2.2737367544323206E-13</v>
      </c>
      <c r="BE156" s="14">
        <f>BD156*VLOOKUP('Données projet'!$B$11,Paramètres!$A$1:$I$89,3,0)*VLOOKUP('Données projet'!$B$11,Paramètres!$A$1:$I$89,5,0)</f>
        <v>-1.8089849618263545E-13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389.67854939311752</v>
      </c>
      <c r="BJ156" s="62">
        <f t="shared" si="146"/>
        <v>420.05189970516096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-1.0516032489249483E-12</v>
      </c>
      <c r="BZ156" s="14">
        <f>BY156*VLOOKUP('Données projet'!$B$12,Paramètres!$A$1:$I$89,3,0)*VLOOKUP('Données projet'!$B$12,Paramètres!$A$1:$I$89,5,0)</f>
        <v>-6.0151705838507046E-13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312.16891625633968</v>
      </c>
      <c r="CE156" s="62">
        <f t="shared" si="148"/>
        <v>215.34305815516177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0.39678573872013589</v>
      </c>
      <c r="CM156" s="23">
        <f>EXP(-LN(2)/2)*CM155+(1-EXP(-LN(2)/2))/(LN(2)/2)*CG156*CJ156*VLOOKUP('Données projet'!$B$12,Paramètres!$A$1:$I$89,3,0)*0.475*44/12</f>
        <v>2.4985293893359592E-18</v>
      </c>
      <c r="CN156" s="24">
        <f t="shared" si="172"/>
        <v>0.39678573872013589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3.979039320256561E-13</v>
      </c>
      <c r="CU156" s="18">
        <f>CT156*VLOOKUP('Données projet'!$B$13,Paramètres!$A$1:$I$89,3,0)*VLOOKUP('Données projet'!$B$13,Paramètres!$A$1:$I$89,5,0)</f>
        <v>2.669139576028101E-13</v>
      </c>
      <c r="CV156" s="14">
        <f t="shared" si="173"/>
        <v>3.5767923834585247E-12</v>
      </c>
      <c r="CW156" s="22">
        <f t="shared" si="174"/>
        <v>6.6944552106818241E-12</v>
      </c>
      <c r="CX156" s="62">
        <f t="shared" si="122"/>
        <v>288.35578993671169</v>
      </c>
      <c r="CY156" s="62">
        <f ca="1">AVERAGE(OFFSET($CX$3,0,0,'Données projet'!$E$13+1,1))-AVERAGE(OFFSET($H$3,0,0,'Données projet'!$E$13+1,1))</f>
        <v>369.04754428478793</v>
      </c>
      <c r="CZ156" s="62">
        <f t="shared" si="150"/>
        <v>277.00523259351712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1.1368683772161603E-13</v>
      </c>
      <c r="DP156" s="18">
        <f>DO156*VLOOKUP('Données projet'!$B$14,Paramètres!$A$1:$I$89,3,0)*VLOOKUP('Données projet'!$B$14,Paramètres!$A$1:$I$89,5,0)</f>
        <v>8.8675733422860506E-14</v>
      </c>
      <c r="DQ156" s="14">
        <f t="shared" si="176"/>
        <v>1.3509285393066301E-12</v>
      </c>
      <c r="DR156" s="22">
        <f t="shared" si="177"/>
        <v>2.5073107750038623E-12</v>
      </c>
      <c r="DS156" s="62">
        <f t="shared" si="125"/>
        <v>288.35578993670748</v>
      </c>
      <c r="DT156" s="62">
        <f ca="1">AVERAGE(OFFSET($DS$3,0,0,'Données projet'!$E$14+1,1))-AVERAGE(OFFSET($H$3,0,0,'Données projet'!$E$14+1,1))</f>
        <v>308.39181291575227</v>
      </c>
      <c r="DU156" s="62">
        <f t="shared" si="152"/>
        <v>298.58225298824334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-9.6633812063373625E-13</v>
      </c>
      <c r="EK156" s="18">
        <f>EJ156*VLOOKUP('Données projet'!$B$15,Paramètres!$A$1:$I$89,3,0)*VLOOKUP('Données projet'!$B$15,Paramètres!$A$1:$I$89,5,0)</f>
        <v>-9.3464223027694966E-13</v>
      </c>
      <c r="EL156" s="14" t="e">
        <f t="shared" si="179"/>
        <v>#NUM!</v>
      </c>
      <c r="EM156" s="22" t="e">
        <f t="shared" si="180"/>
        <v>#NUM!</v>
      </c>
      <c r="EN156" s="62" t="e">
        <f t="shared" si="128"/>
        <v>#NUM!</v>
      </c>
      <c r="EO156" s="62">
        <f ca="1">AVERAGE(OFFSET($EN$3,0,0,'Données projet'!$E$15+1,1))-AVERAGE(OFFSET($H$3,0,0,'Données projet'!$E$15+1,1))</f>
        <v>487.76433095707876</v>
      </c>
      <c r="EP156" s="62">
        <f t="shared" si="154"/>
        <v>276.24209151398361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-9.6633812063373625E-13</v>
      </c>
      <c r="FF156" s="18">
        <f>FE156*VLOOKUP('Données projet'!$B$16,Paramètres!$A$1:$I$89,3,0)*VLOOKUP('Données projet'!$B$16,Paramètres!$A$1:$I$89,5,0)</f>
        <v>-1.0401663530501537E-12</v>
      </c>
      <c r="FG156" s="14" t="e">
        <f t="shared" si="182"/>
        <v>#NUM!</v>
      </c>
      <c r="FH156" s="22" t="e">
        <f t="shared" si="183"/>
        <v>#NUM!</v>
      </c>
      <c r="FI156" s="62" t="e">
        <f t="shared" si="131"/>
        <v>#NUM!</v>
      </c>
      <c r="FJ156" s="62">
        <f ca="1">AVERAGE(OFFSET($FI$3,0,0,'Données projet'!$E$16+1,1))-AVERAGE(OFFSET($H$3,0,0,'Données projet'!$E$16+1,1))</f>
        <v>534.33392288300456</v>
      </c>
      <c r="FK156" s="62">
        <f t="shared" si="156"/>
        <v>300.93109615735477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-5.6843418860808015E-14</v>
      </c>
      <c r="GA156" s="18">
        <f>FZ156*VLOOKUP('Données projet'!$B$17,Paramètres!$A$1:$I$89,3,0)*VLOOKUP('Données projet'!$B$17,Paramètres!$A$1:$I$89,5,0)</f>
        <v>-3.813056537183002E-14</v>
      </c>
      <c r="GB156" s="14" t="e">
        <f t="shared" si="185"/>
        <v>#NUM!</v>
      </c>
      <c r="GC156" s="22" t="e">
        <f t="shared" si="186"/>
        <v>#NUM!</v>
      </c>
      <c r="GD156" s="62" t="e">
        <f t="shared" si="134"/>
        <v>#NUM!</v>
      </c>
      <c r="GE156" s="62">
        <f ca="1">AVERAGE(OFFSET($GD$3,0,0,'Données projet'!$E$17+1,1))-AVERAGE(OFFSET($H$3,0,0,'Données projet'!$E$17+1,1))</f>
        <v>316.17772895535211</v>
      </c>
      <c r="GF156" s="62">
        <f t="shared" si="158"/>
        <v>251.94445589652992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68.642488164555914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3.95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14.483333333333334</v>
      </c>
      <c r="H157" s="70">
        <f t="shared" si="110"/>
        <v>198.73333333333335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297.99999999999977</v>
      </c>
      <c r="O157" s="14">
        <f>N157*VLOOKUP('Données projet'!$B$9,Paramètres!$A$1:$I$89,3,0)*VLOOKUP('Données projet'!$B$9,Paramètres!$A$1:$I$89,5,0)</f>
        <v>251.0351999999998</v>
      </c>
      <c r="P157" s="14">
        <f t="shared" si="141"/>
        <v>60.807560012183302</v>
      </c>
      <c r="Q157" s="22">
        <f t="shared" si="162"/>
        <v>543.12614035455226</v>
      </c>
      <c r="R157" s="62">
        <f t="shared" si="109"/>
        <v>831.56827954106893</v>
      </c>
      <c r="S157" s="62">
        <f ca="1">AVERAGE(OFFSET($R$3,0,0,'Données projet'!$E$9+1,1))-AVERAGE(OFFSET($H$3,0,0,'Données projet'!$E$9+1,1))</f>
        <v>508.93703669150443</v>
      </c>
      <c r="T157" s="62">
        <f t="shared" si="142"/>
        <v>277.04920840696707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-9.6633812063373625E-13</v>
      </c>
      <c r="AJ157" s="14">
        <f>AI157*VLOOKUP('Données projet'!$B$10,Paramètres!$A$1:$I$89,3,0)*VLOOKUP('Données projet'!$B$10,Paramètres!$A$1:$I$89,5,0)</f>
        <v>-8.7434273154940449E-13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461.10503306101145</v>
      </c>
      <c r="AO157" s="62">
        <f t="shared" si="144"/>
        <v>262.10652147273288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-2.2737367544323206E-13</v>
      </c>
      <c r="BE157" s="14">
        <f>BD157*VLOOKUP('Données projet'!$B$11,Paramètres!$A$1:$I$89,3,0)*VLOOKUP('Données projet'!$B$11,Paramètres!$A$1:$I$89,5,0)</f>
        <v>-1.8089849618263545E-13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389.67854939311752</v>
      </c>
      <c r="BJ157" s="62">
        <f t="shared" si="146"/>
        <v>420.05189970516096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-1.0516032489249483E-12</v>
      </c>
      <c r="BZ157" s="14">
        <f>BY157*VLOOKUP('Données projet'!$B$12,Paramètres!$A$1:$I$89,3,0)*VLOOKUP('Données projet'!$B$12,Paramètres!$A$1:$I$89,5,0)</f>
        <v>-6.0151705838507046E-13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312.16891625633968</v>
      </c>
      <c r="CE157" s="62">
        <f t="shared" si="148"/>
        <v>215.34305815516177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0.38593561182877867</v>
      </c>
      <c r="CM157" s="23">
        <f>EXP(-LN(2)/2)*CM156+(1-EXP(-LN(2)/2))/(LN(2)/2)*CG157*CJ157*VLOOKUP('Données projet'!$B$12,Paramètres!$A$1:$I$89,3,0)*0.475*44/12</f>
        <v>1.7667270741933403E-18</v>
      </c>
      <c r="CN157" s="24">
        <f t="shared" si="172"/>
        <v>0.38593561182877867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3.979039320256561E-13</v>
      </c>
      <c r="CU157" s="18">
        <f>CT157*VLOOKUP('Données projet'!$B$13,Paramètres!$A$1:$I$89,3,0)*VLOOKUP('Données projet'!$B$13,Paramètres!$A$1:$I$89,5,0)</f>
        <v>2.669139576028101E-13</v>
      </c>
      <c r="CV157" s="14">
        <f t="shared" si="173"/>
        <v>3.5767923834585247E-12</v>
      </c>
      <c r="CW157" s="22">
        <f t="shared" si="174"/>
        <v>6.6944552106818241E-12</v>
      </c>
      <c r="CX157" s="62">
        <f t="shared" si="122"/>
        <v>288.44213918652332</v>
      </c>
      <c r="CY157" s="62">
        <f ca="1">AVERAGE(OFFSET($CX$3,0,0,'Données projet'!$E$13+1,1))-AVERAGE(OFFSET($H$3,0,0,'Données projet'!$E$13+1,1))</f>
        <v>369.04754428478793</v>
      </c>
      <c r="CZ157" s="62">
        <f t="shared" si="150"/>
        <v>277.00523259351712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1.1368683772161603E-13</v>
      </c>
      <c r="DP157" s="18">
        <f>DO157*VLOOKUP('Données projet'!$B$14,Paramètres!$A$1:$I$89,3,0)*VLOOKUP('Données projet'!$B$14,Paramètres!$A$1:$I$89,5,0)</f>
        <v>8.8675733422860506E-14</v>
      </c>
      <c r="DQ157" s="14">
        <f t="shared" si="176"/>
        <v>1.3509285393066301E-12</v>
      </c>
      <c r="DR157" s="22">
        <f t="shared" si="177"/>
        <v>2.5073107750038623E-12</v>
      </c>
      <c r="DS157" s="62">
        <f t="shared" si="125"/>
        <v>288.44213918651911</v>
      </c>
      <c r="DT157" s="62">
        <f ca="1">AVERAGE(OFFSET($DS$3,0,0,'Données projet'!$E$14+1,1))-AVERAGE(OFFSET($H$3,0,0,'Données projet'!$E$14+1,1))</f>
        <v>308.39181291575227</v>
      </c>
      <c r="DU157" s="62">
        <f t="shared" si="152"/>
        <v>298.58225298824334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-9.6633812063373625E-13</v>
      </c>
      <c r="EK157" s="18">
        <f>EJ157*VLOOKUP('Données projet'!$B$15,Paramètres!$A$1:$I$89,3,0)*VLOOKUP('Données projet'!$B$15,Paramètres!$A$1:$I$89,5,0)</f>
        <v>-9.3464223027694966E-13</v>
      </c>
      <c r="EL157" s="14" t="e">
        <f t="shared" si="179"/>
        <v>#NUM!</v>
      </c>
      <c r="EM157" s="22" t="e">
        <f t="shared" si="180"/>
        <v>#NUM!</v>
      </c>
      <c r="EN157" s="62" t="e">
        <f t="shared" si="128"/>
        <v>#NUM!</v>
      </c>
      <c r="EO157" s="62">
        <f ca="1">AVERAGE(OFFSET($EN$3,0,0,'Données projet'!$E$15+1,1))-AVERAGE(OFFSET($H$3,0,0,'Données projet'!$E$15+1,1))</f>
        <v>487.76433095707876</v>
      </c>
      <c r="EP157" s="62">
        <f t="shared" si="154"/>
        <v>276.24209151398361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-9.6633812063373625E-13</v>
      </c>
      <c r="FF157" s="18">
        <f>FE157*VLOOKUP('Données projet'!$B$16,Paramètres!$A$1:$I$89,3,0)*VLOOKUP('Données projet'!$B$16,Paramètres!$A$1:$I$89,5,0)</f>
        <v>-1.0401663530501537E-12</v>
      </c>
      <c r="FG157" s="14" t="e">
        <f t="shared" si="182"/>
        <v>#NUM!</v>
      </c>
      <c r="FH157" s="22" t="e">
        <f t="shared" si="183"/>
        <v>#NUM!</v>
      </c>
      <c r="FI157" s="62" t="e">
        <f t="shared" si="131"/>
        <v>#NUM!</v>
      </c>
      <c r="FJ157" s="62">
        <f ca="1">AVERAGE(OFFSET($FI$3,0,0,'Données projet'!$E$16+1,1))-AVERAGE(OFFSET($H$3,0,0,'Données projet'!$E$16+1,1))</f>
        <v>534.33392288300456</v>
      </c>
      <c r="FK157" s="62">
        <f t="shared" si="156"/>
        <v>300.93109615735477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-5.6843418860808015E-14</v>
      </c>
      <c r="GA157" s="18">
        <f>FZ157*VLOOKUP('Données projet'!$B$17,Paramètres!$A$1:$I$89,3,0)*VLOOKUP('Données projet'!$B$17,Paramètres!$A$1:$I$89,5,0)</f>
        <v>-3.813056537183002E-14</v>
      </c>
      <c r="GB157" s="14" t="e">
        <f t="shared" si="185"/>
        <v>#NUM!</v>
      </c>
      <c r="GC157" s="22" t="e">
        <f t="shared" si="186"/>
        <v>#NUM!</v>
      </c>
      <c r="GD157" s="62" t="e">
        <f t="shared" si="134"/>
        <v>#NUM!</v>
      </c>
      <c r="GE157" s="62">
        <f ca="1">AVERAGE(OFFSET($GD$3,0,0,'Données projet'!$E$17+1,1))-AVERAGE(OFFSET($H$3,0,0,'Données projet'!$E$17+1,1))</f>
        <v>316.17772895535211</v>
      </c>
      <c r="GF157" s="62">
        <f t="shared" si="158"/>
        <v>251.94445589652992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68.66603795995907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3.95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14.483333333333334</v>
      </c>
      <c r="H158" s="70">
        <f t="shared" si="110"/>
        <v>198.73333333333335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297.99999999999977</v>
      </c>
      <c r="O158" s="14">
        <f>N158*VLOOKUP('Données projet'!$B$9,Paramètres!$A$1:$I$89,3,0)*VLOOKUP('Données projet'!$B$9,Paramètres!$A$1:$I$89,5,0)</f>
        <v>251.0351999999998</v>
      </c>
      <c r="P158" s="14">
        <f t="shared" si="141"/>
        <v>60.807560012183302</v>
      </c>
      <c r="Q158" s="22">
        <f t="shared" si="162"/>
        <v>543.12614035455226</v>
      </c>
      <c r="R158" s="62">
        <f t="shared" si="109"/>
        <v>831.65313082444413</v>
      </c>
      <c r="S158" s="62">
        <f ca="1">AVERAGE(OFFSET($R$3,0,0,'Données projet'!$E$9+1,1))-AVERAGE(OFFSET($H$3,0,0,'Données projet'!$E$9+1,1))</f>
        <v>508.93703669150443</v>
      </c>
      <c r="T158" s="62">
        <f t="shared" si="142"/>
        <v>277.04920840696707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-9.6633812063373625E-13</v>
      </c>
      <c r="AJ158" s="14">
        <f>AI158*VLOOKUP('Données projet'!$B$10,Paramètres!$A$1:$I$89,3,0)*VLOOKUP('Données projet'!$B$10,Paramètres!$A$1:$I$89,5,0)</f>
        <v>-8.7434273154940449E-13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461.10503306101145</v>
      </c>
      <c r="AO158" s="62">
        <f t="shared" si="144"/>
        <v>262.10652147273288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-2.2737367544323206E-13</v>
      </c>
      <c r="BE158" s="14">
        <f>BD158*VLOOKUP('Données projet'!$B$11,Paramètres!$A$1:$I$89,3,0)*VLOOKUP('Données projet'!$B$11,Paramètres!$A$1:$I$89,5,0)</f>
        <v>-1.8089849618263545E-13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389.67854939311752</v>
      </c>
      <c r="BJ158" s="62">
        <f t="shared" si="146"/>
        <v>420.05189970516096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-1.0516032489249483E-12</v>
      </c>
      <c r="BZ158" s="14">
        <f>BY158*VLOOKUP('Données projet'!$B$12,Paramètres!$A$1:$I$89,3,0)*VLOOKUP('Données projet'!$B$12,Paramètres!$A$1:$I$89,5,0)</f>
        <v>-6.0151705838507046E-13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312.16891625633968</v>
      </c>
      <c r="CE158" s="62">
        <f t="shared" si="148"/>
        <v>215.34305815516177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0.37538218222784897</v>
      </c>
      <c r="CM158" s="23">
        <f>EXP(-LN(2)/2)*CM157+(1-EXP(-LN(2)/2))/(LN(2)/2)*CG158*CJ158*VLOOKUP('Données projet'!$B$12,Paramètres!$A$1:$I$89,3,0)*0.475*44/12</f>
        <v>1.2492646946679796E-18</v>
      </c>
      <c r="CN158" s="24">
        <f t="shared" si="172"/>
        <v>0.37538218222784897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3.979039320256561E-13</v>
      </c>
      <c r="CU158" s="18">
        <f>CT158*VLOOKUP('Données projet'!$B$13,Paramètres!$A$1:$I$89,3,0)*VLOOKUP('Données projet'!$B$13,Paramètres!$A$1:$I$89,5,0)</f>
        <v>2.669139576028101E-13</v>
      </c>
      <c r="CV158" s="14">
        <f t="shared" si="173"/>
        <v>3.5767923834585247E-12</v>
      </c>
      <c r="CW158" s="22">
        <f t="shared" si="174"/>
        <v>6.6944552106818241E-12</v>
      </c>
      <c r="CX158" s="62">
        <f t="shared" si="122"/>
        <v>288.52699046989864</v>
      </c>
      <c r="CY158" s="62">
        <f ca="1">AVERAGE(OFFSET($CX$3,0,0,'Données projet'!$E$13+1,1))-AVERAGE(OFFSET($H$3,0,0,'Données projet'!$E$13+1,1))</f>
        <v>369.04754428478793</v>
      </c>
      <c r="CZ158" s="62">
        <f t="shared" si="150"/>
        <v>277.00523259351712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1.1368683772161603E-13</v>
      </c>
      <c r="DP158" s="18">
        <f>DO158*VLOOKUP('Données projet'!$B$14,Paramètres!$A$1:$I$89,3,0)*VLOOKUP('Données projet'!$B$14,Paramètres!$A$1:$I$89,5,0)</f>
        <v>8.8675733422860506E-14</v>
      </c>
      <c r="DQ158" s="14">
        <f t="shared" si="176"/>
        <v>1.3509285393066301E-12</v>
      </c>
      <c r="DR158" s="22">
        <f t="shared" si="177"/>
        <v>2.5073107750038623E-12</v>
      </c>
      <c r="DS158" s="62">
        <f t="shared" si="125"/>
        <v>288.52699046989443</v>
      </c>
      <c r="DT158" s="62">
        <f ca="1">AVERAGE(OFFSET($DS$3,0,0,'Données projet'!$E$14+1,1))-AVERAGE(OFFSET($H$3,0,0,'Données projet'!$E$14+1,1))</f>
        <v>308.39181291575227</v>
      </c>
      <c r="DU158" s="62">
        <f t="shared" si="152"/>
        <v>298.58225298824334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-9.6633812063373625E-13</v>
      </c>
      <c r="EK158" s="18">
        <f>EJ158*VLOOKUP('Données projet'!$B$15,Paramètres!$A$1:$I$89,3,0)*VLOOKUP('Données projet'!$B$15,Paramètres!$A$1:$I$89,5,0)</f>
        <v>-9.3464223027694966E-13</v>
      </c>
      <c r="EL158" s="14" t="e">
        <f t="shared" si="179"/>
        <v>#NUM!</v>
      </c>
      <c r="EM158" s="22" t="e">
        <f t="shared" si="180"/>
        <v>#NUM!</v>
      </c>
      <c r="EN158" s="62" t="e">
        <f t="shared" si="128"/>
        <v>#NUM!</v>
      </c>
      <c r="EO158" s="62">
        <f ca="1">AVERAGE(OFFSET($EN$3,0,0,'Données projet'!$E$15+1,1))-AVERAGE(OFFSET($H$3,0,0,'Données projet'!$E$15+1,1))</f>
        <v>487.76433095707876</v>
      </c>
      <c r="EP158" s="62">
        <f t="shared" si="154"/>
        <v>276.24209151398361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-9.6633812063373625E-13</v>
      </c>
      <c r="FF158" s="18">
        <f>FE158*VLOOKUP('Données projet'!$B$16,Paramètres!$A$1:$I$89,3,0)*VLOOKUP('Données projet'!$B$16,Paramètres!$A$1:$I$89,5,0)</f>
        <v>-1.0401663530501537E-12</v>
      </c>
      <c r="FG158" s="14" t="e">
        <f t="shared" si="182"/>
        <v>#NUM!</v>
      </c>
      <c r="FH158" s="22" t="e">
        <f t="shared" si="183"/>
        <v>#NUM!</v>
      </c>
      <c r="FI158" s="62" t="e">
        <f t="shared" si="131"/>
        <v>#NUM!</v>
      </c>
      <c r="FJ158" s="62">
        <f ca="1">AVERAGE(OFFSET($FI$3,0,0,'Données projet'!$E$16+1,1))-AVERAGE(OFFSET($H$3,0,0,'Données projet'!$E$16+1,1))</f>
        <v>534.33392288300456</v>
      </c>
      <c r="FK158" s="62">
        <f t="shared" si="156"/>
        <v>300.93109615735477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-5.6843418860808015E-14</v>
      </c>
      <c r="GA158" s="18">
        <f>FZ158*VLOOKUP('Données projet'!$B$17,Paramètres!$A$1:$I$89,3,0)*VLOOKUP('Données projet'!$B$17,Paramètres!$A$1:$I$89,5,0)</f>
        <v>-3.813056537183002E-14</v>
      </c>
      <c r="GB158" s="14" t="e">
        <f t="shared" si="185"/>
        <v>#NUM!</v>
      </c>
      <c r="GC158" s="22" t="e">
        <f t="shared" si="186"/>
        <v>#NUM!</v>
      </c>
      <c r="GD158" s="62" t="e">
        <f t="shared" si="134"/>
        <v>#NUM!</v>
      </c>
      <c r="GE158" s="62">
        <f ca="1">AVERAGE(OFFSET($GD$3,0,0,'Données projet'!$E$17+1,1))-AVERAGE(OFFSET($H$3,0,0,'Données projet'!$E$17+1,1))</f>
        <v>316.17772895535211</v>
      </c>
      <c r="GF158" s="62">
        <f t="shared" si="158"/>
        <v>251.94445589652992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68.689179219061444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3.95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14.483333333333334</v>
      </c>
      <c r="H159" s="70">
        <f t="shared" si="110"/>
        <v>198.73333333333335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297.99999999999977</v>
      </c>
      <c r="O159" s="14">
        <f>N159*VLOOKUP('Données projet'!$B$9,Paramètres!$A$1:$I$89,3,0)*VLOOKUP('Données projet'!$B$9,Paramètres!$A$1:$I$89,5,0)</f>
        <v>251.0351999999998</v>
      </c>
      <c r="P159" s="14">
        <f t="shared" si="141"/>
        <v>60.807560012183302</v>
      </c>
      <c r="Q159" s="22">
        <f t="shared" si="162"/>
        <v>543.12614035455226</v>
      </c>
      <c r="R159" s="62">
        <f t="shared" si="109"/>
        <v>831.73651012775213</v>
      </c>
      <c r="S159" s="62">
        <f ca="1">AVERAGE(OFFSET($R$3,0,0,'Données projet'!$E$9+1,1))-AVERAGE(OFFSET($H$3,0,0,'Données projet'!$E$9+1,1))</f>
        <v>508.93703669150443</v>
      </c>
      <c r="T159" s="62">
        <f t="shared" si="142"/>
        <v>277.04920840696707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-9.6633812063373625E-13</v>
      </c>
      <c r="AJ159" s="14">
        <f>AI159*VLOOKUP('Données projet'!$B$10,Paramètres!$A$1:$I$89,3,0)*VLOOKUP('Données projet'!$B$10,Paramètres!$A$1:$I$89,5,0)</f>
        <v>-8.7434273154940449E-13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461.10503306101145</v>
      </c>
      <c r="AO159" s="62">
        <f t="shared" si="144"/>
        <v>262.10652147273288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-2.2737367544323206E-13</v>
      </c>
      <c r="BE159" s="14">
        <f>BD159*VLOOKUP('Données projet'!$B$11,Paramètres!$A$1:$I$89,3,0)*VLOOKUP('Données projet'!$B$11,Paramètres!$A$1:$I$89,5,0)</f>
        <v>-1.8089849618263545E-13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389.67854939311752</v>
      </c>
      <c r="BJ159" s="62">
        <f t="shared" si="146"/>
        <v>420.05189970516096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-1.0516032489249483E-12</v>
      </c>
      <c r="BZ159" s="14">
        <f>BY159*VLOOKUP('Données projet'!$B$12,Paramètres!$A$1:$I$89,3,0)*VLOOKUP('Données projet'!$B$12,Paramètres!$A$1:$I$89,5,0)</f>
        <v>-6.0151705838507046E-13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312.16891625633968</v>
      </c>
      <c r="CE159" s="62">
        <f t="shared" si="148"/>
        <v>215.34305815516177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0.36511733671433744</v>
      </c>
      <c r="CM159" s="23">
        <f>EXP(-LN(2)/2)*CM158+(1-EXP(-LN(2)/2))/(LN(2)/2)*CG159*CJ159*VLOOKUP('Données projet'!$B$12,Paramètres!$A$1:$I$89,3,0)*0.475*44/12</f>
        <v>8.8336353709667013E-19</v>
      </c>
      <c r="CN159" s="24">
        <f t="shared" si="172"/>
        <v>0.36511733671433744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3.979039320256561E-13</v>
      </c>
      <c r="CU159" s="18">
        <f>CT159*VLOOKUP('Données projet'!$B$13,Paramètres!$A$1:$I$89,3,0)*VLOOKUP('Données projet'!$B$13,Paramètres!$A$1:$I$89,5,0)</f>
        <v>2.669139576028101E-13</v>
      </c>
      <c r="CV159" s="14">
        <f t="shared" si="173"/>
        <v>3.5767923834585247E-12</v>
      </c>
      <c r="CW159" s="22">
        <f t="shared" si="174"/>
        <v>6.6944552106818241E-12</v>
      </c>
      <c r="CX159" s="62">
        <f t="shared" si="122"/>
        <v>288.61036977320651</v>
      </c>
      <c r="CY159" s="62">
        <f ca="1">AVERAGE(OFFSET($CX$3,0,0,'Données projet'!$E$13+1,1))-AVERAGE(OFFSET($H$3,0,0,'Données projet'!$E$13+1,1))</f>
        <v>369.04754428478793</v>
      </c>
      <c r="CZ159" s="62">
        <f t="shared" si="150"/>
        <v>277.00523259351712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1.1368683772161603E-13</v>
      </c>
      <c r="DP159" s="18">
        <f>DO159*VLOOKUP('Données projet'!$B$14,Paramètres!$A$1:$I$89,3,0)*VLOOKUP('Données projet'!$B$14,Paramètres!$A$1:$I$89,5,0)</f>
        <v>8.8675733422860506E-14</v>
      </c>
      <c r="DQ159" s="14">
        <f t="shared" si="176"/>
        <v>1.3509285393066301E-12</v>
      </c>
      <c r="DR159" s="22">
        <f t="shared" si="177"/>
        <v>2.5073107750038623E-12</v>
      </c>
      <c r="DS159" s="62">
        <f t="shared" si="125"/>
        <v>288.61036977320231</v>
      </c>
      <c r="DT159" s="62">
        <f ca="1">AVERAGE(OFFSET($DS$3,0,0,'Données projet'!$E$14+1,1))-AVERAGE(OFFSET($H$3,0,0,'Données projet'!$E$14+1,1))</f>
        <v>308.39181291575227</v>
      </c>
      <c r="DU159" s="62">
        <f t="shared" si="152"/>
        <v>298.58225298824334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-9.6633812063373625E-13</v>
      </c>
      <c r="EK159" s="18">
        <f>EJ159*VLOOKUP('Données projet'!$B$15,Paramètres!$A$1:$I$89,3,0)*VLOOKUP('Données projet'!$B$15,Paramètres!$A$1:$I$89,5,0)</f>
        <v>-9.3464223027694966E-13</v>
      </c>
      <c r="EL159" s="14" t="e">
        <f t="shared" si="179"/>
        <v>#NUM!</v>
      </c>
      <c r="EM159" s="22" t="e">
        <f t="shared" si="180"/>
        <v>#NUM!</v>
      </c>
      <c r="EN159" s="62" t="e">
        <f t="shared" si="128"/>
        <v>#NUM!</v>
      </c>
      <c r="EO159" s="62">
        <f ca="1">AVERAGE(OFFSET($EN$3,0,0,'Données projet'!$E$15+1,1))-AVERAGE(OFFSET($H$3,0,0,'Données projet'!$E$15+1,1))</f>
        <v>487.76433095707876</v>
      </c>
      <c r="EP159" s="62">
        <f t="shared" si="154"/>
        <v>276.24209151398361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-9.6633812063373625E-13</v>
      </c>
      <c r="FF159" s="18">
        <f>FE159*VLOOKUP('Données projet'!$B$16,Paramètres!$A$1:$I$89,3,0)*VLOOKUP('Données projet'!$B$16,Paramètres!$A$1:$I$89,5,0)</f>
        <v>-1.0401663530501537E-12</v>
      </c>
      <c r="FG159" s="14" t="e">
        <f t="shared" si="182"/>
        <v>#NUM!</v>
      </c>
      <c r="FH159" s="22" t="e">
        <f t="shared" si="183"/>
        <v>#NUM!</v>
      </c>
      <c r="FI159" s="62" t="e">
        <f t="shared" si="131"/>
        <v>#NUM!</v>
      </c>
      <c r="FJ159" s="62">
        <f ca="1">AVERAGE(OFFSET($FI$3,0,0,'Données projet'!$E$16+1,1))-AVERAGE(OFFSET($H$3,0,0,'Données projet'!$E$16+1,1))</f>
        <v>534.33392288300456</v>
      </c>
      <c r="FK159" s="62">
        <f t="shared" si="156"/>
        <v>300.93109615735477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-5.6843418860808015E-14</v>
      </c>
      <c r="GA159" s="18">
        <f>FZ159*VLOOKUP('Données projet'!$B$17,Paramètres!$A$1:$I$89,3,0)*VLOOKUP('Données projet'!$B$17,Paramètres!$A$1:$I$89,5,0)</f>
        <v>-3.813056537183002E-14</v>
      </c>
      <c r="GB159" s="14" t="e">
        <f t="shared" si="185"/>
        <v>#NUM!</v>
      </c>
      <c r="GC159" s="22" t="e">
        <f t="shared" si="186"/>
        <v>#NUM!</v>
      </c>
      <c r="GD159" s="62" t="e">
        <f t="shared" si="134"/>
        <v>#NUM!</v>
      </c>
      <c r="GE159" s="62">
        <f ca="1">AVERAGE(OFFSET($GD$3,0,0,'Données projet'!$E$17+1,1))-AVERAGE(OFFSET($H$3,0,0,'Données projet'!$E$17+1,1))</f>
        <v>316.17772895535211</v>
      </c>
      <c r="GF159" s="62">
        <f t="shared" si="158"/>
        <v>251.94445589652992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68.711919029054485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3.95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14.483333333333334</v>
      </c>
      <c r="H160" s="70">
        <f t="shared" si="110"/>
        <v>198.73333333333335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297.99999999999977</v>
      </c>
      <c r="O160" s="14">
        <f>N160*VLOOKUP('Données projet'!$B$9,Paramètres!$A$1:$I$89,3,0)*VLOOKUP('Données projet'!$B$9,Paramètres!$A$1:$I$89,5,0)</f>
        <v>251.0351999999998</v>
      </c>
      <c r="P160" s="14">
        <f t="shared" si="141"/>
        <v>60.807560012183302</v>
      </c>
      <c r="Q160" s="22">
        <f t="shared" si="162"/>
        <v>543.12614035455226</v>
      </c>
      <c r="R160" s="62">
        <f t="shared" si="109"/>
        <v>831.81844298655574</v>
      </c>
      <c r="S160" s="62">
        <f ca="1">AVERAGE(OFFSET($R$3,0,0,'Données projet'!$E$9+1,1))-AVERAGE(OFFSET($H$3,0,0,'Données projet'!$E$9+1,1))</f>
        <v>508.93703669150443</v>
      </c>
      <c r="T160" s="62">
        <f t="shared" si="142"/>
        <v>277.04920840696707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-9.6633812063373625E-13</v>
      </c>
      <c r="AJ160" s="14">
        <f>AI160*VLOOKUP('Données projet'!$B$10,Paramètres!$A$1:$I$89,3,0)*VLOOKUP('Données projet'!$B$10,Paramètres!$A$1:$I$89,5,0)</f>
        <v>-8.7434273154940449E-13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461.10503306101145</v>
      </c>
      <c r="AO160" s="62">
        <f t="shared" si="144"/>
        <v>262.10652147273288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-2.2737367544323206E-13</v>
      </c>
      <c r="BE160" s="14">
        <f>BD160*VLOOKUP('Données projet'!$B$11,Paramètres!$A$1:$I$89,3,0)*VLOOKUP('Données projet'!$B$11,Paramètres!$A$1:$I$89,5,0)</f>
        <v>-1.8089849618263545E-13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389.67854939311752</v>
      </c>
      <c r="BJ160" s="62">
        <f t="shared" si="146"/>
        <v>420.05189970516096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-1.0516032489249483E-12</v>
      </c>
      <c r="BZ160" s="14">
        <f>BY160*VLOOKUP('Données projet'!$B$12,Paramètres!$A$1:$I$89,3,0)*VLOOKUP('Données projet'!$B$12,Paramètres!$A$1:$I$89,5,0)</f>
        <v>-6.0151705838507046E-13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312.16891625633968</v>
      </c>
      <c r="CE160" s="62">
        <f t="shared" si="148"/>
        <v>215.34305815516177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0.35513318394119764</v>
      </c>
      <c r="CM160" s="23">
        <f>EXP(-LN(2)/2)*CM159+(1-EXP(-LN(2)/2))/(LN(2)/2)*CG160*CJ160*VLOOKUP('Données projet'!$B$12,Paramètres!$A$1:$I$89,3,0)*0.475*44/12</f>
        <v>6.2463234733398979E-19</v>
      </c>
      <c r="CN160" s="24">
        <f t="shared" si="172"/>
        <v>0.35513318394119764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3.979039320256561E-13</v>
      </c>
      <c r="CU160" s="18">
        <f>CT160*VLOOKUP('Données projet'!$B$13,Paramètres!$A$1:$I$89,3,0)*VLOOKUP('Données projet'!$B$13,Paramètres!$A$1:$I$89,5,0)</f>
        <v>2.669139576028101E-13</v>
      </c>
      <c r="CV160" s="14">
        <f t="shared" si="173"/>
        <v>3.5767923834585247E-12</v>
      </c>
      <c r="CW160" s="22">
        <f t="shared" si="174"/>
        <v>6.6944552106818241E-12</v>
      </c>
      <c r="CX160" s="62">
        <f t="shared" si="122"/>
        <v>288.69230263201013</v>
      </c>
      <c r="CY160" s="62">
        <f ca="1">AVERAGE(OFFSET($CX$3,0,0,'Données projet'!$E$13+1,1))-AVERAGE(OFFSET($H$3,0,0,'Données projet'!$E$13+1,1))</f>
        <v>369.04754428478793</v>
      </c>
      <c r="CZ160" s="62">
        <f t="shared" si="150"/>
        <v>277.00523259351712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1.1368683772161603E-13</v>
      </c>
      <c r="DP160" s="18">
        <f>DO160*VLOOKUP('Données projet'!$B$14,Paramètres!$A$1:$I$89,3,0)*VLOOKUP('Données projet'!$B$14,Paramètres!$A$1:$I$89,5,0)</f>
        <v>8.8675733422860506E-14</v>
      </c>
      <c r="DQ160" s="14">
        <f t="shared" si="176"/>
        <v>1.3509285393066301E-12</v>
      </c>
      <c r="DR160" s="22">
        <f t="shared" si="177"/>
        <v>2.5073107750038623E-12</v>
      </c>
      <c r="DS160" s="62">
        <f t="shared" si="125"/>
        <v>288.69230263200592</v>
      </c>
      <c r="DT160" s="62">
        <f ca="1">AVERAGE(OFFSET($DS$3,0,0,'Données projet'!$E$14+1,1))-AVERAGE(OFFSET($H$3,0,0,'Données projet'!$E$14+1,1))</f>
        <v>308.39181291575227</v>
      </c>
      <c r="DU160" s="62">
        <f t="shared" si="152"/>
        <v>298.58225298824334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-9.6633812063373625E-13</v>
      </c>
      <c r="EK160" s="18">
        <f>EJ160*VLOOKUP('Données projet'!$B$15,Paramètres!$A$1:$I$89,3,0)*VLOOKUP('Données projet'!$B$15,Paramètres!$A$1:$I$89,5,0)</f>
        <v>-9.3464223027694966E-13</v>
      </c>
      <c r="EL160" s="14" t="e">
        <f t="shared" si="179"/>
        <v>#NUM!</v>
      </c>
      <c r="EM160" s="22" t="e">
        <f t="shared" si="180"/>
        <v>#NUM!</v>
      </c>
      <c r="EN160" s="62" t="e">
        <f t="shared" si="128"/>
        <v>#NUM!</v>
      </c>
      <c r="EO160" s="62">
        <f ca="1">AVERAGE(OFFSET($EN$3,0,0,'Données projet'!$E$15+1,1))-AVERAGE(OFFSET($H$3,0,0,'Données projet'!$E$15+1,1))</f>
        <v>487.76433095707876</v>
      </c>
      <c r="EP160" s="62">
        <f t="shared" si="154"/>
        <v>276.24209151398361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-9.6633812063373625E-13</v>
      </c>
      <c r="FF160" s="18">
        <f>FE160*VLOOKUP('Données projet'!$B$16,Paramètres!$A$1:$I$89,3,0)*VLOOKUP('Données projet'!$B$16,Paramètres!$A$1:$I$89,5,0)</f>
        <v>-1.0401663530501537E-12</v>
      </c>
      <c r="FG160" s="14" t="e">
        <f t="shared" si="182"/>
        <v>#NUM!</v>
      </c>
      <c r="FH160" s="22" t="e">
        <f t="shared" si="183"/>
        <v>#NUM!</v>
      </c>
      <c r="FI160" s="62" t="e">
        <f t="shared" si="131"/>
        <v>#NUM!</v>
      </c>
      <c r="FJ160" s="62">
        <f ca="1">AVERAGE(OFFSET($FI$3,0,0,'Données projet'!$E$16+1,1))-AVERAGE(OFFSET($H$3,0,0,'Données projet'!$E$16+1,1))</f>
        <v>534.33392288300456</v>
      </c>
      <c r="FK160" s="62">
        <f t="shared" si="156"/>
        <v>300.93109615735477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-5.6843418860808015E-14</v>
      </c>
      <c r="GA160" s="18">
        <f>FZ160*VLOOKUP('Données projet'!$B$17,Paramètres!$A$1:$I$89,3,0)*VLOOKUP('Données projet'!$B$17,Paramètres!$A$1:$I$89,5,0)</f>
        <v>-3.813056537183002E-14</v>
      </c>
      <c r="GB160" s="14" t="e">
        <f t="shared" si="185"/>
        <v>#NUM!</v>
      </c>
      <c r="GC160" s="22" t="e">
        <f t="shared" si="186"/>
        <v>#NUM!</v>
      </c>
      <c r="GD160" s="62" t="e">
        <f t="shared" si="134"/>
        <v>#NUM!</v>
      </c>
      <c r="GE160" s="62">
        <f ca="1">AVERAGE(OFFSET($GD$3,0,0,'Données projet'!$E$17+1,1))-AVERAGE(OFFSET($H$3,0,0,'Données projet'!$E$17+1,1))</f>
        <v>316.17772895535211</v>
      </c>
      <c r="GF160" s="62">
        <f t="shared" si="158"/>
        <v>251.94445589652992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68.734264354182756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3.95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14.483333333333334</v>
      </c>
      <c r="H161" s="70">
        <f t="shared" si="110"/>
        <v>198.73333333333335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297.99999999999977</v>
      </c>
      <c r="O161" s="14">
        <f>N161*VLOOKUP('Données projet'!$B$9,Paramètres!$A$1:$I$89,3,0)*VLOOKUP('Données projet'!$B$9,Paramètres!$A$1:$I$89,5,0)</f>
        <v>251.0351999999998</v>
      </c>
      <c r="P161" s="14">
        <f t="shared" si="141"/>
        <v>60.807560012183302</v>
      </c>
      <c r="Q161" s="22">
        <f t="shared" si="162"/>
        <v>543.12614035455226</v>
      </c>
      <c r="R161" s="62">
        <f t="shared" si="109"/>
        <v>831.89895449343362</v>
      </c>
      <c r="S161" s="62">
        <f ca="1">AVERAGE(OFFSET($R$3,0,0,'Données projet'!$E$9+1,1))-AVERAGE(OFFSET($H$3,0,0,'Données projet'!$E$9+1,1))</f>
        <v>508.93703669150443</v>
      </c>
      <c r="T161" s="62">
        <f t="shared" si="142"/>
        <v>277.04920840696707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-9.6633812063373625E-13</v>
      </c>
      <c r="AJ161" s="14">
        <f>AI161*VLOOKUP('Données projet'!$B$10,Paramètres!$A$1:$I$89,3,0)*VLOOKUP('Données projet'!$B$10,Paramètres!$A$1:$I$89,5,0)</f>
        <v>-8.7434273154940449E-13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461.10503306101145</v>
      </c>
      <c r="AO161" s="62">
        <f t="shared" si="144"/>
        <v>262.10652147273288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-2.2737367544323206E-13</v>
      </c>
      <c r="BE161" s="14">
        <f>BD161*VLOOKUP('Données projet'!$B$11,Paramètres!$A$1:$I$89,3,0)*VLOOKUP('Données projet'!$B$11,Paramètres!$A$1:$I$89,5,0)</f>
        <v>-1.8089849618263545E-13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389.67854939311752</v>
      </c>
      <c r="BJ161" s="62">
        <f t="shared" si="146"/>
        <v>420.05189970516096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-1.0516032489249483E-12</v>
      </c>
      <c r="BZ161" s="14">
        <f>BY161*VLOOKUP('Données projet'!$B$12,Paramètres!$A$1:$I$89,3,0)*VLOOKUP('Données projet'!$B$12,Paramètres!$A$1:$I$89,5,0)</f>
        <v>-6.0151705838507046E-13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312.16891625633968</v>
      </c>
      <c r="CE161" s="62">
        <f t="shared" si="148"/>
        <v>215.34305815516177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0.34542204835068313</v>
      </c>
      <c r="CM161" s="23">
        <f>EXP(-LN(2)/2)*CM160+(1-EXP(-LN(2)/2))/(LN(2)/2)*CG161*CJ161*VLOOKUP('Données projet'!$B$12,Paramètres!$A$1:$I$89,3,0)*0.475*44/12</f>
        <v>4.4168176854833507E-19</v>
      </c>
      <c r="CN161" s="24">
        <f t="shared" si="172"/>
        <v>0.34542204835068313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3.979039320256561E-13</v>
      </c>
      <c r="CU161" s="18">
        <f>CT161*VLOOKUP('Données projet'!$B$13,Paramètres!$A$1:$I$89,3,0)*VLOOKUP('Données projet'!$B$13,Paramètres!$A$1:$I$89,5,0)</f>
        <v>2.669139576028101E-13</v>
      </c>
      <c r="CV161" s="14">
        <f t="shared" si="173"/>
        <v>3.5767923834585247E-12</v>
      </c>
      <c r="CW161" s="22">
        <f t="shared" si="174"/>
        <v>6.6944552106818241E-12</v>
      </c>
      <c r="CX161" s="62">
        <f t="shared" si="122"/>
        <v>288.77281413888801</v>
      </c>
      <c r="CY161" s="62">
        <f ca="1">AVERAGE(OFFSET($CX$3,0,0,'Données projet'!$E$13+1,1))-AVERAGE(OFFSET($H$3,0,0,'Données projet'!$E$13+1,1))</f>
        <v>369.04754428478793</v>
      </c>
      <c r="CZ161" s="62">
        <f t="shared" si="150"/>
        <v>277.00523259351712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1.1368683772161603E-13</v>
      </c>
      <c r="DP161" s="18">
        <f>DO161*VLOOKUP('Données projet'!$B$14,Paramètres!$A$1:$I$89,3,0)*VLOOKUP('Données projet'!$B$14,Paramètres!$A$1:$I$89,5,0)</f>
        <v>8.8675733422860506E-14</v>
      </c>
      <c r="DQ161" s="14">
        <f t="shared" si="176"/>
        <v>1.3509285393066301E-12</v>
      </c>
      <c r="DR161" s="22">
        <f t="shared" si="177"/>
        <v>2.5073107750038623E-12</v>
      </c>
      <c r="DS161" s="62">
        <f t="shared" si="125"/>
        <v>288.7728141388838</v>
      </c>
      <c r="DT161" s="62">
        <f ca="1">AVERAGE(OFFSET($DS$3,0,0,'Données projet'!$E$14+1,1))-AVERAGE(OFFSET($H$3,0,0,'Données projet'!$E$14+1,1))</f>
        <v>308.39181291575227</v>
      </c>
      <c r="DU161" s="62">
        <f t="shared" si="152"/>
        <v>298.58225298824334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-9.6633812063373625E-13</v>
      </c>
      <c r="EK161" s="18">
        <f>EJ161*VLOOKUP('Données projet'!$B$15,Paramètres!$A$1:$I$89,3,0)*VLOOKUP('Données projet'!$B$15,Paramètres!$A$1:$I$89,5,0)</f>
        <v>-9.3464223027694966E-13</v>
      </c>
      <c r="EL161" s="14" t="e">
        <f t="shared" si="179"/>
        <v>#NUM!</v>
      </c>
      <c r="EM161" s="22" t="e">
        <f t="shared" si="180"/>
        <v>#NUM!</v>
      </c>
      <c r="EN161" s="62" t="e">
        <f t="shared" si="128"/>
        <v>#NUM!</v>
      </c>
      <c r="EO161" s="62">
        <f ca="1">AVERAGE(OFFSET($EN$3,0,0,'Données projet'!$E$15+1,1))-AVERAGE(OFFSET($H$3,0,0,'Données projet'!$E$15+1,1))</f>
        <v>487.76433095707876</v>
      </c>
      <c r="EP161" s="62">
        <f t="shared" si="154"/>
        <v>276.24209151398361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-9.6633812063373625E-13</v>
      </c>
      <c r="FF161" s="18">
        <f>FE161*VLOOKUP('Données projet'!$B$16,Paramètres!$A$1:$I$89,3,0)*VLOOKUP('Données projet'!$B$16,Paramètres!$A$1:$I$89,5,0)</f>
        <v>-1.0401663530501537E-12</v>
      </c>
      <c r="FG161" s="14" t="e">
        <f t="shared" si="182"/>
        <v>#NUM!</v>
      </c>
      <c r="FH161" s="22" t="e">
        <f t="shared" si="183"/>
        <v>#NUM!</v>
      </c>
      <c r="FI161" s="62" t="e">
        <f t="shared" si="131"/>
        <v>#NUM!</v>
      </c>
      <c r="FJ161" s="62">
        <f ca="1">AVERAGE(OFFSET($FI$3,0,0,'Données projet'!$E$16+1,1))-AVERAGE(OFFSET($H$3,0,0,'Données projet'!$E$16+1,1))</f>
        <v>534.33392288300456</v>
      </c>
      <c r="FK161" s="62">
        <f t="shared" si="156"/>
        <v>300.93109615735477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-5.6843418860808015E-14</v>
      </c>
      <c r="GA161" s="18">
        <f>FZ161*VLOOKUP('Données projet'!$B$17,Paramètres!$A$1:$I$89,3,0)*VLOOKUP('Données projet'!$B$17,Paramètres!$A$1:$I$89,5,0)</f>
        <v>-3.813056537183002E-14</v>
      </c>
      <c r="GB161" s="14" t="e">
        <f t="shared" si="185"/>
        <v>#NUM!</v>
      </c>
      <c r="GC161" s="22" t="e">
        <f t="shared" si="186"/>
        <v>#NUM!</v>
      </c>
      <c r="GD161" s="62" t="e">
        <f t="shared" si="134"/>
        <v>#NUM!</v>
      </c>
      <c r="GE161" s="62">
        <f ca="1">AVERAGE(OFFSET($GD$3,0,0,'Données projet'!$E$17+1,1))-AVERAGE(OFFSET($H$3,0,0,'Données projet'!$E$17+1,1))</f>
        <v>316.17772895535211</v>
      </c>
      <c r="GF161" s="62">
        <f t="shared" si="158"/>
        <v>251.94445589652992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68.756222037876711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3.95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14.483333333333334</v>
      </c>
      <c r="H162" s="70">
        <f t="shared" si="110"/>
        <v>198.73333333333335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297.99999999999977</v>
      </c>
      <c r="O162" s="14">
        <f>N162*VLOOKUP('Données projet'!$B$9,Paramètres!$A$1:$I$89,3,0)*VLOOKUP('Données projet'!$B$9,Paramètres!$A$1:$I$89,5,0)</f>
        <v>251.0351999999998</v>
      </c>
      <c r="P162" s="14">
        <f t="shared" si="141"/>
        <v>60.807560012183302</v>
      </c>
      <c r="Q162" s="22">
        <f t="shared" si="162"/>
        <v>543.12614035455226</v>
      </c>
      <c r="R162" s="62">
        <f t="shared" si="109"/>
        <v>831.97806930566367</v>
      </c>
      <c r="S162" s="62">
        <f ca="1">AVERAGE(OFFSET($R$3,0,0,'Données projet'!$E$9+1,1))-AVERAGE(OFFSET($H$3,0,0,'Données projet'!$E$9+1,1))</f>
        <v>508.93703669150443</v>
      </c>
      <c r="T162" s="62">
        <f t="shared" si="142"/>
        <v>277.04920840696707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-9.6633812063373625E-13</v>
      </c>
      <c r="AJ162" s="14">
        <f>AI162*VLOOKUP('Données projet'!$B$10,Paramètres!$A$1:$I$89,3,0)*VLOOKUP('Données projet'!$B$10,Paramètres!$A$1:$I$89,5,0)</f>
        <v>-8.7434273154940449E-13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461.10503306101145</v>
      </c>
      <c r="AO162" s="62">
        <f t="shared" si="144"/>
        <v>262.10652147273288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-2.2737367544323206E-13</v>
      </c>
      <c r="BE162" s="14">
        <f>BD162*VLOOKUP('Données projet'!$B$11,Paramètres!$A$1:$I$89,3,0)*VLOOKUP('Données projet'!$B$11,Paramètres!$A$1:$I$89,5,0)</f>
        <v>-1.8089849618263545E-13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389.67854939311752</v>
      </c>
      <c r="BJ162" s="62">
        <f t="shared" si="146"/>
        <v>420.05189970516096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-1.0516032489249483E-12</v>
      </c>
      <c r="BZ162" s="14">
        <f>BY162*VLOOKUP('Données projet'!$B$12,Paramètres!$A$1:$I$89,3,0)*VLOOKUP('Données projet'!$B$12,Paramètres!$A$1:$I$89,5,0)</f>
        <v>-6.0151705838507046E-13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312.16891625633968</v>
      </c>
      <c r="CE162" s="62">
        <f t="shared" si="148"/>
        <v>215.34305815516177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0.33597646427357764</v>
      </c>
      <c r="CM162" s="23">
        <f>EXP(-LN(2)/2)*CM161+(1-EXP(-LN(2)/2))/(LN(2)/2)*CG162*CJ162*VLOOKUP('Données projet'!$B$12,Paramètres!$A$1:$I$89,3,0)*0.475*44/12</f>
        <v>3.1231617366699489E-19</v>
      </c>
      <c r="CN162" s="24">
        <f t="shared" si="172"/>
        <v>0.33597646427357764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3.979039320256561E-13</v>
      </c>
      <c r="CU162" s="18">
        <f>CT162*VLOOKUP('Données projet'!$B$13,Paramètres!$A$1:$I$89,3,0)*VLOOKUP('Données projet'!$B$13,Paramètres!$A$1:$I$89,5,0)</f>
        <v>2.669139576028101E-13</v>
      </c>
      <c r="CV162" s="14">
        <f t="shared" si="173"/>
        <v>3.5767923834585247E-12</v>
      </c>
      <c r="CW162" s="22">
        <f t="shared" si="174"/>
        <v>6.6944552106818241E-12</v>
      </c>
      <c r="CX162" s="62">
        <f t="shared" si="122"/>
        <v>288.85192895111817</v>
      </c>
      <c r="CY162" s="62">
        <f ca="1">AVERAGE(OFFSET($CX$3,0,0,'Données projet'!$E$13+1,1))-AVERAGE(OFFSET($H$3,0,0,'Données projet'!$E$13+1,1))</f>
        <v>369.04754428478793</v>
      </c>
      <c r="CZ162" s="62">
        <f t="shared" si="150"/>
        <v>277.00523259351712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1.1368683772161603E-13</v>
      </c>
      <c r="DP162" s="18">
        <f>DO162*VLOOKUP('Données projet'!$B$14,Paramètres!$A$1:$I$89,3,0)*VLOOKUP('Données projet'!$B$14,Paramètres!$A$1:$I$89,5,0)</f>
        <v>8.8675733422860506E-14</v>
      </c>
      <c r="DQ162" s="14">
        <f t="shared" si="176"/>
        <v>1.3509285393066301E-12</v>
      </c>
      <c r="DR162" s="22">
        <f t="shared" si="177"/>
        <v>2.5073107750038623E-12</v>
      </c>
      <c r="DS162" s="62">
        <f t="shared" si="125"/>
        <v>288.85192895111396</v>
      </c>
      <c r="DT162" s="62">
        <f ca="1">AVERAGE(OFFSET($DS$3,0,0,'Données projet'!$E$14+1,1))-AVERAGE(OFFSET($H$3,0,0,'Données projet'!$E$14+1,1))</f>
        <v>308.39181291575227</v>
      </c>
      <c r="DU162" s="62">
        <f t="shared" si="152"/>
        <v>298.58225298824334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-9.6633812063373625E-13</v>
      </c>
      <c r="EK162" s="18">
        <f>EJ162*VLOOKUP('Données projet'!$B$15,Paramètres!$A$1:$I$89,3,0)*VLOOKUP('Données projet'!$B$15,Paramètres!$A$1:$I$89,5,0)</f>
        <v>-9.3464223027694966E-13</v>
      </c>
      <c r="EL162" s="14" t="e">
        <f t="shared" si="179"/>
        <v>#NUM!</v>
      </c>
      <c r="EM162" s="22" t="e">
        <f t="shared" si="180"/>
        <v>#NUM!</v>
      </c>
      <c r="EN162" s="62" t="e">
        <f t="shared" si="128"/>
        <v>#NUM!</v>
      </c>
      <c r="EO162" s="62">
        <f ca="1">AVERAGE(OFFSET($EN$3,0,0,'Données projet'!$E$15+1,1))-AVERAGE(OFFSET($H$3,0,0,'Données projet'!$E$15+1,1))</f>
        <v>487.76433095707876</v>
      </c>
      <c r="EP162" s="62">
        <f t="shared" si="154"/>
        <v>276.24209151398361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-9.6633812063373625E-13</v>
      </c>
      <c r="FF162" s="18">
        <f>FE162*VLOOKUP('Données projet'!$B$16,Paramètres!$A$1:$I$89,3,0)*VLOOKUP('Données projet'!$B$16,Paramètres!$A$1:$I$89,5,0)</f>
        <v>-1.0401663530501537E-12</v>
      </c>
      <c r="FG162" s="14" t="e">
        <f t="shared" si="182"/>
        <v>#NUM!</v>
      </c>
      <c r="FH162" s="22" t="e">
        <f t="shared" si="183"/>
        <v>#NUM!</v>
      </c>
      <c r="FI162" s="62" t="e">
        <f t="shared" si="131"/>
        <v>#NUM!</v>
      </c>
      <c r="FJ162" s="62">
        <f ca="1">AVERAGE(OFFSET($FI$3,0,0,'Données projet'!$E$16+1,1))-AVERAGE(OFFSET($H$3,0,0,'Données projet'!$E$16+1,1))</f>
        <v>534.33392288300456</v>
      </c>
      <c r="FK162" s="62">
        <f t="shared" si="156"/>
        <v>300.93109615735477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-5.6843418860808015E-14</v>
      </c>
      <c r="GA162" s="18">
        <f>FZ162*VLOOKUP('Données projet'!$B$17,Paramètres!$A$1:$I$89,3,0)*VLOOKUP('Données projet'!$B$17,Paramètres!$A$1:$I$89,5,0)</f>
        <v>-3.813056537183002E-14</v>
      </c>
      <c r="GB162" s="14" t="e">
        <f t="shared" si="185"/>
        <v>#NUM!</v>
      </c>
      <c r="GC162" s="22" t="e">
        <f t="shared" si="186"/>
        <v>#NUM!</v>
      </c>
      <c r="GD162" s="62" t="e">
        <f t="shared" si="134"/>
        <v>#NUM!</v>
      </c>
      <c r="GE162" s="62">
        <f ca="1">AVERAGE(OFFSET($GD$3,0,0,'Données projet'!$E$17+1,1))-AVERAGE(OFFSET($H$3,0,0,'Données projet'!$E$17+1,1))</f>
        <v>316.17772895535211</v>
      </c>
      <c r="GF162" s="62">
        <f t="shared" si="158"/>
        <v>251.94445589652992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68.777798804848587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3.95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14.483333333333334</v>
      </c>
      <c r="H163" s="70">
        <f t="shared" si="110"/>
        <v>198.73333333333335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297.99999999999977</v>
      </c>
      <c r="O163" s="14">
        <f>N163*VLOOKUP('Données projet'!$B$9,Paramètres!$A$1:$I$89,3,0)*VLOOKUP('Données projet'!$B$9,Paramètres!$A$1:$I$89,5,0)</f>
        <v>251.0351999999998</v>
      </c>
      <c r="P163" s="14">
        <f t="shared" si="141"/>
        <v>60.807560012183302</v>
      </c>
      <c r="Q163" s="22">
        <f t="shared" si="162"/>
        <v>543.12614035455226</v>
      </c>
      <c r="R163" s="62">
        <f t="shared" si="109"/>
        <v>832.05581165277613</v>
      </c>
      <c r="S163" s="62">
        <f ca="1">AVERAGE(OFFSET($R$3,0,0,'Données projet'!$E$9+1,1))-AVERAGE(OFFSET($H$3,0,0,'Données projet'!$E$9+1,1))</f>
        <v>508.93703669150443</v>
      </c>
      <c r="T163" s="62">
        <f t="shared" si="142"/>
        <v>277.04920840696707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-9.6633812063373625E-13</v>
      </c>
      <c r="AJ163" s="14">
        <f>AI163*VLOOKUP('Données projet'!$B$10,Paramètres!$A$1:$I$89,3,0)*VLOOKUP('Données projet'!$B$10,Paramètres!$A$1:$I$89,5,0)</f>
        <v>-8.7434273154940449E-13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461.10503306101145</v>
      </c>
      <c r="AO163" s="62">
        <f t="shared" si="144"/>
        <v>262.10652147273288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-2.2737367544323206E-13</v>
      </c>
      <c r="BE163" s="14">
        <f>BD163*VLOOKUP('Données projet'!$B$11,Paramètres!$A$1:$I$89,3,0)*VLOOKUP('Données projet'!$B$11,Paramètres!$A$1:$I$89,5,0)</f>
        <v>-1.8089849618263545E-13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389.67854939311752</v>
      </c>
      <c r="BJ163" s="62">
        <f t="shared" si="146"/>
        <v>420.05189970516096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-1.0516032489249483E-12</v>
      </c>
      <c r="BZ163" s="14">
        <f>BY163*VLOOKUP('Données projet'!$B$12,Paramètres!$A$1:$I$89,3,0)*VLOOKUP('Données projet'!$B$12,Paramètres!$A$1:$I$89,5,0)</f>
        <v>-6.0151705838507046E-13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312.16891625633968</v>
      </c>
      <c r="CE163" s="62">
        <f t="shared" si="148"/>
        <v>215.34305815516177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0.32678917018978226</v>
      </c>
      <c r="CM163" s="23">
        <f>EXP(-LN(2)/2)*CM162+(1-EXP(-LN(2)/2))/(LN(2)/2)*CG163*CJ163*VLOOKUP('Données projet'!$B$12,Paramètres!$A$1:$I$89,3,0)*0.475*44/12</f>
        <v>2.2084088427416753E-19</v>
      </c>
      <c r="CN163" s="24">
        <f t="shared" si="172"/>
        <v>0.32678917018978226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3.979039320256561E-13</v>
      </c>
      <c r="CU163" s="18">
        <f>CT163*VLOOKUP('Données projet'!$B$13,Paramètres!$A$1:$I$89,3,0)*VLOOKUP('Données projet'!$B$13,Paramètres!$A$1:$I$89,5,0)</f>
        <v>2.669139576028101E-13</v>
      </c>
      <c r="CV163" s="14">
        <f t="shared" si="173"/>
        <v>3.5767923834585247E-12</v>
      </c>
      <c r="CW163" s="22">
        <f t="shared" si="174"/>
        <v>6.6944552106818241E-12</v>
      </c>
      <c r="CX163" s="62">
        <f t="shared" si="122"/>
        <v>288.92967129823052</v>
      </c>
      <c r="CY163" s="62">
        <f ca="1">AVERAGE(OFFSET($CX$3,0,0,'Données projet'!$E$13+1,1))-AVERAGE(OFFSET($H$3,0,0,'Données projet'!$E$13+1,1))</f>
        <v>369.04754428478793</v>
      </c>
      <c r="CZ163" s="62">
        <f t="shared" si="150"/>
        <v>277.00523259351712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1.1368683772161603E-13</v>
      </c>
      <c r="DP163" s="18">
        <f>DO163*VLOOKUP('Données projet'!$B$14,Paramètres!$A$1:$I$89,3,0)*VLOOKUP('Données projet'!$B$14,Paramètres!$A$1:$I$89,5,0)</f>
        <v>8.8675733422860506E-14</v>
      </c>
      <c r="DQ163" s="14">
        <f t="shared" si="176"/>
        <v>1.3509285393066301E-12</v>
      </c>
      <c r="DR163" s="22">
        <f t="shared" si="177"/>
        <v>2.5073107750038623E-12</v>
      </c>
      <c r="DS163" s="62">
        <f t="shared" si="125"/>
        <v>288.92967129822631</v>
      </c>
      <c r="DT163" s="62">
        <f ca="1">AVERAGE(OFFSET($DS$3,0,0,'Données projet'!$E$14+1,1))-AVERAGE(OFFSET($H$3,0,0,'Données projet'!$E$14+1,1))</f>
        <v>308.39181291575227</v>
      </c>
      <c r="DU163" s="62">
        <f t="shared" si="152"/>
        <v>298.58225298824334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-9.6633812063373625E-13</v>
      </c>
      <c r="EK163" s="18">
        <f>EJ163*VLOOKUP('Données projet'!$B$15,Paramètres!$A$1:$I$89,3,0)*VLOOKUP('Données projet'!$B$15,Paramètres!$A$1:$I$89,5,0)</f>
        <v>-9.3464223027694966E-13</v>
      </c>
      <c r="EL163" s="14" t="e">
        <f t="shared" si="179"/>
        <v>#NUM!</v>
      </c>
      <c r="EM163" s="22" t="e">
        <f t="shared" si="180"/>
        <v>#NUM!</v>
      </c>
      <c r="EN163" s="62" t="e">
        <f t="shared" si="128"/>
        <v>#NUM!</v>
      </c>
      <c r="EO163" s="62">
        <f ca="1">AVERAGE(OFFSET($EN$3,0,0,'Données projet'!$E$15+1,1))-AVERAGE(OFFSET($H$3,0,0,'Données projet'!$E$15+1,1))</f>
        <v>487.76433095707876</v>
      </c>
      <c r="EP163" s="62">
        <f t="shared" si="154"/>
        <v>276.24209151398361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-9.6633812063373625E-13</v>
      </c>
      <c r="FF163" s="18">
        <f>FE163*VLOOKUP('Données projet'!$B$16,Paramètres!$A$1:$I$89,3,0)*VLOOKUP('Données projet'!$B$16,Paramètres!$A$1:$I$89,5,0)</f>
        <v>-1.0401663530501537E-12</v>
      </c>
      <c r="FG163" s="14" t="e">
        <f t="shared" si="182"/>
        <v>#NUM!</v>
      </c>
      <c r="FH163" s="22" t="e">
        <f t="shared" si="183"/>
        <v>#NUM!</v>
      </c>
      <c r="FI163" s="62" t="e">
        <f t="shared" si="131"/>
        <v>#NUM!</v>
      </c>
      <c r="FJ163" s="62">
        <f ca="1">AVERAGE(OFFSET($FI$3,0,0,'Données projet'!$E$16+1,1))-AVERAGE(OFFSET($H$3,0,0,'Données projet'!$E$16+1,1))</f>
        <v>534.33392288300456</v>
      </c>
      <c r="FK163" s="62">
        <f t="shared" si="156"/>
        <v>300.93109615735477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-5.6843418860808015E-14</v>
      </c>
      <c r="GA163" s="18">
        <f>FZ163*VLOOKUP('Données projet'!$B$17,Paramètres!$A$1:$I$89,3,0)*VLOOKUP('Données projet'!$B$17,Paramètres!$A$1:$I$89,5,0)</f>
        <v>-3.813056537183002E-14</v>
      </c>
      <c r="GB163" s="14" t="e">
        <f t="shared" si="185"/>
        <v>#NUM!</v>
      </c>
      <c r="GC163" s="22" t="e">
        <f t="shared" si="186"/>
        <v>#NUM!</v>
      </c>
      <c r="GD163" s="62" t="e">
        <f t="shared" si="134"/>
        <v>#NUM!</v>
      </c>
      <c r="GE163" s="62">
        <f ca="1">AVERAGE(OFFSET($GD$3,0,0,'Données projet'!$E$17+1,1))-AVERAGE(OFFSET($H$3,0,0,'Données projet'!$E$17+1,1))</f>
        <v>316.17772895535211</v>
      </c>
      <c r="GF163" s="62">
        <f t="shared" si="158"/>
        <v>251.94445589652992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68.799001263151951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3.95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14.483333333333334</v>
      </c>
      <c r="H164" s="70">
        <f t="shared" si="110"/>
        <v>198.73333333333335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297.99999999999977</v>
      </c>
      <c r="O164" s="14">
        <f>N164*VLOOKUP('Données projet'!$B$9,Paramètres!$A$1:$I$89,3,0)*VLOOKUP('Données projet'!$B$9,Paramètres!$A$1:$I$89,5,0)</f>
        <v>251.0351999999998</v>
      </c>
      <c r="P164" s="14">
        <f t="shared" si="141"/>
        <v>60.807560012183302</v>
      </c>
      <c r="Q164" s="22">
        <f t="shared" si="162"/>
        <v>543.12614035455226</v>
      </c>
      <c r="R164" s="62">
        <f t="shared" si="109"/>
        <v>832.1322053439718</v>
      </c>
      <c r="S164" s="62">
        <f ca="1">AVERAGE(OFFSET($R$3,0,0,'Données projet'!$E$9+1,1))-AVERAGE(OFFSET($H$3,0,0,'Données projet'!$E$9+1,1))</f>
        <v>508.93703669150443</v>
      </c>
      <c r="T164" s="62">
        <f t="shared" si="142"/>
        <v>277.04920840696707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-9.6633812063373625E-13</v>
      </c>
      <c r="AJ164" s="14">
        <f>AI164*VLOOKUP('Données projet'!$B$10,Paramètres!$A$1:$I$89,3,0)*VLOOKUP('Données projet'!$B$10,Paramètres!$A$1:$I$89,5,0)</f>
        <v>-8.7434273154940449E-13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461.10503306101145</v>
      </c>
      <c r="AO164" s="62">
        <f t="shared" si="144"/>
        <v>262.10652147273288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-2.2737367544323206E-13</v>
      </c>
      <c r="BE164" s="14">
        <f>BD164*VLOOKUP('Données projet'!$B$11,Paramètres!$A$1:$I$89,3,0)*VLOOKUP('Données projet'!$B$11,Paramètres!$A$1:$I$89,5,0)</f>
        <v>-1.8089849618263545E-13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389.67854939311752</v>
      </c>
      <c r="BJ164" s="62">
        <f t="shared" si="146"/>
        <v>420.05189970516096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-1.0516032489249483E-12</v>
      </c>
      <c r="BZ164" s="14">
        <f>BY164*VLOOKUP('Données projet'!$B$12,Paramètres!$A$1:$I$89,3,0)*VLOOKUP('Données projet'!$B$12,Paramètres!$A$1:$I$89,5,0)</f>
        <v>-6.0151705838507046E-13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312.16891625633968</v>
      </c>
      <c r="CE164" s="62">
        <f t="shared" si="148"/>
        <v>215.34305815516177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0.31785310314584708</v>
      </c>
      <c r="CM164" s="23">
        <f>EXP(-LN(2)/2)*CM163+(1-EXP(-LN(2)/2))/(LN(2)/2)*CG164*CJ164*VLOOKUP('Données projet'!$B$12,Paramètres!$A$1:$I$89,3,0)*0.475*44/12</f>
        <v>1.5615808683349745E-19</v>
      </c>
      <c r="CN164" s="24">
        <f t="shared" si="172"/>
        <v>0.31785310314584708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3.979039320256561E-13</v>
      </c>
      <c r="CU164" s="18">
        <f>CT164*VLOOKUP('Données projet'!$B$13,Paramètres!$A$1:$I$89,3,0)*VLOOKUP('Données projet'!$B$13,Paramètres!$A$1:$I$89,5,0)</f>
        <v>2.669139576028101E-13</v>
      </c>
      <c r="CV164" s="14">
        <f t="shared" si="173"/>
        <v>3.5767923834585247E-12</v>
      </c>
      <c r="CW164" s="22">
        <f t="shared" si="174"/>
        <v>6.6944552106818241E-12</v>
      </c>
      <c r="CX164" s="62">
        <f t="shared" si="122"/>
        <v>289.00606498942625</v>
      </c>
      <c r="CY164" s="62">
        <f ca="1">AVERAGE(OFFSET($CX$3,0,0,'Données projet'!$E$13+1,1))-AVERAGE(OFFSET($H$3,0,0,'Données projet'!$E$13+1,1))</f>
        <v>369.04754428478793</v>
      </c>
      <c r="CZ164" s="62">
        <f t="shared" si="150"/>
        <v>277.00523259351712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1.1368683772161603E-13</v>
      </c>
      <c r="DP164" s="18">
        <f>DO164*VLOOKUP('Données projet'!$B$14,Paramètres!$A$1:$I$89,3,0)*VLOOKUP('Données projet'!$B$14,Paramètres!$A$1:$I$89,5,0)</f>
        <v>8.8675733422860506E-14</v>
      </c>
      <c r="DQ164" s="14">
        <f t="shared" si="176"/>
        <v>1.3509285393066301E-12</v>
      </c>
      <c r="DR164" s="22">
        <f t="shared" si="177"/>
        <v>2.5073107750038623E-12</v>
      </c>
      <c r="DS164" s="62">
        <f t="shared" si="125"/>
        <v>289.00606498942204</v>
      </c>
      <c r="DT164" s="62">
        <f ca="1">AVERAGE(OFFSET($DS$3,0,0,'Données projet'!$E$14+1,1))-AVERAGE(OFFSET($H$3,0,0,'Données projet'!$E$14+1,1))</f>
        <v>308.39181291575227</v>
      </c>
      <c r="DU164" s="62">
        <f t="shared" si="152"/>
        <v>298.58225298824334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-9.6633812063373625E-13</v>
      </c>
      <c r="EK164" s="18">
        <f>EJ164*VLOOKUP('Données projet'!$B$15,Paramètres!$A$1:$I$89,3,0)*VLOOKUP('Données projet'!$B$15,Paramètres!$A$1:$I$89,5,0)</f>
        <v>-9.3464223027694966E-13</v>
      </c>
      <c r="EL164" s="14" t="e">
        <f t="shared" si="179"/>
        <v>#NUM!</v>
      </c>
      <c r="EM164" s="22" t="e">
        <f t="shared" si="180"/>
        <v>#NUM!</v>
      </c>
      <c r="EN164" s="62" t="e">
        <f t="shared" si="128"/>
        <v>#NUM!</v>
      </c>
      <c r="EO164" s="62">
        <f ca="1">AVERAGE(OFFSET($EN$3,0,0,'Données projet'!$E$15+1,1))-AVERAGE(OFFSET($H$3,0,0,'Données projet'!$E$15+1,1))</f>
        <v>487.76433095707876</v>
      </c>
      <c r="EP164" s="62">
        <f t="shared" si="154"/>
        <v>276.24209151398361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-9.6633812063373625E-13</v>
      </c>
      <c r="FF164" s="18">
        <f>FE164*VLOOKUP('Données projet'!$B$16,Paramètres!$A$1:$I$89,3,0)*VLOOKUP('Données projet'!$B$16,Paramètres!$A$1:$I$89,5,0)</f>
        <v>-1.0401663530501537E-12</v>
      </c>
      <c r="FG164" s="14" t="e">
        <f t="shared" si="182"/>
        <v>#NUM!</v>
      </c>
      <c r="FH164" s="22" t="e">
        <f t="shared" si="183"/>
        <v>#NUM!</v>
      </c>
      <c r="FI164" s="62" t="e">
        <f t="shared" si="131"/>
        <v>#NUM!</v>
      </c>
      <c r="FJ164" s="62">
        <f ca="1">AVERAGE(OFFSET($FI$3,0,0,'Données projet'!$E$16+1,1))-AVERAGE(OFFSET($H$3,0,0,'Données projet'!$E$16+1,1))</f>
        <v>534.33392288300456</v>
      </c>
      <c r="FK164" s="62">
        <f t="shared" si="156"/>
        <v>300.93109615735477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-5.6843418860808015E-14</v>
      </c>
      <c r="GA164" s="18">
        <f>FZ164*VLOOKUP('Données projet'!$B$17,Paramètres!$A$1:$I$89,3,0)*VLOOKUP('Données projet'!$B$17,Paramètres!$A$1:$I$89,5,0)</f>
        <v>-3.813056537183002E-14</v>
      </c>
      <c r="GB164" s="14" t="e">
        <f t="shared" si="185"/>
        <v>#NUM!</v>
      </c>
      <c r="GC164" s="22" t="e">
        <f t="shared" si="186"/>
        <v>#NUM!</v>
      </c>
      <c r="GD164" s="62" t="e">
        <f t="shared" si="134"/>
        <v>#NUM!</v>
      </c>
      <c r="GE164" s="62">
        <f ca="1">AVERAGE(OFFSET($GD$3,0,0,'Données projet'!$E$17+1,1))-AVERAGE(OFFSET($H$3,0,0,'Données projet'!$E$17+1,1))</f>
        <v>316.17772895535211</v>
      </c>
      <c r="GF164" s="62">
        <f t="shared" si="158"/>
        <v>251.94445589652992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68.819835906205327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3.95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14.483333333333334</v>
      </c>
      <c r="H165" s="70">
        <f t="shared" si="110"/>
        <v>198.73333333333335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297.99999999999977</v>
      </c>
      <c r="O165" s="14">
        <f>N165*VLOOKUP('Données projet'!$B$9,Paramètres!$A$1:$I$89,3,0)*VLOOKUP('Données projet'!$B$9,Paramètres!$A$1:$I$89,5,0)</f>
        <v>251.0351999999998</v>
      </c>
      <c r="P165" s="14">
        <f t="shared" si="141"/>
        <v>60.807560012183302</v>
      </c>
      <c r="Q165" s="22">
        <f t="shared" si="162"/>
        <v>543.12614035455226</v>
      </c>
      <c r="R165" s="62">
        <f t="shared" si="109"/>
        <v>832.20727377541607</v>
      </c>
      <c r="S165" s="62">
        <f ca="1">AVERAGE(OFFSET($R$3,0,0,'Données projet'!$E$9+1,1))-AVERAGE(OFFSET($H$3,0,0,'Données projet'!$E$9+1,1))</f>
        <v>508.93703669150443</v>
      </c>
      <c r="T165" s="62">
        <f t="shared" si="142"/>
        <v>277.04920840696707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-9.6633812063373625E-13</v>
      </c>
      <c r="AJ165" s="14">
        <f>AI165*VLOOKUP('Données projet'!$B$10,Paramètres!$A$1:$I$89,3,0)*VLOOKUP('Données projet'!$B$10,Paramètres!$A$1:$I$89,5,0)</f>
        <v>-8.7434273154940449E-13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461.10503306101145</v>
      </c>
      <c r="AO165" s="62">
        <f t="shared" si="144"/>
        <v>262.10652147273288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-2.2737367544323206E-13</v>
      </c>
      <c r="BE165" s="14">
        <f>BD165*VLOOKUP('Données projet'!$B$11,Paramètres!$A$1:$I$89,3,0)*VLOOKUP('Données projet'!$B$11,Paramètres!$A$1:$I$89,5,0)</f>
        <v>-1.8089849618263545E-13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389.67854939311752</v>
      </c>
      <c r="BJ165" s="62">
        <f t="shared" si="146"/>
        <v>420.05189970516096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-1.0516032489249483E-12</v>
      </c>
      <c r="BZ165" s="14">
        <f>BY165*VLOOKUP('Données projet'!$B$12,Paramètres!$A$1:$I$89,3,0)*VLOOKUP('Données projet'!$B$12,Paramètres!$A$1:$I$89,5,0)</f>
        <v>-6.0151705838507046E-13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312.16891625633968</v>
      </c>
      <c r="CE165" s="62">
        <f t="shared" si="148"/>
        <v>215.34305815516177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0.30916139332515569</v>
      </c>
      <c r="CM165" s="23">
        <f>EXP(-LN(2)/2)*CM164+(1-EXP(-LN(2)/2))/(LN(2)/2)*CG165*CJ165*VLOOKUP('Données projet'!$B$12,Paramètres!$A$1:$I$89,3,0)*0.475*44/12</f>
        <v>1.1042044213708377E-19</v>
      </c>
      <c r="CN165" s="24">
        <f t="shared" si="172"/>
        <v>0.30916139332515569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3.979039320256561E-13</v>
      </c>
      <c r="CU165" s="18">
        <f>CT165*VLOOKUP('Données projet'!$B$13,Paramètres!$A$1:$I$89,3,0)*VLOOKUP('Données projet'!$B$13,Paramètres!$A$1:$I$89,5,0)</f>
        <v>2.669139576028101E-13</v>
      </c>
      <c r="CV165" s="14">
        <f t="shared" si="173"/>
        <v>3.5767923834585247E-12</v>
      </c>
      <c r="CW165" s="22">
        <f t="shared" si="174"/>
        <v>6.6944552106818241E-12</v>
      </c>
      <c r="CX165" s="62">
        <f t="shared" si="122"/>
        <v>289.08113342087046</v>
      </c>
      <c r="CY165" s="62">
        <f ca="1">AVERAGE(OFFSET($CX$3,0,0,'Données projet'!$E$13+1,1))-AVERAGE(OFFSET($H$3,0,0,'Données projet'!$E$13+1,1))</f>
        <v>369.04754428478793</v>
      </c>
      <c r="CZ165" s="62">
        <f t="shared" si="150"/>
        <v>277.00523259351712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1.1368683772161603E-13</v>
      </c>
      <c r="DP165" s="18">
        <f>DO165*VLOOKUP('Données projet'!$B$14,Paramètres!$A$1:$I$89,3,0)*VLOOKUP('Données projet'!$B$14,Paramètres!$A$1:$I$89,5,0)</f>
        <v>8.8675733422860506E-14</v>
      </c>
      <c r="DQ165" s="14">
        <f t="shared" si="176"/>
        <v>1.3509285393066301E-12</v>
      </c>
      <c r="DR165" s="22">
        <f t="shared" si="177"/>
        <v>2.5073107750038623E-12</v>
      </c>
      <c r="DS165" s="62">
        <f t="shared" si="125"/>
        <v>289.08113342086625</v>
      </c>
      <c r="DT165" s="62">
        <f ca="1">AVERAGE(OFFSET($DS$3,0,0,'Données projet'!$E$14+1,1))-AVERAGE(OFFSET($H$3,0,0,'Données projet'!$E$14+1,1))</f>
        <v>308.39181291575227</v>
      </c>
      <c r="DU165" s="62">
        <f t="shared" si="152"/>
        <v>298.58225298824334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-9.6633812063373625E-13</v>
      </c>
      <c r="EK165" s="18">
        <f>EJ165*VLOOKUP('Données projet'!$B$15,Paramètres!$A$1:$I$89,3,0)*VLOOKUP('Données projet'!$B$15,Paramètres!$A$1:$I$89,5,0)</f>
        <v>-9.3464223027694966E-13</v>
      </c>
      <c r="EL165" s="14" t="e">
        <f t="shared" si="179"/>
        <v>#NUM!</v>
      </c>
      <c r="EM165" s="22" t="e">
        <f t="shared" si="180"/>
        <v>#NUM!</v>
      </c>
      <c r="EN165" s="62" t="e">
        <f t="shared" si="128"/>
        <v>#NUM!</v>
      </c>
      <c r="EO165" s="62">
        <f ca="1">AVERAGE(OFFSET($EN$3,0,0,'Données projet'!$E$15+1,1))-AVERAGE(OFFSET($H$3,0,0,'Données projet'!$E$15+1,1))</f>
        <v>487.76433095707876</v>
      </c>
      <c r="EP165" s="62">
        <f t="shared" si="154"/>
        <v>276.24209151398361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-9.6633812063373625E-13</v>
      </c>
      <c r="FF165" s="18">
        <f>FE165*VLOOKUP('Données projet'!$B$16,Paramètres!$A$1:$I$89,3,0)*VLOOKUP('Données projet'!$B$16,Paramètres!$A$1:$I$89,5,0)</f>
        <v>-1.0401663530501537E-12</v>
      </c>
      <c r="FG165" s="14" t="e">
        <f t="shared" si="182"/>
        <v>#NUM!</v>
      </c>
      <c r="FH165" s="22" t="e">
        <f t="shared" si="183"/>
        <v>#NUM!</v>
      </c>
      <c r="FI165" s="62" t="e">
        <f t="shared" si="131"/>
        <v>#NUM!</v>
      </c>
      <c r="FJ165" s="62">
        <f ca="1">AVERAGE(OFFSET($FI$3,0,0,'Données projet'!$E$16+1,1))-AVERAGE(OFFSET($H$3,0,0,'Données projet'!$E$16+1,1))</f>
        <v>534.33392288300456</v>
      </c>
      <c r="FK165" s="62">
        <f t="shared" si="156"/>
        <v>300.93109615735477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-5.6843418860808015E-14</v>
      </c>
      <c r="GA165" s="18">
        <f>FZ165*VLOOKUP('Données projet'!$B$17,Paramètres!$A$1:$I$89,3,0)*VLOOKUP('Données projet'!$B$17,Paramètres!$A$1:$I$89,5,0)</f>
        <v>-3.813056537183002E-14</v>
      </c>
      <c r="GB165" s="14" t="e">
        <f t="shared" si="185"/>
        <v>#NUM!</v>
      </c>
      <c r="GC165" s="22" t="e">
        <f t="shared" si="186"/>
        <v>#NUM!</v>
      </c>
      <c r="GD165" s="62" t="e">
        <f t="shared" si="134"/>
        <v>#NUM!</v>
      </c>
      <c r="GE165" s="62">
        <f ca="1">AVERAGE(OFFSET($GD$3,0,0,'Données projet'!$E$17+1,1))-AVERAGE(OFFSET($H$3,0,0,'Données projet'!$E$17+1,1))</f>
        <v>316.17772895535211</v>
      </c>
      <c r="GF165" s="62">
        <f t="shared" si="158"/>
        <v>251.94445589652992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68.840309114781022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3.95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14.483333333333334</v>
      </c>
      <c r="H166" s="70">
        <f t="shared" si="110"/>
        <v>198.73333333333335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297.99999999999977</v>
      </c>
      <c r="O166" s="14">
        <f>N166*VLOOKUP('Données projet'!$B$9,Paramètres!$A$1:$I$89,3,0)*VLOOKUP('Données projet'!$B$9,Paramètres!$A$1:$I$89,5,0)</f>
        <v>251.0351999999998</v>
      </c>
      <c r="P166" s="14">
        <f t="shared" si="141"/>
        <v>60.807560012183302</v>
      </c>
      <c r="Q166" s="22">
        <f t="shared" si="162"/>
        <v>543.12614035455226</v>
      </c>
      <c r="R166" s="62">
        <f t="shared" si="109"/>
        <v>832.28103993740251</v>
      </c>
      <c r="S166" s="62">
        <f ca="1">AVERAGE(OFFSET($R$3,0,0,'Données projet'!$E$9+1,1))-AVERAGE(OFFSET($H$3,0,0,'Données projet'!$E$9+1,1))</f>
        <v>508.93703669150443</v>
      </c>
      <c r="T166" s="62">
        <f t="shared" si="142"/>
        <v>277.04920840696707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-9.6633812063373625E-13</v>
      </c>
      <c r="AJ166" s="14">
        <f>AI166*VLOOKUP('Données projet'!$B$10,Paramètres!$A$1:$I$89,3,0)*VLOOKUP('Données projet'!$B$10,Paramètres!$A$1:$I$89,5,0)</f>
        <v>-8.7434273154940449E-13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461.10503306101145</v>
      </c>
      <c r="AO166" s="62">
        <f t="shared" si="144"/>
        <v>262.10652147273288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-2.2737367544323206E-13</v>
      </c>
      <c r="BE166" s="14">
        <f>BD166*VLOOKUP('Données projet'!$B$11,Paramètres!$A$1:$I$89,3,0)*VLOOKUP('Données projet'!$B$11,Paramètres!$A$1:$I$89,5,0)</f>
        <v>-1.8089849618263545E-13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389.67854939311752</v>
      </c>
      <c r="BJ166" s="62">
        <f t="shared" si="146"/>
        <v>420.05189970516096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-1.0516032489249483E-12</v>
      </c>
      <c r="BZ166" s="14">
        <f>BY166*VLOOKUP('Données projet'!$B$12,Paramètres!$A$1:$I$89,3,0)*VLOOKUP('Données projet'!$B$12,Paramètres!$A$1:$I$89,5,0)</f>
        <v>-6.0151705838507046E-13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312.16891625633968</v>
      </c>
      <c r="CE166" s="62">
        <f t="shared" si="148"/>
        <v>215.34305815516177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0.30070735876658822</v>
      </c>
      <c r="CM166" s="23">
        <f>EXP(-LN(2)/2)*CM165+(1-EXP(-LN(2)/2))/(LN(2)/2)*CG166*CJ166*VLOOKUP('Données projet'!$B$12,Paramètres!$A$1:$I$89,3,0)*0.475*44/12</f>
        <v>7.8079043416748724E-20</v>
      </c>
      <c r="CN166" s="24">
        <f t="shared" si="172"/>
        <v>0.30070735876658822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3.979039320256561E-13</v>
      </c>
      <c r="CU166" s="18">
        <f>CT166*VLOOKUP('Données projet'!$B$13,Paramètres!$A$1:$I$89,3,0)*VLOOKUP('Données projet'!$B$13,Paramètres!$A$1:$I$89,5,0)</f>
        <v>2.669139576028101E-13</v>
      </c>
      <c r="CV166" s="14">
        <f t="shared" si="173"/>
        <v>3.5767923834585247E-12</v>
      </c>
      <c r="CW166" s="22">
        <f t="shared" si="174"/>
        <v>6.6944552106818241E-12</v>
      </c>
      <c r="CX166" s="62">
        <f t="shared" si="122"/>
        <v>289.15489958285701</v>
      </c>
      <c r="CY166" s="62">
        <f ca="1">AVERAGE(OFFSET($CX$3,0,0,'Données projet'!$E$13+1,1))-AVERAGE(OFFSET($H$3,0,0,'Données projet'!$E$13+1,1))</f>
        <v>369.04754428478793</v>
      </c>
      <c r="CZ166" s="62">
        <f t="shared" si="150"/>
        <v>277.00523259351712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1.1368683772161603E-13</v>
      </c>
      <c r="DP166" s="18">
        <f>DO166*VLOOKUP('Données projet'!$B$14,Paramètres!$A$1:$I$89,3,0)*VLOOKUP('Données projet'!$B$14,Paramètres!$A$1:$I$89,5,0)</f>
        <v>8.8675733422860506E-14</v>
      </c>
      <c r="DQ166" s="14">
        <f t="shared" si="176"/>
        <v>1.3509285393066301E-12</v>
      </c>
      <c r="DR166" s="22">
        <f t="shared" si="177"/>
        <v>2.5073107750038623E-12</v>
      </c>
      <c r="DS166" s="62">
        <f t="shared" si="125"/>
        <v>289.15489958285281</v>
      </c>
      <c r="DT166" s="62">
        <f ca="1">AVERAGE(OFFSET($DS$3,0,0,'Données projet'!$E$14+1,1))-AVERAGE(OFFSET($H$3,0,0,'Données projet'!$E$14+1,1))</f>
        <v>308.39181291575227</v>
      </c>
      <c r="DU166" s="62">
        <f t="shared" si="152"/>
        <v>298.58225298824334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-9.6633812063373625E-13</v>
      </c>
      <c r="EK166" s="18">
        <f>EJ166*VLOOKUP('Données projet'!$B$15,Paramètres!$A$1:$I$89,3,0)*VLOOKUP('Données projet'!$B$15,Paramètres!$A$1:$I$89,5,0)</f>
        <v>-9.3464223027694966E-13</v>
      </c>
      <c r="EL166" s="14" t="e">
        <f t="shared" si="179"/>
        <v>#NUM!</v>
      </c>
      <c r="EM166" s="22" t="e">
        <f t="shared" si="180"/>
        <v>#NUM!</v>
      </c>
      <c r="EN166" s="62" t="e">
        <f t="shared" si="128"/>
        <v>#NUM!</v>
      </c>
      <c r="EO166" s="62">
        <f ca="1">AVERAGE(OFFSET($EN$3,0,0,'Données projet'!$E$15+1,1))-AVERAGE(OFFSET($H$3,0,0,'Données projet'!$E$15+1,1))</f>
        <v>487.76433095707876</v>
      </c>
      <c r="EP166" s="62">
        <f t="shared" si="154"/>
        <v>276.24209151398361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-9.6633812063373625E-13</v>
      </c>
      <c r="FF166" s="18">
        <f>FE166*VLOOKUP('Données projet'!$B$16,Paramètres!$A$1:$I$89,3,0)*VLOOKUP('Données projet'!$B$16,Paramètres!$A$1:$I$89,5,0)</f>
        <v>-1.0401663530501537E-12</v>
      </c>
      <c r="FG166" s="14" t="e">
        <f t="shared" si="182"/>
        <v>#NUM!</v>
      </c>
      <c r="FH166" s="22" t="e">
        <f t="shared" si="183"/>
        <v>#NUM!</v>
      </c>
      <c r="FI166" s="62" t="e">
        <f t="shared" si="131"/>
        <v>#NUM!</v>
      </c>
      <c r="FJ166" s="62">
        <f ca="1">AVERAGE(OFFSET($FI$3,0,0,'Données projet'!$E$16+1,1))-AVERAGE(OFFSET($H$3,0,0,'Données projet'!$E$16+1,1))</f>
        <v>534.33392288300456</v>
      </c>
      <c r="FK166" s="62">
        <f t="shared" si="156"/>
        <v>300.93109615735477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-5.6843418860808015E-14</v>
      </c>
      <c r="GA166" s="18">
        <f>FZ166*VLOOKUP('Données projet'!$B$17,Paramètres!$A$1:$I$89,3,0)*VLOOKUP('Données projet'!$B$17,Paramètres!$A$1:$I$89,5,0)</f>
        <v>-3.813056537183002E-14</v>
      </c>
      <c r="GB166" s="14" t="e">
        <f t="shared" si="185"/>
        <v>#NUM!</v>
      </c>
      <c r="GC166" s="22" t="e">
        <f t="shared" si="186"/>
        <v>#NUM!</v>
      </c>
      <c r="GD166" s="62" t="e">
        <f t="shared" si="134"/>
        <v>#NUM!</v>
      </c>
      <c r="GE166" s="62">
        <f ca="1">AVERAGE(OFFSET($GD$3,0,0,'Données projet'!$E$17+1,1))-AVERAGE(OFFSET($H$3,0,0,'Données projet'!$E$17+1,1))</f>
        <v>316.17772895535211</v>
      </c>
      <c r="GF166" s="62">
        <f t="shared" si="158"/>
        <v>251.94445589652992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68.860427158959169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3.95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14.483333333333334</v>
      </c>
      <c r="H167" s="70">
        <f t="shared" si="110"/>
        <v>198.73333333333335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297.99999999999977</v>
      </c>
      <c r="O167" s="14">
        <f>N167*VLOOKUP('Données projet'!$B$9,Paramètres!$A$1:$I$89,3,0)*VLOOKUP('Données projet'!$B$9,Paramètres!$A$1:$I$89,5,0)</f>
        <v>251.0351999999998</v>
      </c>
      <c r="P167" s="14">
        <f t="shared" si="141"/>
        <v>60.807560012183302</v>
      </c>
      <c r="Q167" s="22">
        <f t="shared" si="162"/>
        <v>543.12614035455226</v>
      </c>
      <c r="R167" s="62">
        <f t="shared" si="109"/>
        <v>832.35352642139492</v>
      </c>
      <c r="S167" s="62">
        <f ca="1">AVERAGE(OFFSET($R$3,0,0,'Données projet'!$E$9+1,1))-AVERAGE(OFFSET($H$3,0,0,'Données projet'!$E$9+1,1))</f>
        <v>508.93703669150443</v>
      </c>
      <c r="T167" s="62">
        <f t="shared" si="142"/>
        <v>277.04920840696707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-9.6633812063373625E-13</v>
      </c>
      <c r="AJ167" s="14">
        <f>AI167*VLOOKUP('Données projet'!$B$10,Paramètres!$A$1:$I$89,3,0)*VLOOKUP('Données projet'!$B$10,Paramètres!$A$1:$I$89,5,0)</f>
        <v>-8.7434273154940449E-13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461.10503306101145</v>
      </c>
      <c r="AO167" s="62">
        <f t="shared" si="144"/>
        <v>262.10652147273288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-2.2737367544323206E-13</v>
      </c>
      <c r="BE167" s="14">
        <f>BD167*VLOOKUP('Données projet'!$B$11,Paramètres!$A$1:$I$89,3,0)*VLOOKUP('Données projet'!$B$11,Paramètres!$A$1:$I$89,5,0)</f>
        <v>-1.8089849618263545E-13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389.67854939311752</v>
      </c>
      <c r="BJ167" s="62">
        <f t="shared" si="146"/>
        <v>420.05189970516096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-1.0516032489249483E-12</v>
      </c>
      <c r="BZ167" s="14">
        <f>BY167*VLOOKUP('Données projet'!$B$12,Paramètres!$A$1:$I$89,3,0)*VLOOKUP('Données projet'!$B$12,Paramètres!$A$1:$I$89,5,0)</f>
        <v>-6.0151705838507046E-13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312.16891625633968</v>
      </c>
      <c r="CE167" s="62">
        <f t="shared" si="148"/>
        <v>215.34305815516177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0.29248450022760314</v>
      </c>
      <c r="CM167" s="23">
        <f>EXP(-LN(2)/2)*CM166+(1-EXP(-LN(2)/2))/(LN(2)/2)*CG167*CJ167*VLOOKUP('Données projet'!$B$12,Paramètres!$A$1:$I$89,3,0)*0.475*44/12</f>
        <v>5.5210221068541883E-20</v>
      </c>
      <c r="CN167" s="24">
        <f t="shared" si="172"/>
        <v>0.29248450022760314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3.979039320256561E-13</v>
      </c>
      <c r="CU167" s="18">
        <f>CT167*VLOOKUP('Données projet'!$B$13,Paramètres!$A$1:$I$89,3,0)*VLOOKUP('Données projet'!$B$13,Paramètres!$A$1:$I$89,5,0)</f>
        <v>2.669139576028101E-13</v>
      </c>
      <c r="CV167" s="14">
        <f t="shared" si="173"/>
        <v>3.5767923834585247E-12</v>
      </c>
      <c r="CW167" s="22">
        <f t="shared" si="174"/>
        <v>6.6944552106818241E-12</v>
      </c>
      <c r="CX167" s="62">
        <f t="shared" si="122"/>
        <v>289.22738606684942</v>
      </c>
      <c r="CY167" s="62">
        <f ca="1">AVERAGE(OFFSET($CX$3,0,0,'Données projet'!$E$13+1,1))-AVERAGE(OFFSET($H$3,0,0,'Données projet'!$E$13+1,1))</f>
        <v>369.04754428478793</v>
      </c>
      <c r="CZ167" s="62">
        <f t="shared" si="150"/>
        <v>277.00523259351712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1.1368683772161603E-13</v>
      </c>
      <c r="DP167" s="18">
        <f>DO167*VLOOKUP('Données projet'!$B$14,Paramètres!$A$1:$I$89,3,0)*VLOOKUP('Données projet'!$B$14,Paramètres!$A$1:$I$89,5,0)</f>
        <v>8.8675733422860506E-14</v>
      </c>
      <c r="DQ167" s="14">
        <f t="shared" si="176"/>
        <v>1.3509285393066301E-12</v>
      </c>
      <c r="DR167" s="22">
        <f t="shared" si="177"/>
        <v>2.5073107750038623E-12</v>
      </c>
      <c r="DS167" s="62">
        <f t="shared" si="125"/>
        <v>289.22738606684521</v>
      </c>
      <c r="DT167" s="62">
        <f ca="1">AVERAGE(OFFSET($DS$3,0,0,'Données projet'!$E$14+1,1))-AVERAGE(OFFSET($H$3,0,0,'Données projet'!$E$14+1,1))</f>
        <v>308.39181291575227</v>
      </c>
      <c r="DU167" s="62">
        <f t="shared" si="152"/>
        <v>298.58225298824334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-9.6633812063373625E-13</v>
      </c>
      <c r="EK167" s="18">
        <f>EJ167*VLOOKUP('Données projet'!$B$15,Paramètres!$A$1:$I$89,3,0)*VLOOKUP('Données projet'!$B$15,Paramètres!$A$1:$I$89,5,0)</f>
        <v>-9.3464223027694966E-13</v>
      </c>
      <c r="EL167" s="14" t="e">
        <f t="shared" si="179"/>
        <v>#NUM!</v>
      </c>
      <c r="EM167" s="22" t="e">
        <f t="shared" si="180"/>
        <v>#NUM!</v>
      </c>
      <c r="EN167" s="62" t="e">
        <f t="shared" si="128"/>
        <v>#NUM!</v>
      </c>
      <c r="EO167" s="62">
        <f ca="1">AVERAGE(OFFSET($EN$3,0,0,'Données projet'!$E$15+1,1))-AVERAGE(OFFSET($H$3,0,0,'Données projet'!$E$15+1,1))</f>
        <v>487.76433095707876</v>
      </c>
      <c r="EP167" s="62">
        <f t="shared" si="154"/>
        <v>276.24209151398361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-9.6633812063373625E-13</v>
      </c>
      <c r="FF167" s="18">
        <f>FE167*VLOOKUP('Données projet'!$B$16,Paramètres!$A$1:$I$89,3,0)*VLOOKUP('Données projet'!$B$16,Paramètres!$A$1:$I$89,5,0)</f>
        <v>-1.0401663530501537E-12</v>
      </c>
      <c r="FG167" s="14" t="e">
        <f t="shared" si="182"/>
        <v>#NUM!</v>
      </c>
      <c r="FH167" s="22" t="e">
        <f t="shared" si="183"/>
        <v>#NUM!</v>
      </c>
      <c r="FI167" s="62" t="e">
        <f t="shared" si="131"/>
        <v>#NUM!</v>
      </c>
      <c r="FJ167" s="62">
        <f ca="1">AVERAGE(OFFSET($FI$3,0,0,'Données projet'!$E$16+1,1))-AVERAGE(OFFSET($H$3,0,0,'Données projet'!$E$16+1,1))</f>
        <v>534.33392288300456</v>
      </c>
      <c r="FK167" s="62">
        <f t="shared" si="156"/>
        <v>300.93109615735477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-5.6843418860808015E-14</v>
      </c>
      <c r="GA167" s="18">
        <f>FZ167*VLOOKUP('Données projet'!$B$17,Paramètres!$A$1:$I$89,3,0)*VLOOKUP('Données projet'!$B$17,Paramètres!$A$1:$I$89,5,0)</f>
        <v>-3.813056537183002E-14</v>
      </c>
      <c r="GB167" s="14" t="e">
        <f t="shared" si="185"/>
        <v>#NUM!</v>
      </c>
      <c r="GC167" s="22" t="e">
        <f t="shared" si="186"/>
        <v>#NUM!</v>
      </c>
      <c r="GD167" s="62" t="e">
        <f t="shared" si="134"/>
        <v>#NUM!</v>
      </c>
      <c r="GE167" s="62">
        <f ca="1">AVERAGE(OFFSET($GD$3,0,0,'Données projet'!$E$17+1,1))-AVERAGE(OFFSET($H$3,0,0,'Données projet'!$E$17+1,1))</f>
        <v>316.17772895535211</v>
      </c>
      <c r="GF167" s="62">
        <f t="shared" si="158"/>
        <v>251.94445589652992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68.880196200048019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3.95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14.483333333333334</v>
      </c>
      <c r="H168" s="70">
        <f t="shared" si="110"/>
        <v>198.73333333333335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297.99999999999977</v>
      </c>
      <c r="O168" s="14">
        <f>N168*VLOOKUP('Données projet'!$B$9,Paramètres!$A$1:$I$89,3,0)*VLOOKUP('Données projet'!$B$9,Paramètres!$A$1:$I$89,5,0)</f>
        <v>251.0351999999998</v>
      </c>
      <c r="P168" s="14">
        <f t="shared" si="141"/>
        <v>60.807560012183302</v>
      </c>
      <c r="Q168" s="22">
        <f t="shared" si="162"/>
        <v>543.12614035455226</v>
      </c>
      <c r="R168" s="62">
        <f t="shared" si="109"/>
        <v>832.42475542694569</v>
      </c>
      <c r="S168" s="62">
        <f ca="1">AVERAGE(OFFSET($R$3,0,0,'Données projet'!$E$9+1,1))-AVERAGE(OFFSET($H$3,0,0,'Données projet'!$E$9+1,1))</f>
        <v>508.93703669150443</v>
      </c>
      <c r="T168" s="62">
        <f t="shared" si="142"/>
        <v>277.04920840696707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-9.6633812063373625E-13</v>
      </c>
      <c r="AJ168" s="14">
        <f>AI168*VLOOKUP('Données projet'!$B$10,Paramètres!$A$1:$I$89,3,0)*VLOOKUP('Données projet'!$B$10,Paramètres!$A$1:$I$89,5,0)</f>
        <v>-8.7434273154940449E-13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461.10503306101145</v>
      </c>
      <c r="AO168" s="62">
        <f t="shared" si="144"/>
        <v>262.10652147273288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-2.2737367544323206E-13</v>
      </c>
      <c r="BE168" s="14">
        <f>BD168*VLOOKUP('Données projet'!$B$11,Paramètres!$A$1:$I$89,3,0)*VLOOKUP('Données projet'!$B$11,Paramètres!$A$1:$I$89,5,0)</f>
        <v>-1.8089849618263545E-13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389.67854939311752</v>
      </c>
      <c r="BJ168" s="62">
        <f t="shared" si="146"/>
        <v>420.05189970516096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-1.0516032489249483E-12</v>
      </c>
      <c r="BZ168" s="14">
        <f>BY168*VLOOKUP('Données projet'!$B$12,Paramètres!$A$1:$I$89,3,0)*VLOOKUP('Données projet'!$B$12,Paramètres!$A$1:$I$89,5,0)</f>
        <v>-6.0151705838507046E-13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312.16891625633968</v>
      </c>
      <c r="CE168" s="62">
        <f t="shared" si="148"/>
        <v>215.34305815516177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0.28448649618778793</v>
      </c>
      <c r="CM168" s="23">
        <f>EXP(-LN(2)/2)*CM167+(1-EXP(-LN(2)/2))/(LN(2)/2)*CG168*CJ168*VLOOKUP('Données projet'!$B$12,Paramètres!$A$1:$I$89,3,0)*0.475*44/12</f>
        <v>3.9039521708374362E-20</v>
      </c>
      <c r="CN168" s="24">
        <f t="shared" si="172"/>
        <v>0.28448649618778793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3.979039320256561E-13</v>
      </c>
      <c r="CU168" s="18">
        <f>CT168*VLOOKUP('Données projet'!$B$13,Paramètres!$A$1:$I$89,3,0)*VLOOKUP('Données projet'!$B$13,Paramètres!$A$1:$I$89,5,0)</f>
        <v>2.669139576028101E-13</v>
      </c>
      <c r="CV168" s="14">
        <f t="shared" si="173"/>
        <v>3.5767923834585247E-12</v>
      </c>
      <c r="CW168" s="22">
        <f t="shared" si="174"/>
        <v>6.6944552106818241E-12</v>
      </c>
      <c r="CX168" s="62">
        <f t="shared" si="122"/>
        <v>289.29861507240014</v>
      </c>
      <c r="CY168" s="62">
        <f ca="1">AVERAGE(OFFSET($CX$3,0,0,'Données projet'!$E$13+1,1))-AVERAGE(OFFSET($H$3,0,0,'Données projet'!$E$13+1,1))</f>
        <v>369.04754428478793</v>
      </c>
      <c r="CZ168" s="62">
        <f t="shared" si="150"/>
        <v>277.00523259351712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1.1368683772161603E-13</v>
      </c>
      <c r="DP168" s="18">
        <f>DO168*VLOOKUP('Données projet'!$B$14,Paramètres!$A$1:$I$89,3,0)*VLOOKUP('Données projet'!$B$14,Paramètres!$A$1:$I$89,5,0)</f>
        <v>8.8675733422860506E-14</v>
      </c>
      <c r="DQ168" s="14">
        <f t="shared" si="176"/>
        <v>1.3509285393066301E-12</v>
      </c>
      <c r="DR168" s="22">
        <f t="shared" si="177"/>
        <v>2.5073107750038623E-12</v>
      </c>
      <c r="DS168" s="62">
        <f t="shared" si="125"/>
        <v>289.29861507239593</v>
      </c>
      <c r="DT168" s="62">
        <f ca="1">AVERAGE(OFFSET($DS$3,0,0,'Données projet'!$E$14+1,1))-AVERAGE(OFFSET($H$3,0,0,'Données projet'!$E$14+1,1))</f>
        <v>308.39181291575227</v>
      </c>
      <c r="DU168" s="62">
        <f t="shared" si="152"/>
        <v>298.58225298824334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-9.6633812063373625E-13</v>
      </c>
      <c r="EK168" s="18">
        <f>EJ168*VLOOKUP('Données projet'!$B$15,Paramètres!$A$1:$I$89,3,0)*VLOOKUP('Données projet'!$B$15,Paramètres!$A$1:$I$89,5,0)</f>
        <v>-9.3464223027694966E-13</v>
      </c>
      <c r="EL168" s="14" t="e">
        <f t="shared" si="179"/>
        <v>#NUM!</v>
      </c>
      <c r="EM168" s="22" t="e">
        <f t="shared" si="180"/>
        <v>#NUM!</v>
      </c>
      <c r="EN168" s="62" t="e">
        <f t="shared" si="128"/>
        <v>#NUM!</v>
      </c>
      <c r="EO168" s="62">
        <f ca="1">AVERAGE(OFFSET($EN$3,0,0,'Données projet'!$E$15+1,1))-AVERAGE(OFFSET($H$3,0,0,'Données projet'!$E$15+1,1))</f>
        <v>487.76433095707876</v>
      </c>
      <c r="EP168" s="62">
        <f t="shared" si="154"/>
        <v>276.24209151398361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-9.6633812063373625E-13</v>
      </c>
      <c r="FF168" s="18">
        <f>FE168*VLOOKUP('Données projet'!$B$16,Paramètres!$A$1:$I$89,3,0)*VLOOKUP('Données projet'!$B$16,Paramètres!$A$1:$I$89,5,0)</f>
        <v>-1.0401663530501537E-12</v>
      </c>
      <c r="FG168" s="14" t="e">
        <f t="shared" si="182"/>
        <v>#NUM!</v>
      </c>
      <c r="FH168" s="22" t="e">
        <f t="shared" si="183"/>
        <v>#NUM!</v>
      </c>
      <c r="FI168" s="62" t="e">
        <f t="shared" si="131"/>
        <v>#NUM!</v>
      </c>
      <c r="FJ168" s="62">
        <f ca="1">AVERAGE(OFFSET($FI$3,0,0,'Données projet'!$E$16+1,1))-AVERAGE(OFFSET($H$3,0,0,'Données projet'!$E$16+1,1))</f>
        <v>534.33392288300456</v>
      </c>
      <c r="FK168" s="62">
        <f t="shared" si="156"/>
        <v>300.93109615735477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-5.6843418860808015E-14</v>
      </c>
      <c r="GA168" s="18">
        <f>FZ168*VLOOKUP('Données projet'!$B$17,Paramètres!$A$1:$I$89,3,0)*VLOOKUP('Données projet'!$B$17,Paramètres!$A$1:$I$89,5,0)</f>
        <v>-3.813056537183002E-14</v>
      </c>
      <c r="GB168" s="14" t="e">
        <f t="shared" si="185"/>
        <v>#NUM!</v>
      </c>
      <c r="GC168" s="22" t="e">
        <f t="shared" si="186"/>
        <v>#NUM!</v>
      </c>
      <c r="GD168" s="62" t="e">
        <f t="shared" si="134"/>
        <v>#NUM!</v>
      </c>
      <c r="GE168" s="62">
        <f ca="1">AVERAGE(OFFSET($GD$3,0,0,'Données projet'!$E$17+1,1))-AVERAGE(OFFSET($H$3,0,0,'Données projet'!$E$17+1,1))</f>
        <v>316.17772895535211</v>
      </c>
      <c r="GF168" s="62">
        <f t="shared" si="158"/>
        <v>251.94445589652992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68.899622292470937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3.95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14.483333333333334</v>
      </c>
      <c r="H169" s="70">
        <f t="shared" si="110"/>
        <v>198.73333333333335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297.99999999999977</v>
      </c>
      <c r="O169" s="14">
        <f>N169*VLOOKUP('Données projet'!$B$9,Paramètres!$A$1:$I$89,3,0)*VLOOKUP('Données projet'!$B$9,Paramètres!$A$1:$I$89,5,0)</f>
        <v>251.0351999999998</v>
      </c>
      <c r="P169" s="14">
        <f t="shared" si="141"/>
        <v>60.807560012183302</v>
      </c>
      <c r="Q169" s="22">
        <f t="shared" si="162"/>
        <v>543.12614035455226</v>
      </c>
      <c r="R169" s="62">
        <f t="shared" si="109"/>
        <v>832.49474876849433</v>
      </c>
      <c r="S169" s="62">
        <f ca="1">AVERAGE(OFFSET($R$3,0,0,'Données projet'!$E$9+1,1))-AVERAGE(OFFSET($H$3,0,0,'Données projet'!$E$9+1,1))</f>
        <v>508.93703669150443</v>
      </c>
      <c r="T169" s="62">
        <f t="shared" si="142"/>
        <v>277.04920840696707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-9.6633812063373625E-13</v>
      </c>
      <c r="AJ169" s="14">
        <f>AI169*VLOOKUP('Données projet'!$B$10,Paramètres!$A$1:$I$89,3,0)*VLOOKUP('Données projet'!$B$10,Paramètres!$A$1:$I$89,5,0)</f>
        <v>-8.7434273154940449E-13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461.10503306101145</v>
      </c>
      <c r="AO169" s="62">
        <f t="shared" si="144"/>
        <v>262.10652147273288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-2.2737367544323206E-13</v>
      </c>
      <c r="BE169" s="14">
        <f>BD169*VLOOKUP('Données projet'!$B$11,Paramètres!$A$1:$I$89,3,0)*VLOOKUP('Données projet'!$B$11,Paramètres!$A$1:$I$89,5,0)</f>
        <v>-1.8089849618263545E-13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389.67854939311752</v>
      </c>
      <c r="BJ169" s="62">
        <f t="shared" si="146"/>
        <v>420.05189970516096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-1.0516032489249483E-12</v>
      </c>
      <c r="BZ169" s="14">
        <f>BY169*VLOOKUP('Données projet'!$B$12,Paramètres!$A$1:$I$89,3,0)*VLOOKUP('Données projet'!$B$12,Paramètres!$A$1:$I$89,5,0)</f>
        <v>-6.0151705838507046E-13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312.16891625633968</v>
      </c>
      <c r="CE169" s="62">
        <f t="shared" si="148"/>
        <v>215.34305815516177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0.27670719798903826</v>
      </c>
      <c r="CM169" s="23">
        <f>EXP(-LN(2)/2)*CM168+(1-EXP(-LN(2)/2))/(LN(2)/2)*CG169*CJ169*VLOOKUP('Données projet'!$B$12,Paramètres!$A$1:$I$89,3,0)*0.475*44/12</f>
        <v>2.7605110534270942E-20</v>
      </c>
      <c r="CN169" s="24">
        <f t="shared" si="172"/>
        <v>0.27670719798903826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3.979039320256561E-13</v>
      </c>
      <c r="CU169" s="18">
        <f>CT169*VLOOKUP('Données projet'!$B$13,Paramètres!$A$1:$I$89,3,0)*VLOOKUP('Données projet'!$B$13,Paramètres!$A$1:$I$89,5,0)</f>
        <v>2.669139576028101E-13</v>
      </c>
      <c r="CV169" s="14">
        <f t="shared" si="173"/>
        <v>3.5767923834585247E-12</v>
      </c>
      <c r="CW169" s="22">
        <f t="shared" si="174"/>
        <v>6.6944552106818241E-12</v>
      </c>
      <c r="CX169" s="62">
        <f t="shared" si="122"/>
        <v>289.36860841394878</v>
      </c>
      <c r="CY169" s="62">
        <f ca="1">AVERAGE(OFFSET($CX$3,0,0,'Données projet'!$E$13+1,1))-AVERAGE(OFFSET($H$3,0,0,'Données projet'!$E$13+1,1))</f>
        <v>369.04754428478793</v>
      </c>
      <c r="CZ169" s="62">
        <f t="shared" si="150"/>
        <v>277.00523259351712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1.1368683772161603E-13</v>
      </c>
      <c r="DP169" s="18">
        <f>DO169*VLOOKUP('Données projet'!$B$14,Paramètres!$A$1:$I$89,3,0)*VLOOKUP('Données projet'!$B$14,Paramètres!$A$1:$I$89,5,0)</f>
        <v>8.8675733422860506E-14</v>
      </c>
      <c r="DQ169" s="14">
        <f t="shared" si="176"/>
        <v>1.3509285393066301E-12</v>
      </c>
      <c r="DR169" s="22">
        <f t="shared" si="177"/>
        <v>2.5073107750038623E-12</v>
      </c>
      <c r="DS169" s="62">
        <f t="shared" si="125"/>
        <v>289.36860841394457</v>
      </c>
      <c r="DT169" s="62">
        <f ca="1">AVERAGE(OFFSET($DS$3,0,0,'Données projet'!$E$14+1,1))-AVERAGE(OFFSET($H$3,0,0,'Données projet'!$E$14+1,1))</f>
        <v>308.39181291575227</v>
      </c>
      <c r="DU169" s="62">
        <f t="shared" si="152"/>
        <v>298.58225298824334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-9.6633812063373625E-13</v>
      </c>
      <c r="EK169" s="18">
        <f>EJ169*VLOOKUP('Données projet'!$B$15,Paramètres!$A$1:$I$89,3,0)*VLOOKUP('Données projet'!$B$15,Paramètres!$A$1:$I$89,5,0)</f>
        <v>-9.3464223027694966E-13</v>
      </c>
      <c r="EL169" s="14" t="e">
        <f t="shared" si="179"/>
        <v>#NUM!</v>
      </c>
      <c r="EM169" s="22" t="e">
        <f t="shared" si="180"/>
        <v>#NUM!</v>
      </c>
      <c r="EN169" s="62" t="e">
        <f t="shared" si="128"/>
        <v>#NUM!</v>
      </c>
      <c r="EO169" s="62">
        <f ca="1">AVERAGE(OFFSET($EN$3,0,0,'Données projet'!$E$15+1,1))-AVERAGE(OFFSET($H$3,0,0,'Données projet'!$E$15+1,1))</f>
        <v>487.76433095707876</v>
      </c>
      <c r="EP169" s="62">
        <f t="shared" si="154"/>
        <v>276.24209151398361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-9.6633812063373625E-13</v>
      </c>
      <c r="FF169" s="18">
        <f>FE169*VLOOKUP('Données projet'!$B$16,Paramètres!$A$1:$I$89,3,0)*VLOOKUP('Données projet'!$B$16,Paramètres!$A$1:$I$89,5,0)</f>
        <v>-1.0401663530501537E-12</v>
      </c>
      <c r="FG169" s="14" t="e">
        <f t="shared" si="182"/>
        <v>#NUM!</v>
      </c>
      <c r="FH169" s="22" t="e">
        <f t="shared" si="183"/>
        <v>#NUM!</v>
      </c>
      <c r="FI169" s="62" t="e">
        <f t="shared" si="131"/>
        <v>#NUM!</v>
      </c>
      <c r="FJ169" s="62">
        <f ca="1">AVERAGE(OFFSET($FI$3,0,0,'Données projet'!$E$16+1,1))-AVERAGE(OFFSET($H$3,0,0,'Données projet'!$E$16+1,1))</f>
        <v>534.33392288300456</v>
      </c>
      <c r="FK169" s="62">
        <f t="shared" si="156"/>
        <v>300.93109615735477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-5.6843418860808015E-14</v>
      </c>
      <c r="GA169" s="18">
        <f>FZ169*VLOOKUP('Données projet'!$B$17,Paramètres!$A$1:$I$89,3,0)*VLOOKUP('Données projet'!$B$17,Paramètres!$A$1:$I$89,5,0)</f>
        <v>-3.813056537183002E-14</v>
      </c>
      <c r="GB169" s="14" t="e">
        <f t="shared" si="185"/>
        <v>#NUM!</v>
      </c>
      <c r="GC169" s="22" t="e">
        <f t="shared" si="186"/>
        <v>#NUM!</v>
      </c>
      <c r="GD169" s="62" t="e">
        <f t="shared" si="134"/>
        <v>#NUM!</v>
      </c>
      <c r="GE169" s="62">
        <f ca="1">AVERAGE(OFFSET($GD$3,0,0,'Données projet'!$E$17+1,1))-AVERAGE(OFFSET($H$3,0,0,'Données projet'!$E$17+1,1))</f>
        <v>316.17772895535211</v>
      </c>
      <c r="GF169" s="62">
        <f t="shared" si="158"/>
        <v>251.94445589652992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68.918711385620568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3.95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14.483333333333334</v>
      </c>
      <c r="H170" s="70">
        <f t="shared" si="110"/>
        <v>198.73333333333335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297.99999999999977</v>
      </c>
      <c r="O170" s="14">
        <f>N170*VLOOKUP('Données projet'!$B$9,Paramètres!$A$1:$I$89,3,0)*VLOOKUP('Données projet'!$B$9,Paramètres!$A$1:$I$89,5,0)</f>
        <v>251.0351999999998</v>
      </c>
      <c r="P170" s="14">
        <f t="shared" si="141"/>
        <v>60.807560012183302</v>
      </c>
      <c r="Q170" s="22">
        <f t="shared" si="162"/>
        <v>543.12614035455226</v>
      </c>
      <c r="R170" s="62">
        <f t="shared" si="109"/>
        <v>832.56352788204867</v>
      </c>
      <c r="S170" s="62">
        <f ca="1">AVERAGE(OFFSET($R$3,0,0,'Données projet'!$E$9+1,1))-AVERAGE(OFFSET($H$3,0,0,'Données projet'!$E$9+1,1))</f>
        <v>508.93703669150443</v>
      </c>
      <c r="T170" s="62">
        <f t="shared" si="142"/>
        <v>277.04920840696707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-9.6633812063373625E-13</v>
      </c>
      <c r="AJ170" s="14">
        <f>AI170*VLOOKUP('Données projet'!$B$10,Paramètres!$A$1:$I$89,3,0)*VLOOKUP('Données projet'!$B$10,Paramètres!$A$1:$I$89,5,0)</f>
        <v>-8.7434273154940449E-13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461.10503306101145</v>
      </c>
      <c r="AO170" s="62">
        <f t="shared" si="144"/>
        <v>262.10652147273288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-2.2737367544323206E-13</v>
      </c>
      <c r="BE170" s="14">
        <f>BD170*VLOOKUP('Données projet'!$B$11,Paramètres!$A$1:$I$89,3,0)*VLOOKUP('Données projet'!$B$11,Paramètres!$A$1:$I$89,5,0)</f>
        <v>-1.8089849618263545E-13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389.67854939311752</v>
      </c>
      <c r="BJ170" s="62">
        <f t="shared" si="146"/>
        <v>420.05189970516096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-1.0516032489249483E-12</v>
      </c>
      <c r="BZ170" s="14">
        <f>BY170*VLOOKUP('Données projet'!$B$12,Paramètres!$A$1:$I$89,3,0)*VLOOKUP('Données projet'!$B$12,Paramètres!$A$1:$I$89,5,0)</f>
        <v>-6.0151705838507046E-13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312.16891625633968</v>
      </c>
      <c r="CE170" s="62">
        <f t="shared" si="148"/>
        <v>215.34305815516177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0.26914062510862891</v>
      </c>
      <c r="CM170" s="23">
        <f>EXP(-LN(2)/2)*CM169+(1-EXP(-LN(2)/2))/(LN(2)/2)*CG170*CJ170*VLOOKUP('Données projet'!$B$12,Paramètres!$A$1:$I$89,3,0)*0.475*44/12</f>
        <v>1.9519760854187181E-20</v>
      </c>
      <c r="CN170" s="24">
        <f t="shared" si="172"/>
        <v>0.26914062510862891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3.979039320256561E-13</v>
      </c>
      <c r="CU170" s="18">
        <f>CT170*VLOOKUP('Données projet'!$B$13,Paramètres!$A$1:$I$89,3,0)*VLOOKUP('Données projet'!$B$13,Paramètres!$A$1:$I$89,5,0)</f>
        <v>2.669139576028101E-13</v>
      </c>
      <c r="CV170" s="14">
        <f t="shared" si="173"/>
        <v>3.5767923834585247E-12</v>
      </c>
      <c r="CW170" s="22">
        <f t="shared" si="174"/>
        <v>6.6944552106818241E-12</v>
      </c>
      <c r="CX170" s="62">
        <f t="shared" si="122"/>
        <v>289.43738752750318</v>
      </c>
      <c r="CY170" s="62">
        <f ca="1">AVERAGE(OFFSET($CX$3,0,0,'Données projet'!$E$13+1,1))-AVERAGE(OFFSET($H$3,0,0,'Données projet'!$E$13+1,1))</f>
        <v>369.04754428478793</v>
      </c>
      <c r="CZ170" s="62">
        <f t="shared" si="150"/>
        <v>277.00523259351712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1.1368683772161603E-13</v>
      </c>
      <c r="DP170" s="18">
        <f>DO170*VLOOKUP('Données projet'!$B$14,Paramètres!$A$1:$I$89,3,0)*VLOOKUP('Données projet'!$B$14,Paramètres!$A$1:$I$89,5,0)</f>
        <v>8.8675733422860506E-14</v>
      </c>
      <c r="DQ170" s="14">
        <f t="shared" si="176"/>
        <v>1.3509285393066301E-12</v>
      </c>
      <c r="DR170" s="22">
        <f t="shared" si="177"/>
        <v>2.5073107750038623E-12</v>
      </c>
      <c r="DS170" s="62">
        <f t="shared" si="125"/>
        <v>289.43738752749897</v>
      </c>
      <c r="DT170" s="62">
        <f ca="1">AVERAGE(OFFSET($DS$3,0,0,'Données projet'!$E$14+1,1))-AVERAGE(OFFSET($H$3,0,0,'Données projet'!$E$14+1,1))</f>
        <v>308.39181291575227</v>
      </c>
      <c r="DU170" s="62">
        <f t="shared" si="152"/>
        <v>298.58225298824334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-9.6633812063373625E-13</v>
      </c>
      <c r="EK170" s="18">
        <f>EJ170*VLOOKUP('Données projet'!$B$15,Paramètres!$A$1:$I$89,3,0)*VLOOKUP('Données projet'!$B$15,Paramètres!$A$1:$I$89,5,0)</f>
        <v>-9.3464223027694966E-13</v>
      </c>
      <c r="EL170" s="14" t="e">
        <f t="shared" si="179"/>
        <v>#NUM!</v>
      </c>
      <c r="EM170" s="22" t="e">
        <f t="shared" si="180"/>
        <v>#NUM!</v>
      </c>
      <c r="EN170" s="62" t="e">
        <f t="shared" si="128"/>
        <v>#NUM!</v>
      </c>
      <c r="EO170" s="62">
        <f ca="1">AVERAGE(OFFSET($EN$3,0,0,'Données projet'!$E$15+1,1))-AVERAGE(OFFSET($H$3,0,0,'Données projet'!$E$15+1,1))</f>
        <v>487.76433095707876</v>
      </c>
      <c r="EP170" s="62">
        <f t="shared" si="154"/>
        <v>276.24209151398361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-9.6633812063373625E-13</v>
      </c>
      <c r="FF170" s="18">
        <f>FE170*VLOOKUP('Données projet'!$B$16,Paramètres!$A$1:$I$89,3,0)*VLOOKUP('Données projet'!$B$16,Paramètres!$A$1:$I$89,5,0)</f>
        <v>-1.0401663530501537E-12</v>
      </c>
      <c r="FG170" s="14" t="e">
        <f t="shared" si="182"/>
        <v>#NUM!</v>
      </c>
      <c r="FH170" s="22" t="e">
        <f t="shared" si="183"/>
        <v>#NUM!</v>
      </c>
      <c r="FI170" s="62" t="e">
        <f t="shared" si="131"/>
        <v>#NUM!</v>
      </c>
      <c r="FJ170" s="62">
        <f ca="1">AVERAGE(OFFSET($FI$3,0,0,'Données projet'!$E$16+1,1))-AVERAGE(OFFSET($H$3,0,0,'Données projet'!$E$16+1,1))</f>
        <v>534.33392288300456</v>
      </c>
      <c r="FK170" s="62">
        <f t="shared" si="156"/>
        <v>300.93109615735477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-5.6843418860808015E-14</v>
      </c>
      <c r="GA170" s="18">
        <f>FZ170*VLOOKUP('Données projet'!$B$17,Paramètres!$A$1:$I$89,3,0)*VLOOKUP('Données projet'!$B$17,Paramètres!$A$1:$I$89,5,0)</f>
        <v>-3.813056537183002E-14</v>
      </c>
      <c r="GB170" s="14" t="e">
        <f t="shared" si="185"/>
        <v>#NUM!</v>
      </c>
      <c r="GC170" s="22" t="e">
        <f t="shared" si="186"/>
        <v>#NUM!</v>
      </c>
      <c r="GD170" s="62" t="e">
        <f t="shared" si="134"/>
        <v>#NUM!</v>
      </c>
      <c r="GE170" s="62">
        <f ca="1">AVERAGE(OFFSET($GD$3,0,0,'Données projet'!$E$17+1,1))-AVERAGE(OFFSET($H$3,0,0,'Données projet'!$E$17+1,1))</f>
        <v>316.17772895535211</v>
      </c>
      <c r="GF170" s="62">
        <f t="shared" si="158"/>
        <v>251.94445589652992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68.937469325680865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3.95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14.483333333333334</v>
      </c>
      <c r="H171" s="70">
        <f t="shared" si="110"/>
        <v>198.73333333333335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297.99999999999977</v>
      </c>
      <c r="O171" s="14">
        <f>N171*VLOOKUP('Données projet'!$B$9,Paramètres!$A$1:$I$89,3,0)*VLOOKUP('Données projet'!$B$9,Paramètres!$A$1:$I$89,5,0)</f>
        <v>251.0351999999998</v>
      </c>
      <c r="P171" s="14">
        <f t="shared" si="141"/>
        <v>60.807560012183302</v>
      </c>
      <c r="Q171" s="22">
        <f t="shared" si="162"/>
        <v>543.12614035455226</v>
      </c>
      <c r="R171" s="62">
        <f t="shared" si="109"/>
        <v>832.6311138317501</v>
      </c>
      <c r="S171" s="62">
        <f ca="1">AVERAGE(OFFSET($R$3,0,0,'Données projet'!$E$9+1,1))-AVERAGE(OFFSET($H$3,0,0,'Données projet'!$E$9+1,1))</f>
        <v>508.93703669150443</v>
      </c>
      <c r="T171" s="62">
        <f t="shared" si="142"/>
        <v>277.04920840696707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-9.6633812063373625E-13</v>
      </c>
      <c r="AJ171" s="14">
        <f>AI171*VLOOKUP('Données projet'!$B$10,Paramètres!$A$1:$I$89,3,0)*VLOOKUP('Données projet'!$B$10,Paramètres!$A$1:$I$89,5,0)</f>
        <v>-8.7434273154940449E-13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461.10503306101145</v>
      </c>
      <c r="AO171" s="62">
        <f t="shared" si="144"/>
        <v>262.10652147273288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-2.2737367544323206E-13</v>
      </c>
      <c r="BE171" s="14">
        <f>BD171*VLOOKUP('Données projet'!$B$11,Paramètres!$A$1:$I$89,3,0)*VLOOKUP('Données projet'!$B$11,Paramètres!$A$1:$I$89,5,0)</f>
        <v>-1.8089849618263545E-13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389.67854939311752</v>
      </c>
      <c r="BJ171" s="62">
        <f t="shared" si="146"/>
        <v>420.05189970516096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-1.0516032489249483E-12</v>
      </c>
      <c r="BZ171" s="14">
        <f>BY171*VLOOKUP('Données projet'!$B$12,Paramètres!$A$1:$I$89,3,0)*VLOOKUP('Données projet'!$B$12,Paramètres!$A$1:$I$89,5,0)</f>
        <v>-6.0151705838507046E-13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312.16891625633968</v>
      </c>
      <c r="CE171" s="62">
        <f t="shared" si="148"/>
        <v>215.34305815516177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0.2617809605615431</v>
      </c>
      <c r="CM171" s="23">
        <f>EXP(-LN(2)/2)*CM170+(1-EXP(-LN(2)/2))/(LN(2)/2)*CG171*CJ171*VLOOKUP('Données projet'!$B$12,Paramètres!$A$1:$I$89,3,0)*0.475*44/12</f>
        <v>1.3802555267135471E-20</v>
      </c>
      <c r="CN171" s="24">
        <f t="shared" si="172"/>
        <v>0.2617809605615431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3.979039320256561E-13</v>
      </c>
      <c r="CU171" s="18">
        <f>CT171*VLOOKUP('Données projet'!$B$13,Paramètres!$A$1:$I$89,3,0)*VLOOKUP('Données projet'!$B$13,Paramètres!$A$1:$I$89,5,0)</f>
        <v>2.669139576028101E-13</v>
      </c>
      <c r="CV171" s="14">
        <f t="shared" si="173"/>
        <v>3.5767923834585247E-12</v>
      </c>
      <c r="CW171" s="22">
        <f t="shared" si="174"/>
        <v>6.6944552106818241E-12</v>
      </c>
      <c r="CX171" s="62">
        <f t="shared" si="122"/>
        <v>289.50497347720454</v>
      </c>
      <c r="CY171" s="62">
        <f ca="1">AVERAGE(OFFSET($CX$3,0,0,'Données projet'!$E$13+1,1))-AVERAGE(OFFSET($H$3,0,0,'Données projet'!$E$13+1,1))</f>
        <v>369.04754428478793</v>
      </c>
      <c r="CZ171" s="62">
        <f t="shared" si="150"/>
        <v>277.00523259351712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1.1368683772161603E-13</v>
      </c>
      <c r="DP171" s="18">
        <f>DO171*VLOOKUP('Données projet'!$B$14,Paramètres!$A$1:$I$89,3,0)*VLOOKUP('Données projet'!$B$14,Paramètres!$A$1:$I$89,5,0)</f>
        <v>8.8675733422860506E-14</v>
      </c>
      <c r="DQ171" s="14">
        <f t="shared" si="176"/>
        <v>1.3509285393066301E-12</v>
      </c>
      <c r="DR171" s="22">
        <f t="shared" si="177"/>
        <v>2.5073107750038623E-12</v>
      </c>
      <c r="DS171" s="62">
        <f t="shared" si="125"/>
        <v>289.50497347720034</v>
      </c>
      <c r="DT171" s="62">
        <f ca="1">AVERAGE(OFFSET($DS$3,0,0,'Données projet'!$E$14+1,1))-AVERAGE(OFFSET($H$3,0,0,'Données projet'!$E$14+1,1))</f>
        <v>308.39181291575227</v>
      </c>
      <c r="DU171" s="62">
        <f t="shared" si="152"/>
        <v>298.58225298824334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-9.6633812063373625E-13</v>
      </c>
      <c r="EK171" s="18">
        <f>EJ171*VLOOKUP('Données projet'!$B$15,Paramètres!$A$1:$I$89,3,0)*VLOOKUP('Données projet'!$B$15,Paramètres!$A$1:$I$89,5,0)</f>
        <v>-9.3464223027694966E-13</v>
      </c>
      <c r="EL171" s="14" t="e">
        <f t="shared" si="179"/>
        <v>#NUM!</v>
      </c>
      <c r="EM171" s="22" t="e">
        <f t="shared" si="180"/>
        <v>#NUM!</v>
      </c>
      <c r="EN171" s="62" t="e">
        <f t="shared" si="128"/>
        <v>#NUM!</v>
      </c>
      <c r="EO171" s="62">
        <f ca="1">AVERAGE(OFFSET($EN$3,0,0,'Données projet'!$E$15+1,1))-AVERAGE(OFFSET($H$3,0,0,'Données projet'!$E$15+1,1))</f>
        <v>487.76433095707876</v>
      </c>
      <c r="EP171" s="62">
        <f t="shared" si="154"/>
        <v>276.24209151398361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-9.6633812063373625E-13</v>
      </c>
      <c r="FF171" s="18">
        <f>FE171*VLOOKUP('Données projet'!$B$16,Paramètres!$A$1:$I$89,3,0)*VLOOKUP('Données projet'!$B$16,Paramètres!$A$1:$I$89,5,0)</f>
        <v>-1.0401663530501537E-12</v>
      </c>
      <c r="FG171" s="14" t="e">
        <f t="shared" si="182"/>
        <v>#NUM!</v>
      </c>
      <c r="FH171" s="22" t="e">
        <f t="shared" si="183"/>
        <v>#NUM!</v>
      </c>
      <c r="FI171" s="62" t="e">
        <f t="shared" si="131"/>
        <v>#NUM!</v>
      </c>
      <c r="FJ171" s="62">
        <f ca="1">AVERAGE(OFFSET($FI$3,0,0,'Données projet'!$E$16+1,1))-AVERAGE(OFFSET($H$3,0,0,'Données projet'!$E$16+1,1))</f>
        <v>534.33392288300456</v>
      </c>
      <c r="FK171" s="62">
        <f t="shared" si="156"/>
        <v>300.93109615735477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-5.6843418860808015E-14</v>
      </c>
      <c r="GA171" s="18">
        <f>FZ171*VLOOKUP('Données projet'!$B$17,Paramètres!$A$1:$I$89,3,0)*VLOOKUP('Données projet'!$B$17,Paramètres!$A$1:$I$89,5,0)</f>
        <v>-3.813056537183002E-14</v>
      </c>
      <c r="GB171" s="14" t="e">
        <f t="shared" si="185"/>
        <v>#NUM!</v>
      </c>
      <c r="GC171" s="22" t="e">
        <f t="shared" si="186"/>
        <v>#NUM!</v>
      </c>
      <c r="GD171" s="62" t="e">
        <f t="shared" si="134"/>
        <v>#NUM!</v>
      </c>
      <c r="GE171" s="62">
        <f ca="1">AVERAGE(OFFSET($GD$3,0,0,'Données projet'!$E$17+1,1))-AVERAGE(OFFSET($H$3,0,0,'Données projet'!$E$17+1,1))</f>
        <v>316.17772895535211</v>
      </c>
      <c r="GF171" s="62">
        <f t="shared" si="158"/>
        <v>251.94445589652992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68.955901857417587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3.95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14.483333333333334</v>
      </c>
      <c r="H172" s="70">
        <f t="shared" si="110"/>
        <v>198.73333333333335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297.99999999999977</v>
      </c>
      <c r="O172" s="14">
        <f>N172*VLOOKUP('Données projet'!$B$9,Paramètres!$A$1:$I$89,3,0)*VLOOKUP('Données projet'!$B$9,Paramètres!$A$1:$I$89,5,0)</f>
        <v>251.0351999999998</v>
      </c>
      <c r="P172" s="14">
        <f t="shared" si="141"/>
        <v>60.807560012183302</v>
      </c>
      <c r="Q172" s="22">
        <f t="shared" si="162"/>
        <v>543.12614035455226</v>
      </c>
      <c r="R172" s="62">
        <f t="shared" si="109"/>
        <v>832.69752731632366</v>
      </c>
      <c r="S172" s="62">
        <f ca="1">AVERAGE(OFFSET($R$3,0,0,'Données projet'!$E$9+1,1))-AVERAGE(OFFSET($H$3,0,0,'Données projet'!$E$9+1,1))</f>
        <v>508.93703669150443</v>
      </c>
      <c r="T172" s="62">
        <f t="shared" si="142"/>
        <v>277.04920840696707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-9.6633812063373625E-13</v>
      </c>
      <c r="AJ172" s="14">
        <f>AI172*VLOOKUP('Données projet'!$B$10,Paramètres!$A$1:$I$89,3,0)*VLOOKUP('Données projet'!$B$10,Paramètres!$A$1:$I$89,5,0)</f>
        <v>-8.7434273154940449E-13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461.10503306101145</v>
      </c>
      <c r="AO172" s="62">
        <f t="shared" si="144"/>
        <v>262.10652147273288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-2.2737367544323206E-13</v>
      </c>
      <c r="BE172" s="14">
        <f>BD172*VLOOKUP('Données projet'!$B$11,Paramètres!$A$1:$I$89,3,0)*VLOOKUP('Données projet'!$B$11,Paramètres!$A$1:$I$89,5,0)</f>
        <v>-1.8089849618263545E-13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389.67854939311752</v>
      </c>
      <c r="BJ172" s="62">
        <f t="shared" si="146"/>
        <v>420.05189970516096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-1.0516032489249483E-12</v>
      </c>
      <c r="BZ172" s="14">
        <f>BY172*VLOOKUP('Données projet'!$B$12,Paramètres!$A$1:$I$89,3,0)*VLOOKUP('Données projet'!$B$12,Paramètres!$A$1:$I$89,5,0)</f>
        <v>-6.0151705838507046E-13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312.16891625633968</v>
      </c>
      <c r="CE172" s="62">
        <f t="shared" si="148"/>
        <v>215.34305815516177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0.25462254642852528</v>
      </c>
      <c r="CM172" s="23">
        <f>EXP(-LN(2)/2)*CM171+(1-EXP(-LN(2)/2))/(LN(2)/2)*CG172*CJ172*VLOOKUP('Données projet'!$B$12,Paramètres!$A$1:$I$89,3,0)*0.475*44/12</f>
        <v>9.7598804270935905E-21</v>
      </c>
      <c r="CN172" s="24">
        <f t="shared" si="172"/>
        <v>0.25462254642852528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3.979039320256561E-13</v>
      </c>
      <c r="CU172" s="18">
        <f>CT172*VLOOKUP('Données projet'!$B$13,Paramètres!$A$1:$I$89,3,0)*VLOOKUP('Données projet'!$B$13,Paramètres!$A$1:$I$89,5,0)</f>
        <v>2.669139576028101E-13</v>
      </c>
      <c r="CV172" s="14">
        <f t="shared" si="173"/>
        <v>3.5767923834585247E-12</v>
      </c>
      <c r="CW172" s="22">
        <f t="shared" si="174"/>
        <v>6.6944552106818241E-12</v>
      </c>
      <c r="CX172" s="62">
        <f t="shared" si="122"/>
        <v>289.57138696177805</v>
      </c>
      <c r="CY172" s="62">
        <f ca="1">AVERAGE(OFFSET($CX$3,0,0,'Données projet'!$E$13+1,1))-AVERAGE(OFFSET($H$3,0,0,'Données projet'!$E$13+1,1))</f>
        <v>369.04754428478793</v>
      </c>
      <c r="CZ172" s="62">
        <f t="shared" si="150"/>
        <v>277.00523259351712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1.1368683772161603E-13</v>
      </c>
      <c r="DP172" s="18">
        <f>DO172*VLOOKUP('Données projet'!$B$14,Paramètres!$A$1:$I$89,3,0)*VLOOKUP('Données projet'!$B$14,Paramètres!$A$1:$I$89,5,0)</f>
        <v>8.8675733422860506E-14</v>
      </c>
      <c r="DQ172" s="14">
        <f t="shared" si="176"/>
        <v>1.3509285393066301E-12</v>
      </c>
      <c r="DR172" s="22">
        <f t="shared" si="177"/>
        <v>2.5073107750038623E-12</v>
      </c>
      <c r="DS172" s="62">
        <f t="shared" si="125"/>
        <v>289.57138696177384</v>
      </c>
      <c r="DT172" s="62">
        <f ca="1">AVERAGE(OFFSET($DS$3,0,0,'Données projet'!$E$14+1,1))-AVERAGE(OFFSET($H$3,0,0,'Données projet'!$E$14+1,1))</f>
        <v>308.39181291575227</v>
      </c>
      <c r="DU172" s="62">
        <f t="shared" si="152"/>
        <v>298.58225298824334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-9.6633812063373625E-13</v>
      </c>
      <c r="EK172" s="18">
        <f>EJ172*VLOOKUP('Données projet'!$B$15,Paramètres!$A$1:$I$89,3,0)*VLOOKUP('Données projet'!$B$15,Paramètres!$A$1:$I$89,5,0)</f>
        <v>-9.3464223027694966E-13</v>
      </c>
      <c r="EL172" s="14" t="e">
        <f t="shared" si="179"/>
        <v>#NUM!</v>
      </c>
      <c r="EM172" s="22" t="e">
        <f t="shared" si="180"/>
        <v>#NUM!</v>
      </c>
      <c r="EN172" s="62" t="e">
        <f t="shared" si="128"/>
        <v>#NUM!</v>
      </c>
      <c r="EO172" s="62">
        <f ca="1">AVERAGE(OFFSET($EN$3,0,0,'Données projet'!$E$15+1,1))-AVERAGE(OFFSET($H$3,0,0,'Données projet'!$E$15+1,1))</f>
        <v>487.76433095707876</v>
      </c>
      <c r="EP172" s="62">
        <f t="shared" si="154"/>
        <v>276.24209151398361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-9.6633812063373625E-13</v>
      </c>
      <c r="FF172" s="18">
        <f>FE172*VLOOKUP('Données projet'!$B$16,Paramètres!$A$1:$I$89,3,0)*VLOOKUP('Données projet'!$B$16,Paramètres!$A$1:$I$89,5,0)</f>
        <v>-1.0401663530501537E-12</v>
      </c>
      <c r="FG172" s="14" t="e">
        <f t="shared" si="182"/>
        <v>#NUM!</v>
      </c>
      <c r="FH172" s="22" t="e">
        <f t="shared" si="183"/>
        <v>#NUM!</v>
      </c>
      <c r="FI172" s="62" t="e">
        <f t="shared" si="131"/>
        <v>#NUM!</v>
      </c>
      <c r="FJ172" s="62">
        <f ca="1">AVERAGE(OFFSET($FI$3,0,0,'Données projet'!$E$16+1,1))-AVERAGE(OFFSET($H$3,0,0,'Données projet'!$E$16+1,1))</f>
        <v>534.33392288300456</v>
      </c>
      <c r="FK172" s="62">
        <f t="shared" si="156"/>
        <v>300.93109615735477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-5.6843418860808015E-14</v>
      </c>
      <c r="GA172" s="18">
        <f>FZ172*VLOOKUP('Données projet'!$B$17,Paramètres!$A$1:$I$89,3,0)*VLOOKUP('Données projet'!$B$17,Paramètres!$A$1:$I$89,5,0)</f>
        <v>-3.813056537183002E-14</v>
      </c>
      <c r="GB172" s="14" t="e">
        <f t="shared" si="185"/>
        <v>#NUM!</v>
      </c>
      <c r="GC172" s="22" t="e">
        <f t="shared" si="186"/>
        <v>#NUM!</v>
      </c>
      <c r="GD172" s="62" t="e">
        <f t="shared" si="134"/>
        <v>#NUM!</v>
      </c>
      <c r="GE172" s="62">
        <f ca="1">AVERAGE(OFFSET($GD$3,0,0,'Données projet'!$E$17+1,1))-AVERAGE(OFFSET($H$3,0,0,'Données projet'!$E$17+1,1))</f>
        <v>316.17772895535211</v>
      </c>
      <c r="GF172" s="62">
        <f t="shared" si="158"/>
        <v>251.94445589652992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68.974014625937642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3.95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14.483333333333334</v>
      </c>
      <c r="H173" s="70">
        <f t="shared" si="110"/>
        <v>198.73333333333335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297.99999999999977</v>
      </c>
      <c r="O173" s="14">
        <f>N173*VLOOKUP('Données projet'!$B$9,Paramètres!$A$1:$I$89,3,0)*VLOOKUP('Données projet'!$B$9,Paramètres!$A$1:$I$89,5,0)</f>
        <v>251.0351999999998</v>
      </c>
      <c r="P173" s="14">
        <f t="shared" si="141"/>
        <v>60.807560012183302</v>
      </c>
      <c r="Q173" s="22">
        <f t="shared" si="162"/>
        <v>543.12614035455226</v>
      </c>
      <c r="R173" s="62">
        <f t="shared" si="109"/>
        <v>832.76278867541805</v>
      </c>
      <c r="S173" s="62">
        <f ca="1">AVERAGE(OFFSET($R$3,0,0,'Données projet'!$E$9+1,1))-AVERAGE(OFFSET($H$3,0,0,'Données projet'!$E$9+1,1))</f>
        <v>508.93703669150443</v>
      </c>
      <c r="T173" s="62">
        <f t="shared" si="142"/>
        <v>277.04920840696707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-9.6633812063373625E-13</v>
      </c>
      <c r="AJ173" s="14">
        <f>AI173*VLOOKUP('Données projet'!$B$10,Paramètres!$A$1:$I$89,3,0)*VLOOKUP('Données projet'!$B$10,Paramètres!$A$1:$I$89,5,0)</f>
        <v>-8.7434273154940449E-13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461.10503306101145</v>
      </c>
      <c r="AO173" s="62">
        <f t="shared" si="144"/>
        <v>262.10652147273288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-2.2737367544323206E-13</v>
      </c>
      <c r="BE173" s="14">
        <f>BD173*VLOOKUP('Données projet'!$B$11,Paramètres!$A$1:$I$89,3,0)*VLOOKUP('Données projet'!$B$11,Paramètres!$A$1:$I$89,5,0)</f>
        <v>-1.8089849618263545E-13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389.67854939311752</v>
      </c>
      <c r="BJ173" s="62">
        <f t="shared" si="146"/>
        <v>420.05189970516096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-1.0516032489249483E-12</v>
      </c>
      <c r="BZ173" s="14">
        <f>BY173*VLOOKUP('Données projet'!$B$12,Paramètres!$A$1:$I$89,3,0)*VLOOKUP('Données projet'!$B$12,Paramètres!$A$1:$I$89,5,0)</f>
        <v>-6.0151705838507046E-13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312.16891625633968</v>
      </c>
      <c r="CE173" s="62">
        <f t="shared" si="148"/>
        <v>215.34305815516177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0.24765987950641949</v>
      </c>
      <c r="CM173" s="23">
        <f>EXP(-LN(2)/2)*CM172+(1-EXP(-LN(2)/2))/(LN(2)/2)*CG173*CJ173*VLOOKUP('Données projet'!$B$12,Paramètres!$A$1:$I$89,3,0)*0.475*44/12</f>
        <v>6.9012776335677354E-21</v>
      </c>
      <c r="CN173" s="24">
        <f t="shared" si="172"/>
        <v>0.24765987950641949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3.979039320256561E-13</v>
      </c>
      <c r="CU173" s="18">
        <f>CT173*VLOOKUP('Données projet'!$B$13,Paramètres!$A$1:$I$89,3,0)*VLOOKUP('Données projet'!$B$13,Paramètres!$A$1:$I$89,5,0)</f>
        <v>2.669139576028101E-13</v>
      </c>
      <c r="CV173" s="14">
        <f t="shared" si="173"/>
        <v>3.5767923834585247E-12</v>
      </c>
      <c r="CW173" s="22">
        <f t="shared" si="174"/>
        <v>6.6944552106818241E-12</v>
      </c>
      <c r="CX173" s="62">
        <f t="shared" si="122"/>
        <v>289.63664832087255</v>
      </c>
      <c r="CY173" s="62">
        <f ca="1">AVERAGE(OFFSET($CX$3,0,0,'Données projet'!$E$13+1,1))-AVERAGE(OFFSET($H$3,0,0,'Données projet'!$E$13+1,1))</f>
        <v>369.04754428478793</v>
      </c>
      <c r="CZ173" s="62">
        <f t="shared" si="150"/>
        <v>277.00523259351712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1.1368683772161603E-13</v>
      </c>
      <c r="DP173" s="18">
        <f>DO173*VLOOKUP('Données projet'!$B$14,Paramètres!$A$1:$I$89,3,0)*VLOOKUP('Données projet'!$B$14,Paramètres!$A$1:$I$89,5,0)</f>
        <v>8.8675733422860506E-14</v>
      </c>
      <c r="DQ173" s="14">
        <f t="shared" si="176"/>
        <v>1.3509285393066301E-12</v>
      </c>
      <c r="DR173" s="22">
        <f t="shared" si="177"/>
        <v>2.5073107750038623E-12</v>
      </c>
      <c r="DS173" s="62">
        <f t="shared" si="125"/>
        <v>289.63664832086835</v>
      </c>
      <c r="DT173" s="62">
        <f ca="1">AVERAGE(OFFSET($DS$3,0,0,'Données projet'!$E$14+1,1))-AVERAGE(OFFSET($H$3,0,0,'Données projet'!$E$14+1,1))</f>
        <v>308.39181291575227</v>
      </c>
      <c r="DU173" s="62">
        <f t="shared" si="152"/>
        <v>298.58225298824334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-9.6633812063373625E-13</v>
      </c>
      <c r="EK173" s="18">
        <f>EJ173*VLOOKUP('Données projet'!$B$15,Paramètres!$A$1:$I$89,3,0)*VLOOKUP('Données projet'!$B$15,Paramètres!$A$1:$I$89,5,0)</f>
        <v>-9.3464223027694966E-13</v>
      </c>
      <c r="EL173" s="14" t="e">
        <f t="shared" si="179"/>
        <v>#NUM!</v>
      </c>
      <c r="EM173" s="22" t="e">
        <f t="shared" si="180"/>
        <v>#NUM!</v>
      </c>
      <c r="EN173" s="62" t="e">
        <f t="shared" si="128"/>
        <v>#NUM!</v>
      </c>
      <c r="EO173" s="62">
        <f ca="1">AVERAGE(OFFSET($EN$3,0,0,'Données projet'!$E$15+1,1))-AVERAGE(OFFSET($H$3,0,0,'Données projet'!$E$15+1,1))</f>
        <v>487.76433095707876</v>
      </c>
      <c r="EP173" s="62">
        <f t="shared" si="154"/>
        <v>276.24209151398361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-9.6633812063373625E-13</v>
      </c>
      <c r="FF173" s="18">
        <f>FE173*VLOOKUP('Données projet'!$B$16,Paramètres!$A$1:$I$89,3,0)*VLOOKUP('Données projet'!$B$16,Paramètres!$A$1:$I$89,5,0)</f>
        <v>-1.0401663530501537E-12</v>
      </c>
      <c r="FG173" s="14" t="e">
        <f t="shared" si="182"/>
        <v>#NUM!</v>
      </c>
      <c r="FH173" s="22" t="e">
        <f t="shared" si="183"/>
        <v>#NUM!</v>
      </c>
      <c r="FI173" s="62" t="e">
        <f t="shared" si="131"/>
        <v>#NUM!</v>
      </c>
      <c r="FJ173" s="62">
        <f ca="1">AVERAGE(OFFSET($FI$3,0,0,'Données projet'!$E$16+1,1))-AVERAGE(OFFSET($H$3,0,0,'Données projet'!$E$16+1,1))</f>
        <v>534.33392288300456</v>
      </c>
      <c r="FK173" s="62">
        <f t="shared" si="156"/>
        <v>300.93109615735477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-5.6843418860808015E-14</v>
      </c>
      <c r="GA173" s="18">
        <f>FZ173*VLOOKUP('Données projet'!$B$17,Paramètres!$A$1:$I$89,3,0)*VLOOKUP('Données projet'!$B$17,Paramètres!$A$1:$I$89,5,0)</f>
        <v>-3.813056537183002E-14</v>
      </c>
      <c r="GB173" s="14" t="e">
        <f t="shared" si="185"/>
        <v>#NUM!</v>
      </c>
      <c r="GC173" s="22" t="e">
        <f t="shared" si="186"/>
        <v>#NUM!</v>
      </c>
      <c r="GD173" s="62" t="e">
        <f t="shared" si="134"/>
        <v>#NUM!</v>
      </c>
      <c r="GE173" s="62">
        <f ca="1">AVERAGE(OFFSET($GD$3,0,0,'Données projet'!$E$17+1,1))-AVERAGE(OFFSET($H$3,0,0,'Données projet'!$E$17+1,1))</f>
        <v>316.17772895535211</v>
      </c>
      <c r="GF173" s="62">
        <f t="shared" si="158"/>
        <v>251.94445589652992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68.991813178417956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3.95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14.483333333333334</v>
      </c>
      <c r="H174" s="70">
        <f t="shared" si="110"/>
        <v>198.73333333333335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297.99999999999977</v>
      </c>
      <c r="O174" s="14">
        <f>N174*VLOOKUP('Données projet'!$B$9,Paramètres!$A$1:$I$89,3,0)*VLOOKUP('Données projet'!$B$9,Paramètres!$A$1:$I$89,5,0)</f>
        <v>251.0351999999998</v>
      </c>
      <c r="P174" s="14">
        <f t="shared" si="141"/>
        <v>60.807560012183302</v>
      </c>
      <c r="Q174" s="22">
        <f t="shared" si="162"/>
        <v>543.12614035455226</v>
      </c>
      <c r="R174" s="62">
        <f t="shared" si="109"/>
        <v>832.82691789583487</v>
      </c>
      <c r="S174" s="62">
        <f ca="1">AVERAGE(OFFSET($R$3,0,0,'Données projet'!$E$9+1,1))-AVERAGE(OFFSET($H$3,0,0,'Données projet'!$E$9+1,1))</f>
        <v>508.93703669150443</v>
      </c>
      <c r="T174" s="62">
        <f t="shared" si="142"/>
        <v>277.04920840696707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-9.6633812063373625E-13</v>
      </c>
      <c r="AJ174" s="14">
        <f>AI174*VLOOKUP('Données projet'!$B$10,Paramètres!$A$1:$I$89,3,0)*VLOOKUP('Données projet'!$B$10,Paramètres!$A$1:$I$89,5,0)</f>
        <v>-8.7434273154940449E-13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461.10503306101145</v>
      </c>
      <c r="AO174" s="62">
        <f t="shared" si="144"/>
        <v>262.10652147273288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-2.2737367544323206E-13</v>
      </c>
      <c r="BE174" s="14">
        <f>BD174*VLOOKUP('Données projet'!$B$11,Paramètres!$A$1:$I$89,3,0)*VLOOKUP('Données projet'!$B$11,Paramètres!$A$1:$I$89,5,0)</f>
        <v>-1.8089849618263545E-13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389.67854939311752</v>
      </c>
      <c r="BJ174" s="62">
        <f t="shared" si="146"/>
        <v>420.05189970516096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-1.0516032489249483E-12</v>
      </c>
      <c r="BZ174" s="14">
        <f>BY174*VLOOKUP('Données projet'!$B$12,Paramètres!$A$1:$I$89,3,0)*VLOOKUP('Données projet'!$B$12,Paramètres!$A$1:$I$89,5,0)</f>
        <v>-6.0151705838507046E-13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312.16891625633968</v>
      </c>
      <c r="CE174" s="62">
        <f t="shared" si="148"/>
        <v>215.34305815516177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0.24088760707744941</v>
      </c>
      <c r="CM174" s="23">
        <f>EXP(-LN(2)/2)*CM173+(1-EXP(-LN(2)/2))/(LN(2)/2)*CG174*CJ174*VLOOKUP('Données projet'!$B$12,Paramètres!$A$1:$I$89,3,0)*0.475*44/12</f>
        <v>4.8799402135467952E-21</v>
      </c>
      <c r="CN174" s="24">
        <f t="shared" si="172"/>
        <v>0.24088760707744941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3.979039320256561E-13</v>
      </c>
      <c r="CU174" s="18">
        <f>CT174*VLOOKUP('Données projet'!$B$13,Paramètres!$A$1:$I$89,3,0)*VLOOKUP('Données projet'!$B$13,Paramètres!$A$1:$I$89,5,0)</f>
        <v>2.669139576028101E-13</v>
      </c>
      <c r="CV174" s="14">
        <f t="shared" si="173"/>
        <v>3.5767923834585247E-12</v>
      </c>
      <c r="CW174" s="22">
        <f t="shared" si="174"/>
        <v>6.6944552106818241E-12</v>
      </c>
      <c r="CX174" s="62">
        <f t="shared" si="122"/>
        <v>289.70077754128926</v>
      </c>
      <c r="CY174" s="62">
        <f ca="1">AVERAGE(OFFSET($CX$3,0,0,'Données projet'!$E$13+1,1))-AVERAGE(OFFSET($H$3,0,0,'Données projet'!$E$13+1,1))</f>
        <v>369.04754428478793</v>
      </c>
      <c r="CZ174" s="62">
        <f t="shared" si="150"/>
        <v>277.00523259351712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1.1368683772161603E-13</v>
      </c>
      <c r="DP174" s="18">
        <f>DO174*VLOOKUP('Données projet'!$B$14,Paramètres!$A$1:$I$89,3,0)*VLOOKUP('Données projet'!$B$14,Paramètres!$A$1:$I$89,5,0)</f>
        <v>8.8675733422860506E-14</v>
      </c>
      <c r="DQ174" s="14">
        <f t="shared" si="176"/>
        <v>1.3509285393066301E-12</v>
      </c>
      <c r="DR174" s="22">
        <f t="shared" si="177"/>
        <v>2.5073107750038623E-12</v>
      </c>
      <c r="DS174" s="62">
        <f t="shared" si="125"/>
        <v>289.70077754128505</v>
      </c>
      <c r="DT174" s="62">
        <f ca="1">AVERAGE(OFFSET($DS$3,0,0,'Données projet'!$E$14+1,1))-AVERAGE(OFFSET($H$3,0,0,'Données projet'!$E$14+1,1))</f>
        <v>308.39181291575227</v>
      </c>
      <c r="DU174" s="62">
        <f t="shared" si="152"/>
        <v>298.58225298824334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-9.6633812063373625E-13</v>
      </c>
      <c r="EK174" s="18">
        <f>EJ174*VLOOKUP('Données projet'!$B$15,Paramètres!$A$1:$I$89,3,0)*VLOOKUP('Données projet'!$B$15,Paramètres!$A$1:$I$89,5,0)</f>
        <v>-9.3464223027694966E-13</v>
      </c>
      <c r="EL174" s="14" t="e">
        <f t="shared" si="179"/>
        <v>#NUM!</v>
      </c>
      <c r="EM174" s="22" t="e">
        <f t="shared" si="180"/>
        <v>#NUM!</v>
      </c>
      <c r="EN174" s="62" t="e">
        <f t="shared" si="128"/>
        <v>#NUM!</v>
      </c>
      <c r="EO174" s="62">
        <f ca="1">AVERAGE(OFFSET($EN$3,0,0,'Données projet'!$E$15+1,1))-AVERAGE(OFFSET($H$3,0,0,'Données projet'!$E$15+1,1))</f>
        <v>487.76433095707876</v>
      </c>
      <c r="EP174" s="62">
        <f t="shared" si="154"/>
        <v>276.24209151398361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-9.6633812063373625E-13</v>
      </c>
      <c r="FF174" s="18">
        <f>FE174*VLOOKUP('Données projet'!$B$16,Paramètres!$A$1:$I$89,3,0)*VLOOKUP('Données projet'!$B$16,Paramètres!$A$1:$I$89,5,0)</f>
        <v>-1.0401663530501537E-12</v>
      </c>
      <c r="FG174" s="14" t="e">
        <f t="shared" si="182"/>
        <v>#NUM!</v>
      </c>
      <c r="FH174" s="22" t="e">
        <f t="shared" si="183"/>
        <v>#NUM!</v>
      </c>
      <c r="FI174" s="62" t="e">
        <f t="shared" si="131"/>
        <v>#NUM!</v>
      </c>
      <c r="FJ174" s="62">
        <f ca="1">AVERAGE(OFFSET($FI$3,0,0,'Données projet'!$E$16+1,1))-AVERAGE(OFFSET($H$3,0,0,'Données projet'!$E$16+1,1))</f>
        <v>534.33392288300456</v>
      </c>
      <c r="FK174" s="62">
        <f t="shared" si="156"/>
        <v>300.93109615735477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-5.6843418860808015E-14</v>
      </c>
      <c r="GA174" s="18">
        <f>FZ174*VLOOKUP('Données projet'!$B$17,Paramètres!$A$1:$I$89,3,0)*VLOOKUP('Données projet'!$B$17,Paramètres!$A$1:$I$89,5,0)</f>
        <v>-3.813056537183002E-14</v>
      </c>
      <c r="GB174" s="14" t="e">
        <f t="shared" si="185"/>
        <v>#NUM!</v>
      </c>
      <c r="GC174" s="22" t="e">
        <f t="shared" si="186"/>
        <v>#NUM!</v>
      </c>
      <c r="GD174" s="62" t="e">
        <f t="shared" si="134"/>
        <v>#NUM!</v>
      </c>
      <c r="GE174" s="62">
        <f ca="1">AVERAGE(OFFSET($GD$3,0,0,'Données projet'!$E$17+1,1))-AVERAGE(OFFSET($H$3,0,0,'Données projet'!$E$17+1,1))</f>
        <v>316.17772895535211</v>
      </c>
      <c r="GF174" s="62">
        <f t="shared" si="158"/>
        <v>251.94445589652992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69.009302965804338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3.95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14.483333333333334</v>
      </c>
      <c r="H175" s="70">
        <f t="shared" si="110"/>
        <v>198.73333333333335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297.99999999999977</v>
      </c>
      <c r="O175" s="14">
        <f>N175*VLOOKUP('Données projet'!$B$9,Paramètres!$A$1:$I$89,3,0)*VLOOKUP('Données projet'!$B$9,Paramètres!$A$1:$I$89,5,0)</f>
        <v>251.0351999999998</v>
      </c>
      <c r="P175" s="14">
        <f t="shared" si="141"/>
        <v>60.807560012183302</v>
      </c>
      <c r="Q175" s="22">
        <f t="shared" si="162"/>
        <v>543.12614035455226</v>
      </c>
      <c r="R175" s="62">
        <f t="shared" si="109"/>
        <v>832.88993461764881</v>
      </c>
      <c r="S175" s="62">
        <f ca="1">AVERAGE(OFFSET($R$3,0,0,'Données projet'!$E$9+1,1))-AVERAGE(OFFSET($H$3,0,0,'Données projet'!$E$9+1,1))</f>
        <v>508.93703669150443</v>
      </c>
      <c r="T175" s="62">
        <f t="shared" si="142"/>
        <v>277.04920840696707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-9.6633812063373625E-13</v>
      </c>
      <c r="AJ175" s="14">
        <f>AI175*VLOOKUP('Données projet'!$B$10,Paramètres!$A$1:$I$89,3,0)*VLOOKUP('Données projet'!$B$10,Paramètres!$A$1:$I$89,5,0)</f>
        <v>-8.7434273154940449E-13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461.10503306101145</v>
      </c>
      <c r="AO175" s="62">
        <f t="shared" si="144"/>
        <v>262.10652147273288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-2.2737367544323206E-13</v>
      </c>
      <c r="BE175" s="14">
        <f>BD175*VLOOKUP('Données projet'!$B$11,Paramètres!$A$1:$I$89,3,0)*VLOOKUP('Données projet'!$B$11,Paramètres!$A$1:$I$89,5,0)</f>
        <v>-1.8089849618263545E-13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389.67854939311752</v>
      </c>
      <c r="BJ175" s="62">
        <f t="shared" si="146"/>
        <v>420.05189970516096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-1.0516032489249483E-12</v>
      </c>
      <c r="BZ175" s="14">
        <f>BY175*VLOOKUP('Données projet'!$B$12,Paramètres!$A$1:$I$89,3,0)*VLOOKUP('Données projet'!$B$12,Paramètres!$A$1:$I$89,5,0)</f>
        <v>-6.0151705838507046E-13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312.16891625633968</v>
      </c>
      <c r="CE175" s="62">
        <f t="shared" si="148"/>
        <v>215.34305815516177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0.23430052279418787</v>
      </c>
      <c r="CM175" s="23">
        <f>EXP(-LN(2)/2)*CM174+(1-EXP(-LN(2)/2))/(LN(2)/2)*CG175*CJ175*VLOOKUP('Données projet'!$B$12,Paramètres!$A$1:$I$89,3,0)*0.475*44/12</f>
        <v>3.4506388167838677E-21</v>
      </c>
      <c r="CN175" s="24">
        <f t="shared" si="172"/>
        <v>0.23430052279418787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3.979039320256561E-13</v>
      </c>
      <c r="CU175" s="18">
        <f>CT175*VLOOKUP('Données projet'!$B$13,Paramètres!$A$1:$I$89,3,0)*VLOOKUP('Données projet'!$B$13,Paramètres!$A$1:$I$89,5,0)</f>
        <v>2.669139576028101E-13</v>
      </c>
      <c r="CV175" s="14">
        <f t="shared" si="173"/>
        <v>3.5767923834585247E-12</v>
      </c>
      <c r="CW175" s="22">
        <f t="shared" si="174"/>
        <v>6.6944552106818241E-12</v>
      </c>
      <c r="CX175" s="62">
        <f t="shared" si="122"/>
        <v>289.76379426310325</v>
      </c>
      <c r="CY175" s="62">
        <f ca="1">AVERAGE(OFFSET($CX$3,0,0,'Données projet'!$E$13+1,1))-AVERAGE(OFFSET($H$3,0,0,'Données projet'!$E$13+1,1))</f>
        <v>369.04754428478793</v>
      </c>
      <c r="CZ175" s="62">
        <f t="shared" si="150"/>
        <v>277.00523259351712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1.1368683772161603E-13</v>
      </c>
      <c r="DP175" s="18">
        <f>DO175*VLOOKUP('Données projet'!$B$14,Paramètres!$A$1:$I$89,3,0)*VLOOKUP('Données projet'!$B$14,Paramètres!$A$1:$I$89,5,0)</f>
        <v>8.8675733422860506E-14</v>
      </c>
      <c r="DQ175" s="14">
        <f t="shared" si="176"/>
        <v>1.3509285393066301E-12</v>
      </c>
      <c r="DR175" s="22">
        <f t="shared" si="177"/>
        <v>2.5073107750038623E-12</v>
      </c>
      <c r="DS175" s="62">
        <f t="shared" si="125"/>
        <v>289.76379426309904</v>
      </c>
      <c r="DT175" s="62">
        <f ca="1">AVERAGE(OFFSET($DS$3,0,0,'Données projet'!$E$14+1,1))-AVERAGE(OFFSET($H$3,0,0,'Données projet'!$E$14+1,1))</f>
        <v>308.39181291575227</v>
      </c>
      <c r="DU175" s="62">
        <f t="shared" si="152"/>
        <v>298.58225298824334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-9.6633812063373625E-13</v>
      </c>
      <c r="EK175" s="18">
        <f>EJ175*VLOOKUP('Données projet'!$B$15,Paramètres!$A$1:$I$89,3,0)*VLOOKUP('Données projet'!$B$15,Paramètres!$A$1:$I$89,5,0)</f>
        <v>-9.3464223027694966E-13</v>
      </c>
      <c r="EL175" s="14" t="e">
        <f t="shared" si="179"/>
        <v>#NUM!</v>
      </c>
      <c r="EM175" s="22" t="e">
        <f t="shared" si="180"/>
        <v>#NUM!</v>
      </c>
      <c r="EN175" s="62" t="e">
        <f t="shared" si="128"/>
        <v>#NUM!</v>
      </c>
      <c r="EO175" s="62">
        <f ca="1">AVERAGE(OFFSET($EN$3,0,0,'Données projet'!$E$15+1,1))-AVERAGE(OFFSET($H$3,0,0,'Données projet'!$E$15+1,1))</f>
        <v>487.76433095707876</v>
      </c>
      <c r="EP175" s="62">
        <f t="shared" si="154"/>
        <v>276.24209151398361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-9.6633812063373625E-13</v>
      </c>
      <c r="FF175" s="18">
        <f>FE175*VLOOKUP('Données projet'!$B$16,Paramètres!$A$1:$I$89,3,0)*VLOOKUP('Données projet'!$B$16,Paramètres!$A$1:$I$89,5,0)</f>
        <v>-1.0401663530501537E-12</v>
      </c>
      <c r="FG175" s="14" t="e">
        <f t="shared" si="182"/>
        <v>#NUM!</v>
      </c>
      <c r="FH175" s="22" t="e">
        <f t="shared" si="183"/>
        <v>#NUM!</v>
      </c>
      <c r="FI175" s="62" t="e">
        <f t="shared" si="131"/>
        <v>#NUM!</v>
      </c>
      <c r="FJ175" s="62">
        <f ca="1">AVERAGE(OFFSET($FI$3,0,0,'Données projet'!$E$16+1,1))-AVERAGE(OFFSET($H$3,0,0,'Données projet'!$E$16+1,1))</f>
        <v>534.33392288300456</v>
      </c>
      <c r="FK175" s="62">
        <f t="shared" si="156"/>
        <v>300.93109615735477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-5.6843418860808015E-14</v>
      </c>
      <c r="GA175" s="18">
        <f>FZ175*VLOOKUP('Données projet'!$B$17,Paramètres!$A$1:$I$89,3,0)*VLOOKUP('Données projet'!$B$17,Paramètres!$A$1:$I$89,5,0)</f>
        <v>-3.813056537183002E-14</v>
      </c>
      <c r="GB175" s="14" t="e">
        <f t="shared" si="185"/>
        <v>#NUM!</v>
      </c>
      <c r="GC175" s="22" t="e">
        <f t="shared" si="186"/>
        <v>#NUM!</v>
      </c>
      <c r="GD175" s="62" t="e">
        <f t="shared" si="134"/>
        <v>#NUM!</v>
      </c>
      <c r="GE175" s="62">
        <f ca="1">AVERAGE(OFFSET($GD$3,0,0,'Données projet'!$E$17+1,1))-AVERAGE(OFFSET($H$3,0,0,'Données projet'!$E$17+1,1))</f>
        <v>316.17772895535211</v>
      </c>
      <c r="GF175" s="62">
        <f t="shared" si="158"/>
        <v>251.94445589652992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69.026489344480879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3.95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14.483333333333334</v>
      </c>
      <c r="H176" s="70">
        <f t="shared" si="110"/>
        <v>198.73333333333335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297.99999999999977</v>
      </c>
      <c r="O176" s="14">
        <f>N176*VLOOKUP('Données projet'!$B$9,Paramètres!$A$1:$I$89,3,0)*VLOOKUP('Données projet'!$B$9,Paramètres!$A$1:$I$89,5,0)</f>
        <v>251.0351999999998</v>
      </c>
      <c r="P176" s="14">
        <f t="shared" si="141"/>
        <v>60.807560012183302</v>
      </c>
      <c r="Q176" s="22">
        <f t="shared" si="162"/>
        <v>543.12614035455226</v>
      </c>
      <c r="R176" s="62">
        <f t="shared" si="109"/>
        <v>832.95185814022352</v>
      </c>
      <c r="S176" s="62">
        <f ca="1">AVERAGE(OFFSET($R$3,0,0,'Données projet'!$E$9+1,1))-AVERAGE(OFFSET($H$3,0,0,'Données projet'!$E$9+1,1))</f>
        <v>508.93703669150443</v>
      </c>
      <c r="T176" s="62">
        <f t="shared" si="142"/>
        <v>277.04920840696707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-9.6633812063373625E-13</v>
      </c>
      <c r="AJ176" s="14">
        <f>AI176*VLOOKUP('Données projet'!$B$10,Paramètres!$A$1:$I$89,3,0)*VLOOKUP('Données projet'!$B$10,Paramètres!$A$1:$I$89,5,0)</f>
        <v>-8.7434273154940449E-13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461.10503306101145</v>
      </c>
      <c r="AO176" s="62">
        <f t="shared" si="144"/>
        <v>262.10652147273288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-2.2737367544323206E-13</v>
      </c>
      <c r="BE176" s="14">
        <f>BD176*VLOOKUP('Données projet'!$B$11,Paramètres!$A$1:$I$89,3,0)*VLOOKUP('Données projet'!$B$11,Paramètres!$A$1:$I$89,5,0)</f>
        <v>-1.8089849618263545E-13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389.67854939311752</v>
      </c>
      <c r="BJ176" s="62">
        <f t="shared" si="146"/>
        <v>420.05189970516096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-1.0516032489249483E-12</v>
      </c>
      <c r="BZ176" s="14">
        <f>BY176*VLOOKUP('Données projet'!$B$12,Paramètres!$A$1:$I$89,3,0)*VLOOKUP('Données projet'!$B$12,Paramètres!$A$1:$I$89,5,0)</f>
        <v>-6.0151705838507046E-13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312.16891625633968</v>
      </c>
      <c r="CE176" s="62">
        <f t="shared" si="148"/>
        <v>215.34305815516177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0.2278935626770518</v>
      </c>
      <c r="CM176" s="23">
        <f>EXP(-LN(2)/2)*CM175+(1-EXP(-LN(2)/2))/(LN(2)/2)*CG176*CJ176*VLOOKUP('Données projet'!$B$12,Paramètres!$A$1:$I$89,3,0)*0.475*44/12</f>
        <v>2.4399701067733976E-21</v>
      </c>
      <c r="CN176" s="24">
        <f t="shared" si="172"/>
        <v>0.2278935626770518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3.979039320256561E-13</v>
      </c>
      <c r="CU176" s="18">
        <f>CT176*VLOOKUP('Données projet'!$B$13,Paramètres!$A$1:$I$89,3,0)*VLOOKUP('Données projet'!$B$13,Paramètres!$A$1:$I$89,5,0)</f>
        <v>2.669139576028101E-13</v>
      </c>
      <c r="CV176" s="14">
        <f t="shared" si="173"/>
        <v>3.5767923834585247E-12</v>
      </c>
      <c r="CW176" s="22">
        <f t="shared" si="174"/>
        <v>6.6944552106818241E-12</v>
      </c>
      <c r="CX176" s="62">
        <f t="shared" si="122"/>
        <v>289.82571778567802</v>
      </c>
      <c r="CY176" s="62">
        <f ca="1">AVERAGE(OFFSET($CX$3,0,0,'Données projet'!$E$13+1,1))-AVERAGE(OFFSET($H$3,0,0,'Données projet'!$E$13+1,1))</f>
        <v>369.04754428478793</v>
      </c>
      <c r="CZ176" s="62">
        <f t="shared" si="150"/>
        <v>277.00523259351712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1.1368683772161603E-13</v>
      </c>
      <c r="DP176" s="18">
        <f>DO176*VLOOKUP('Données projet'!$B$14,Paramètres!$A$1:$I$89,3,0)*VLOOKUP('Données projet'!$B$14,Paramètres!$A$1:$I$89,5,0)</f>
        <v>8.8675733422860506E-14</v>
      </c>
      <c r="DQ176" s="14">
        <f t="shared" si="176"/>
        <v>1.3509285393066301E-12</v>
      </c>
      <c r="DR176" s="22">
        <f t="shared" si="177"/>
        <v>2.5073107750038623E-12</v>
      </c>
      <c r="DS176" s="62">
        <f t="shared" si="125"/>
        <v>289.82571778567382</v>
      </c>
      <c r="DT176" s="62">
        <f ca="1">AVERAGE(OFFSET($DS$3,0,0,'Données projet'!$E$14+1,1))-AVERAGE(OFFSET($H$3,0,0,'Données projet'!$E$14+1,1))</f>
        <v>308.39181291575227</v>
      </c>
      <c r="DU176" s="62">
        <f t="shared" si="152"/>
        <v>298.58225298824334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-9.6633812063373625E-13</v>
      </c>
      <c r="EK176" s="18">
        <f>EJ176*VLOOKUP('Données projet'!$B$15,Paramètres!$A$1:$I$89,3,0)*VLOOKUP('Données projet'!$B$15,Paramètres!$A$1:$I$89,5,0)</f>
        <v>-9.3464223027694966E-13</v>
      </c>
      <c r="EL176" s="14" t="e">
        <f t="shared" si="179"/>
        <v>#NUM!</v>
      </c>
      <c r="EM176" s="22" t="e">
        <f t="shared" si="180"/>
        <v>#NUM!</v>
      </c>
      <c r="EN176" s="62" t="e">
        <f t="shared" si="128"/>
        <v>#NUM!</v>
      </c>
      <c r="EO176" s="62">
        <f ca="1">AVERAGE(OFFSET($EN$3,0,0,'Données projet'!$E$15+1,1))-AVERAGE(OFFSET($H$3,0,0,'Données projet'!$E$15+1,1))</f>
        <v>487.76433095707876</v>
      </c>
      <c r="EP176" s="62">
        <f t="shared" si="154"/>
        <v>276.24209151398361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-9.6633812063373625E-13</v>
      </c>
      <c r="FF176" s="18">
        <f>FE176*VLOOKUP('Données projet'!$B$16,Paramètres!$A$1:$I$89,3,0)*VLOOKUP('Données projet'!$B$16,Paramètres!$A$1:$I$89,5,0)</f>
        <v>-1.0401663530501537E-12</v>
      </c>
      <c r="FG176" s="14" t="e">
        <f t="shared" si="182"/>
        <v>#NUM!</v>
      </c>
      <c r="FH176" s="22" t="e">
        <f t="shared" si="183"/>
        <v>#NUM!</v>
      </c>
      <c r="FI176" s="62" t="e">
        <f t="shared" si="131"/>
        <v>#NUM!</v>
      </c>
      <c r="FJ176" s="62">
        <f ca="1">AVERAGE(OFFSET($FI$3,0,0,'Données projet'!$E$16+1,1))-AVERAGE(OFFSET($H$3,0,0,'Données projet'!$E$16+1,1))</f>
        <v>534.33392288300456</v>
      </c>
      <c r="FK176" s="62">
        <f t="shared" si="156"/>
        <v>300.93109615735477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-5.6843418860808015E-14</v>
      </c>
      <c r="GA176" s="18">
        <f>FZ176*VLOOKUP('Données projet'!$B$17,Paramètres!$A$1:$I$89,3,0)*VLOOKUP('Données projet'!$B$17,Paramètres!$A$1:$I$89,5,0)</f>
        <v>-3.813056537183002E-14</v>
      </c>
      <c r="GB176" s="14" t="e">
        <f t="shared" si="185"/>
        <v>#NUM!</v>
      </c>
      <c r="GC176" s="22" t="e">
        <f t="shared" si="186"/>
        <v>#NUM!</v>
      </c>
      <c r="GD176" s="62" t="e">
        <f t="shared" si="134"/>
        <v>#NUM!</v>
      </c>
      <c r="GE176" s="62">
        <f ca="1">AVERAGE(OFFSET($GD$3,0,0,'Données projet'!$E$17+1,1))-AVERAGE(OFFSET($H$3,0,0,'Données projet'!$E$17+1,1))</f>
        <v>316.17772895535211</v>
      </c>
      <c r="GF176" s="62">
        <f t="shared" si="158"/>
        <v>251.94445589652992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69.043377577910363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3.95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14.483333333333334</v>
      </c>
      <c r="H177" s="70">
        <f t="shared" si="110"/>
        <v>198.73333333333335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297.99999999999977</v>
      </c>
      <c r="O177" s="14">
        <f>N177*VLOOKUP('Données projet'!$B$9,Paramètres!$A$1:$I$89,3,0)*VLOOKUP('Données projet'!$B$9,Paramètres!$A$1:$I$89,5,0)</f>
        <v>251.0351999999998</v>
      </c>
      <c r="P177" s="14">
        <f t="shared" si="141"/>
        <v>60.807560012183302</v>
      </c>
      <c r="Q177" s="22">
        <f t="shared" si="162"/>
        <v>543.12614035455226</v>
      </c>
      <c r="R177" s="62">
        <f t="shared" si="109"/>
        <v>833.01270742812198</v>
      </c>
      <c r="S177" s="62">
        <f ca="1">AVERAGE(OFFSET($R$3,0,0,'Données projet'!$E$9+1,1))-AVERAGE(OFFSET($H$3,0,0,'Données projet'!$E$9+1,1))</f>
        <v>508.93703669150443</v>
      </c>
      <c r="T177" s="62">
        <f t="shared" si="142"/>
        <v>277.04920840696707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-9.6633812063373625E-13</v>
      </c>
      <c r="AJ177" s="14">
        <f>AI177*VLOOKUP('Données projet'!$B$10,Paramètres!$A$1:$I$89,3,0)*VLOOKUP('Données projet'!$B$10,Paramètres!$A$1:$I$89,5,0)</f>
        <v>-8.7434273154940449E-13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461.10503306101145</v>
      </c>
      <c r="AO177" s="62">
        <f t="shared" si="144"/>
        <v>262.10652147273288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-2.2737367544323206E-13</v>
      </c>
      <c r="BE177" s="14">
        <f>BD177*VLOOKUP('Données projet'!$B$11,Paramètres!$A$1:$I$89,3,0)*VLOOKUP('Données projet'!$B$11,Paramètres!$A$1:$I$89,5,0)</f>
        <v>-1.8089849618263545E-13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389.67854939311752</v>
      </c>
      <c r="BJ177" s="62">
        <f t="shared" si="146"/>
        <v>420.05189970516096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-1.0516032489249483E-12</v>
      </c>
      <c r="BZ177" s="14">
        <f>BY177*VLOOKUP('Données projet'!$B$12,Paramètres!$A$1:$I$89,3,0)*VLOOKUP('Données projet'!$B$12,Paramètres!$A$1:$I$89,5,0)</f>
        <v>-6.0151705838507046E-13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312.16891625633968</v>
      </c>
      <c r="CE177" s="62">
        <f t="shared" si="148"/>
        <v>215.34305815516177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0.22166180122124621</v>
      </c>
      <c r="CM177" s="23">
        <f>EXP(-LN(2)/2)*CM176+(1-EXP(-LN(2)/2))/(LN(2)/2)*CG177*CJ177*VLOOKUP('Données projet'!$B$12,Paramètres!$A$1:$I$89,3,0)*0.475*44/12</f>
        <v>1.7253194083919339E-21</v>
      </c>
      <c r="CN177" s="24">
        <f t="shared" si="172"/>
        <v>0.22166180122124621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3.979039320256561E-13</v>
      </c>
      <c r="CU177" s="18">
        <f>CT177*VLOOKUP('Données projet'!$B$13,Paramètres!$A$1:$I$89,3,0)*VLOOKUP('Données projet'!$B$13,Paramètres!$A$1:$I$89,5,0)</f>
        <v>2.669139576028101E-13</v>
      </c>
      <c r="CV177" s="14">
        <f t="shared" si="173"/>
        <v>3.5767923834585247E-12</v>
      </c>
      <c r="CW177" s="22">
        <f t="shared" si="174"/>
        <v>6.6944552106818241E-12</v>
      </c>
      <c r="CX177" s="62">
        <f t="shared" si="122"/>
        <v>289.88656707357637</v>
      </c>
      <c r="CY177" s="62">
        <f ca="1">AVERAGE(OFFSET($CX$3,0,0,'Données projet'!$E$13+1,1))-AVERAGE(OFFSET($H$3,0,0,'Données projet'!$E$13+1,1))</f>
        <v>369.04754428478793</v>
      </c>
      <c r="CZ177" s="62">
        <f t="shared" si="150"/>
        <v>277.00523259351712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1.1368683772161603E-13</v>
      </c>
      <c r="DP177" s="18">
        <f>DO177*VLOOKUP('Données projet'!$B$14,Paramètres!$A$1:$I$89,3,0)*VLOOKUP('Données projet'!$B$14,Paramètres!$A$1:$I$89,5,0)</f>
        <v>8.8675733422860506E-14</v>
      </c>
      <c r="DQ177" s="14">
        <f t="shared" si="176"/>
        <v>1.3509285393066301E-12</v>
      </c>
      <c r="DR177" s="22">
        <f t="shared" si="177"/>
        <v>2.5073107750038623E-12</v>
      </c>
      <c r="DS177" s="62">
        <f t="shared" si="125"/>
        <v>289.88656707357217</v>
      </c>
      <c r="DT177" s="62">
        <f ca="1">AVERAGE(OFFSET($DS$3,0,0,'Données projet'!$E$14+1,1))-AVERAGE(OFFSET($H$3,0,0,'Données projet'!$E$14+1,1))</f>
        <v>308.39181291575227</v>
      </c>
      <c r="DU177" s="62">
        <f t="shared" si="152"/>
        <v>298.58225298824334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-9.6633812063373625E-13</v>
      </c>
      <c r="EK177" s="18">
        <f>EJ177*VLOOKUP('Données projet'!$B$15,Paramètres!$A$1:$I$89,3,0)*VLOOKUP('Données projet'!$B$15,Paramètres!$A$1:$I$89,5,0)</f>
        <v>-9.3464223027694966E-13</v>
      </c>
      <c r="EL177" s="14" t="e">
        <f t="shared" si="179"/>
        <v>#NUM!</v>
      </c>
      <c r="EM177" s="22" t="e">
        <f t="shared" si="180"/>
        <v>#NUM!</v>
      </c>
      <c r="EN177" s="62" t="e">
        <f t="shared" si="128"/>
        <v>#NUM!</v>
      </c>
      <c r="EO177" s="62">
        <f ca="1">AVERAGE(OFFSET($EN$3,0,0,'Données projet'!$E$15+1,1))-AVERAGE(OFFSET($H$3,0,0,'Données projet'!$E$15+1,1))</f>
        <v>487.76433095707876</v>
      </c>
      <c r="EP177" s="62">
        <f t="shared" si="154"/>
        <v>276.24209151398361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-9.6633812063373625E-13</v>
      </c>
      <c r="FF177" s="18">
        <f>FE177*VLOOKUP('Données projet'!$B$16,Paramètres!$A$1:$I$89,3,0)*VLOOKUP('Données projet'!$B$16,Paramètres!$A$1:$I$89,5,0)</f>
        <v>-1.0401663530501537E-12</v>
      </c>
      <c r="FG177" s="14" t="e">
        <f t="shared" si="182"/>
        <v>#NUM!</v>
      </c>
      <c r="FH177" s="22" t="e">
        <f t="shared" si="183"/>
        <v>#NUM!</v>
      </c>
      <c r="FI177" s="62" t="e">
        <f t="shared" si="131"/>
        <v>#NUM!</v>
      </c>
      <c r="FJ177" s="62">
        <f ca="1">AVERAGE(OFFSET($FI$3,0,0,'Données projet'!$E$16+1,1))-AVERAGE(OFFSET($H$3,0,0,'Données projet'!$E$16+1,1))</f>
        <v>534.33392288300456</v>
      </c>
      <c r="FK177" s="62">
        <f t="shared" si="156"/>
        <v>300.93109615735477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-5.6843418860808015E-14</v>
      </c>
      <c r="GA177" s="18">
        <f>FZ177*VLOOKUP('Données projet'!$B$17,Paramètres!$A$1:$I$89,3,0)*VLOOKUP('Données projet'!$B$17,Paramètres!$A$1:$I$89,5,0)</f>
        <v>-3.813056537183002E-14</v>
      </c>
      <c r="GB177" s="14" t="e">
        <f t="shared" si="185"/>
        <v>#NUM!</v>
      </c>
      <c r="GC177" s="22" t="e">
        <f t="shared" si="186"/>
        <v>#NUM!</v>
      </c>
      <c r="GD177" s="62" t="e">
        <f t="shared" si="134"/>
        <v>#NUM!</v>
      </c>
      <c r="GE177" s="62">
        <f ca="1">AVERAGE(OFFSET($GD$3,0,0,'Données projet'!$E$17+1,1))-AVERAGE(OFFSET($H$3,0,0,'Données projet'!$E$17+1,1))</f>
        <v>316.17772895535211</v>
      </c>
      <c r="GF177" s="62">
        <f t="shared" si="158"/>
        <v>251.94445589652992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69.059972838246281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3.95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14.483333333333334</v>
      </c>
      <c r="H178" s="70">
        <f t="shared" si="110"/>
        <v>198.73333333333335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297.99999999999977</v>
      </c>
      <c r="O178" s="14">
        <f>N178*VLOOKUP('Données projet'!$B$9,Paramètres!$A$1:$I$89,3,0)*VLOOKUP('Données projet'!$B$9,Paramètres!$A$1:$I$89,5,0)</f>
        <v>251.0351999999998</v>
      </c>
      <c r="P178" s="14">
        <f t="shared" si="141"/>
        <v>60.807560012183302</v>
      </c>
      <c r="Q178" s="22">
        <f t="shared" si="162"/>
        <v>543.12614035455226</v>
      </c>
      <c r="R178" s="62">
        <f t="shared" si="109"/>
        <v>833.07250111691383</v>
      </c>
      <c r="S178" s="62">
        <f ca="1">AVERAGE(OFFSET($R$3,0,0,'Données projet'!$E$9+1,1))-AVERAGE(OFFSET($H$3,0,0,'Données projet'!$E$9+1,1))</f>
        <v>508.93703669150443</v>
      </c>
      <c r="T178" s="62">
        <f t="shared" si="142"/>
        <v>277.04920840696707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-9.6633812063373625E-13</v>
      </c>
      <c r="AJ178" s="14">
        <f>AI178*VLOOKUP('Données projet'!$B$10,Paramètres!$A$1:$I$89,3,0)*VLOOKUP('Données projet'!$B$10,Paramètres!$A$1:$I$89,5,0)</f>
        <v>-8.7434273154940449E-13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461.10503306101145</v>
      </c>
      <c r="AO178" s="62">
        <f t="shared" si="144"/>
        <v>262.10652147273288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-2.2737367544323206E-13</v>
      </c>
      <c r="BE178" s="14">
        <f>BD178*VLOOKUP('Données projet'!$B$11,Paramètres!$A$1:$I$89,3,0)*VLOOKUP('Données projet'!$B$11,Paramètres!$A$1:$I$89,5,0)</f>
        <v>-1.8089849618263545E-13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389.67854939311752</v>
      </c>
      <c r="BJ178" s="62">
        <f t="shared" si="146"/>
        <v>420.05189970516096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-1.0516032489249483E-12</v>
      </c>
      <c r="BZ178" s="14">
        <f>BY178*VLOOKUP('Données projet'!$B$12,Paramètres!$A$1:$I$89,3,0)*VLOOKUP('Données projet'!$B$12,Paramètres!$A$1:$I$89,5,0)</f>
        <v>-6.0151705838507046E-13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312.16891625633968</v>
      </c>
      <c r="CE178" s="62">
        <f t="shared" si="148"/>
        <v>215.34305815516177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0.21560044761016373</v>
      </c>
      <c r="CM178" s="23">
        <f>EXP(-LN(2)/2)*CM177+(1-EXP(-LN(2)/2))/(LN(2)/2)*CG178*CJ178*VLOOKUP('Données projet'!$B$12,Paramètres!$A$1:$I$89,3,0)*0.475*44/12</f>
        <v>1.2199850533866988E-21</v>
      </c>
      <c r="CN178" s="24">
        <f t="shared" si="172"/>
        <v>0.21560044761016373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3.979039320256561E-13</v>
      </c>
      <c r="CU178" s="18">
        <f>CT178*VLOOKUP('Données projet'!$B$13,Paramètres!$A$1:$I$89,3,0)*VLOOKUP('Données projet'!$B$13,Paramètres!$A$1:$I$89,5,0)</f>
        <v>2.669139576028101E-13</v>
      </c>
      <c r="CV178" s="14">
        <f t="shared" si="173"/>
        <v>3.5767923834585247E-12</v>
      </c>
      <c r="CW178" s="22">
        <f t="shared" si="174"/>
        <v>6.6944552106818241E-12</v>
      </c>
      <c r="CX178" s="62">
        <f t="shared" si="122"/>
        <v>289.94636076236833</v>
      </c>
      <c r="CY178" s="62">
        <f ca="1">AVERAGE(OFFSET($CX$3,0,0,'Données projet'!$E$13+1,1))-AVERAGE(OFFSET($H$3,0,0,'Données projet'!$E$13+1,1))</f>
        <v>369.04754428478793</v>
      </c>
      <c r="CZ178" s="62">
        <f t="shared" si="150"/>
        <v>277.00523259351712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1.1368683772161603E-13</v>
      </c>
      <c r="DP178" s="18">
        <f>DO178*VLOOKUP('Données projet'!$B$14,Paramètres!$A$1:$I$89,3,0)*VLOOKUP('Données projet'!$B$14,Paramètres!$A$1:$I$89,5,0)</f>
        <v>8.8675733422860506E-14</v>
      </c>
      <c r="DQ178" s="14">
        <f t="shared" si="176"/>
        <v>1.3509285393066301E-12</v>
      </c>
      <c r="DR178" s="22">
        <f t="shared" si="177"/>
        <v>2.5073107750038623E-12</v>
      </c>
      <c r="DS178" s="62">
        <f t="shared" si="125"/>
        <v>289.94636076236412</v>
      </c>
      <c r="DT178" s="62">
        <f ca="1">AVERAGE(OFFSET($DS$3,0,0,'Données projet'!$E$14+1,1))-AVERAGE(OFFSET($H$3,0,0,'Données projet'!$E$14+1,1))</f>
        <v>308.39181291575227</v>
      </c>
      <c r="DU178" s="62">
        <f t="shared" si="152"/>
        <v>298.58225298824334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-9.6633812063373625E-13</v>
      </c>
      <c r="EK178" s="18">
        <f>EJ178*VLOOKUP('Données projet'!$B$15,Paramètres!$A$1:$I$89,3,0)*VLOOKUP('Données projet'!$B$15,Paramètres!$A$1:$I$89,5,0)</f>
        <v>-9.3464223027694966E-13</v>
      </c>
      <c r="EL178" s="14" t="e">
        <f t="shared" si="179"/>
        <v>#NUM!</v>
      </c>
      <c r="EM178" s="22" t="e">
        <f t="shared" si="180"/>
        <v>#NUM!</v>
      </c>
      <c r="EN178" s="62" t="e">
        <f t="shared" si="128"/>
        <v>#NUM!</v>
      </c>
      <c r="EO178" s="62">
        <f ca="1">AVERAGE(OFFSET($EN$3,0,0,'Données projet'!$E$15+1,1))-AVERAGE(OFFSET($H$3,0,0,'Données projet'!$E$15+1,1))</f>
        <v>487.76433095707876</v>
      </c>
      <c r="EP178" s="62">
        <f t="shared" si="154"/>
        <v>276.24209151398361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-9.6633812063373625E-13</v>
      </c>
      <c r="FF178" s="18">
        <f>FE178*VLOOKUP('Données projet'!$B$16,Paramètres!$A$1:$I$89,3,0)*VLOOKUP('Données projet'!$B$16,Paramètres!$A$1:$I$89,5,0)</f>
        <v>-1.0401663530501537E-12</v>
      </c>
      <c r="FG178" s="14" t="e">
        <f t="shared" si="182"/>
        <v>#NUM!</v>
      </c>
      <c r="FH178" s="22" t="e">
        <f t="shared" si="183"/>
        <v>#NUM!</v>
      </c>
      <c r="FI178" s="62" t="e">
        <f t="shared" si="131"/>
        <v>#NUM!</v>
      </c>
      <c r="FJ178" s="62">
        <f ca="1">AVERAGE(OFFSET($FI$3,0,0,'Données projet'!$E$16+1,1))-AVERAGE(OFFSET($H$3,0,0,'Données projet'!$E$16+1,1))</f>
        <v>534.33392288300456</v>
      </c>
      <c r="FK178" s="62">
        <f t="shared" si="156"/>
        <v>300.93109615735477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-5.6843418860808015E-14</v>
      </c>
      <c r="GA178" s="18">
        <f>FZ178*VLOOKUP('Données projet'!$B$17,Paramètres!$A$1:$I$89,3,0)*VLOOKUP('Données projet'!$B$17,Paramètres!$A$1:$I$89,5,0)</f>
        <v>-3.813056537183002E-14</v>
      </c>
      <c r="GB178" s="14" t="e">
        <f t="shared" si="185"/>
        <v>#NUM!</v>
      </c>
      <c r="GC178" s="22" t="e">
        <f t="shared" si="186"/>
        <v>#NUM!</v>
      </c>
      <c r="GD178" s="62" t="e">
        <f t="shared" si="134"/>
        <v>#NUM!</v>
      </c>
      <c r="GE178" s="62">
        <f ca="1">AVERAGE(OFFSET($GD$3,0,0,'Données projet'!$E$17+1,1))-AVERAGE(OFFSET($H$3,0,0,'Données projet'!$E$17+1,1))</f>
        <v>316.17772895535211</v>
      </c>
      <c r="GF178" s="62">
        <f t="shared" si="158"/>
        <v>251.94445589652992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69.07628020791681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3.95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14.483333333333334</v>
      </c>
      <c r="H179" s="70">
        <f t="shared" si="110"/>
        <v>198.73333333333335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297.99999999999977</v>
      </c>
      <c r="O179" s="14">
        <f>N179*VLOOKUP('Données projet'!$B$9,Paramètres!$A$1:$I$89,3,0)*VLOOKUP('Données projet'!$B$9,Paramètres!$A$1:$I$89,5,0)</f>
        <v>251.0351999999998</v>
      </c>
      <c r="P179" s="14">
        <f t="shared" si="141"/>
        <v>60.807560012183302</v>
      </c>
      <c r="Q179" s="22">
        <f t="shared" si="162"/>
        <v>543.12614035455226</v>
      </c>
      <c r="R179" s="62">
        <f t="shared" si="109"/>
        <v>833.13125751888401</v>
      </c>
      <c r="S179" s="62">
        <f ca="1">AVERAGE(OFFSET($R$3,0,0,'Données projet'!$E$9+1,1))-AVERAGE(OFFSET($H$3,0,0,'Données projet'!$E$9+1,1))</f>
        <v>508.93703669150443</v>
      </c>
      <c r="T179" s="62">
        <f t="shared" si="142"/>
        <v>277.04920840696707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-9.6633812063373625E-13</v>
      </c>
      <c r="AJ179" s="14">
        <f>AI179*VLOOKUP('Données projet'!$B$10,Paramètres!$A$1:$I$89,3,0)*VLOOKUP('Données projet'!$B$10,Paramètres!$A$1:$I$89,5,0)</f>
        <v>-8.7434273154940449E-13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461.10503306101145</v>
      </c>
      <c r="AO179" s="62">
        <f t="shared" si="144"/>
        <v>262.10652147273288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-2.2737367544323206E-13</v>
      </c>
      <c r="BE179" s="14">
        <f>BD179*VLOOKUP('Données projet'!$B$11,Paramètres!$A$1:$I$89,3,0)*VLOOKUP('Données projet'!$B$11,Paramètres!$A$1:$I$89,5,0)</f>
        <v>-1.8089849618263545E-13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389.67854939311752</v>
      </c>
      <c r="BJ179" s="62">
        <f t="shared" si="146"/>
        <v>420.05189970516096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-1.0516032489249483E-12</v>
      </c>
      <c r="BZ179" s="14">
        <f>BY179*VLOOKUP('Données projet'!$B$12,Paramètres!$A$1:$I$89,3,0)*VLOOKUP('Données projet'!$B$12,Paramètres!$A$1:$I$89,5,0)</f>
        <v>-6.0151705838507046E-13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312.16891625633968</v>
      </c>
      <c r="CE179" s="62">
        <f t="shared" si="148"/>
        <v>215.34305815516177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0.20970484203232903</v>
      </c>
      <c r="CM179" s="23">
        <f>EXP(-LN(2)/2)*CM178+(1-EXP(-LN(2)/2))/(LN(2)/2)*CG179*CJ179*VLOOKUP('Données projet'!$B$12,Paramètres!$A$1:$I$89,3,0)*0.475*44/12</f>
        <v>8.6265970419596693E-22</v>
      </c>
      <c r="CN179" s="24">
        <f t="shared" si="172"/>
        <v>0.20970484203232903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3.979039320256561E-13</v>
      </c>
      <c r="CU179" s="18">
        <f>CT179*VLOOKUP('Données projet'!$B$13,Paramètres!$A$1:$I$89,3,0)*VLOOKUP('Données projet'!$B$13,Paramètres!$A$1:$I$89,5,0)</f>
        <v>2.669139576028101E-13</v>
      </c>
      <c r="CV179" s="14">
        <f t="shared" si="173"/>
        <v>3.5767923834585247E-12</v>
      </c>
      <c r="CW179" s="22">
        <f t="shared" si="174"/>
        <v>6.6944552106818241E-12</v>
      </c>
      <c r="CX179" s="62">
        <f t="shared" si="122"/>
        <v>290.0051171643384</v>
      </c>
      <c r="CY179" s="62">
        <f ca="1">AVERAGE(OFFSET($CX$3,0,0,'Données projet'!$E$13+1,1))-AVERAGE(OFFSET($H$3,0,0,'Données projet'!$E$13+1,1))</f>
        <v>369.04754428478793</v>
      </c>
      <c r="CZ179" s="62">
        <f t="shared" si="150"/>
        <v>277.00523259351712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1.1368683772161603E-13</v>
      </c>
      <c r="DP179" s="18">
        <f>DO179*VLOOKUP('Données projet'!$B$14,Paramètres!$A$1:$I$89,3,0)*VLOOKUP('Données projet'!$B$14,Paramètres!$A$1:$I$89,5,0)</f>
        <v>8.8675733422860506E-14</v>
      </c>
      <c r="DQ179" s="14">
        <f t="shared" si="176"/>
        <v>1.3509285393066301E-12</v>
      </c>
      <c r="DR179" s="22">
        <f t="shared" si="177"/>
        <v>2.5073107750038623E-12</v>
      </c>
      <c r="DS179" s="62">
        <f t="shared" si="125"/>
        <v>290.00511716433419</v>
      </c>
      <c r="DT179" s="62">
        <f ca="1">AVERAGE(OFFSET($DS$3,0,0,'Données projet'!$E$14+1,1))-AVERAGE(OFFSET($H$3,0,0,'Données projet'!$E$14+1,1))</f>
        <v>308.39181291575227</v>
      </c>
      <c r="DU179" s="62">
        <f t="shared" si="152"/>
        <v>298.58225298824334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-9.6633812063373625E-13</v>
      </c>
      <c r="EK179" s="18">
        <f>EJ179*VLOOKUP('Données projet'!$B$15,Paramètres!$A$1:$I$89,3,0)*VLOOKUP('Données projet'!$B$15,Paramètres!$A$1:$I$89,5,0)</f>
        <v>-9.3464223027694966E-13</v>
      </c>
      <c r="EL179" s="14" t="e">
        <f t="shared" si="179"/>
        <v>#NUM!</v>
      </c>
      <c r="EM179" s="22" t="e">
        <f t="shared" si="180"/>
        <v>#NUM!</v>
      </c>
      <c r="EN179" s="62" t="e">
        <f t="shared" si="128"/>
        <v>#NUM!</v>
      </c>
      <c r="EO179" s="62">
        <f ca="1">AVERAGE(OFFSET($EN$3,0,0,'Données projet'!$E$15+1,1))-AVERAGE(OFFSET($H$3,0,0,'Données projet'!$E$15+1,1))</f>
        <v>487.76433095707876</v>
      </c>
      <c r="EP179" s="62">
        <f t="shared" si="154"/>
        <v>276.24209151398361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-9.6633812063373625E-13</v>
      </c>
      <c r="FF179" s="18">
        <f>FE179*VLOOKUP('Données projet'!$B$16,Paramètres!$A$1:$I$89,3,0)*VLOOKUP('Données projet'!$B$16,Paramètres!$A$1:$I$89,5,0)</f>
        <v>-1.0401663530501537E-12</v>
      </c>
      <c r="FG179" s="14" t="e">
        <f t="shared" si="182"/>
        <v>#NUM!</v>
      </c>
      <c r="FH179" s="22" t="e">
        <f t="shared" si="183"/>
        <v>#NUM!</v>
      </c>
      <c r="FI179" s="62" t="e">
        <f t="shared" si="131"/>
        <v>#NUM!</v>
      </c>
      <c r="FJ179" s="62">
        <f ca="1">AVERAGE(OFFSET($FI$3,0,0,'Données projet'!$E$16+1,1))-AVERAGE(OFFSET($H$3,0,0,'Données projet'!$E$16+1,1))</f>
        <v>534.33392288300456</v>
      </c>
      <c r="FK179" s="62">
        <f t="shared" si="156"/>
        <v>300.93109615735477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-5.6843418860808015E-14</v>
      </c>
      <c r="GA179" s="18">
        <f>FZ179*VLOOKUP('Données projet'!$B$17,Paramètres!$A$1:$I$89,3,0)*VLOOKUP('Données projet'!$B$17,Paramètres!$A$1:$I$89,5,0)</f>
        <v>-3.813056537183002E-14</v>
      </c>
      <c r="GB179" s="14" t="e">
        <f t="shared" si="185"/>
        <v>#NUM!</v>
      </c>
      <c r="GC179" s="22" t="e">
        <f t="shared" si="186"/>
        <v>#NUM!</v>
      </c>
      <c r="GD179" s="62" t="e">
        <f t="shared" si="134"/>
        <v>#NUM!</v>
      </c>
      <c r="GE179" s="62">
        <f ca="1">AVERAGE(OFFSET($GD$3,0,0,'Données projet'!$E$17+1,1))-AVERAGE(OFFSET($H$3,0,0,'Données projet'!$E$17+1,1))</f>
        <v>316.17772895535211</v>
      </c>
      <c r="GF179" s="62">
        <f t="shared" si="158"/>
        <v>251.94445589652992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69.092304681181375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3.95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14.483333333333334</v>
      </c>
      <c r="H180" s="70">
        <f t="shared" si="110"/>
        <v>198.73333333333335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297.99999999999977</v>
      </c>
      <c r="O180" s="14">
        <f>N180*VLOOKUP('Données projet'!$B$9,Paramètres!$A$1:$I$89,3,0)*VLOOKUP('Données projet'!$B$9,Paramètres!$A$1:$I$89,5,0)</f>
        <v>251.0351999999998</v>
      </c>
      <c r="P180" s="14">
        <f t="shared" si="141"/>
        <v>60.807560012183302</v>
      </c>
      <c r="Q180" s="22">
        <f t="shared" si="162"/>
        <v>543.12614035455226</v>
      </c>
      <c r="R180" s="62">
        <f t="shared" si="109"/>
        <v>833.18899462863942</v>
      </c>
      <c r="S180" s="62">
        <f ca="1">AVERAGE(OFFSET($R$3,0,0,'Données projet'!$E$9+1,1))-AVERAGE(OFFSET($H$3,0,0,'Données projet'!$E$9+1,1))</f>
        <v>508.93703669150443</v>
      </c>
      <c r="T180" s="62">
        <f t="shared" si="142"/>
        <v>277.04920840696707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-9.6633812063373625E-13</v>
      </c>
      <c r="AJ180" s="14">
        <f>AI180*VLOOKUP('Données projet'!$B$10,Paramètres!$A$1:$I$89,3,0)*VLOOKUP('Données projet'!$B$10,Paramètres!$A$1:$I$89,5,0)</f>
        <v>-8.7434273154940449E-13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461.10503306101145</v>
      </c>
      <c r="AO180" s="62">
        <f t="shared" si="144"/>
        <v>262.10652147273288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-2.2737367544323206E-13</v>
      </c>
      <c r="BE180" s="14">
        <f>BD180*VLOOKUP('Données projet'!$B$11,Paramètres!$A$1:$I$89,3,0)*VLOOKUP('Données projet'!$B$11,Paramètres!$A$1:$I$89,5,0)</f>
        <v>-1.8089849618263545E-13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389.67854939311752</v>
      </c>
      <c r="BJ180" s="62">
        <f t="shared" si="146"/>
        <v>420.05189970516096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-1.0516032489249483E-12</v>
      </c>
      <c r="BZ180" s="14">
        <f>BY180*VLOOKUP('Données projet'!$B$12,Paramètres!$A$1:$I$89,3,0)*VLOOKUP('Données projet'!$B$12,Paramètres!$A$1:$I$89,5,0)</f>
        <v>-6.0151705838507046E-13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312.16891625633968</v>
      </c>
      <c r="CE180" s="62">
        <f t="shared" si="148"/>
        <v>215.34305815516177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0.20397045209905665</v>
      </c>
      <c r="CM180" s="23">
        <f>EXP(-LN(2)/2)*CM179+(1-EXP(-LN(2)/2))/(LN(2)/2)*CG180*CJ180*VLOOKUP('Données projet'!$B$12,Paramètres!$A$1:$I$89,3,0)*0.475*44/12</f>
        <v>6.099925266933494E-22</v>
      </c>
      <c r="CN180" s="24">
        <f t="shared" si="172"/>
        <v>0.20397045209905665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3.979039320256561E-13</v>
      </c>
      <c r="CU180" s="18">
        <f>CT180*VLOOKUP('Données projet'!$B$13,Paramètres!$A$1:$I$89,3,0)*VLOOKUP('Données projet'!$B$13,Paramètres!$A$1:$I$89,5,0)</f>
        <v>2.669139576028101E-13</v>
      </c>
      <c r="CV180" s="14">
        <f t="shared" si="173"/>
        <v>3.5767923834585247E-12</v>
      </c>
      <c r="CW180" s="22">
        <f t="shared" si="174"/>
        <v>6.6944552106818241E-12</v>
      </c>
      <c r="CX180" s="62">
        <f t="shared" si="122"/>
        <v>290.06285427409392</v>
      </c>
      <c r="CY180" s="62">
        <f ca="1">AVERAGE(OFFSET($CX$3,0,0,'Données projet'!$E$13+1,1))-AVERAGE(OFFSET($H$3,0,0,'Données projet'!$E$13+1,1))</f>
        <v>369.04754428478793</v>
      </c>
      <c r="CZ180" s="62">
        <f t="shared" si="150"/>
        <v>277.00523259351712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1.1368683772161603E-13</v>
      </c>
      <c r="DP180" s="18">
        <f>DO180*VLOOKUP('Données projet'!$B$14,Paramètres!$A$1:$I$89,3,0)*VLOOKUP('Données projet'!$B$14,Paramètres!$A$1:$I$89,5,0)</f>
        <v>8.8675733422860506E-14</v>
      </c>
      <c r="DQ180" s="14">
        <f t="shared" si="176"/>
        <v>1.3509285393066301E-12</v>
      </c>
      <c r="DR180" s="22">
        <f t="shared" si="177"/>
        <v>2.5073107750038623E-12</v>
      </c>
      <c r="DS180" s="62">
        <f t="shared" si="125"/>
        <v>290.06285427408972</v>
      </c>
      <c r="DT180" s="62">
        <f ca="1">AVERAGE(OFFSET($DS$3,0,0,'Données projet'!$E$14+1,1))-AVERAGE(OFFSET($H$3,0,0,'Données projet'!$E$14+1,1))</f>
        <v>308.39181291575227</v>
      </c>
      <c r="DU180" s="62">
        <f t="shared" si="152"/>
        <v>298.58225298824334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-9.6633812063373625E-13</v>
      </c>
      <c r="EK180" s="18">
        <f>EJ180*VLOOKUP('Données projet'!$B$15,Paramètres!$A$1:$I$89,3,0)*VLOOKUP('Données projet'!$B$15,Paramètres!$A$1:$I$89,5,0)</f>
        <v>-9.3464223027694966E-13</v>
      </c>
      <c r="EL180" s="14" t="e">
        <f t="shared" si="179"/>
        <v>#NUM!</v>
      </c>
      <c r="EM180" s="22" t="e">
        <f t="shared" si="180"/>
        <v>#NUM!</v>
      </c>
      <c r="EN180" s="62" t="e">
        <f t="shared" si="128"/>
        <v>#NUM!</v>
      </c>
      <c r="EO180" s="62">
        <f ca="1">AVERAGE(OFFSET($EN$3,0,0,'Données projet'!$E$15+1,1))-AVERAGE(OFFSET($H$3,0,0,'Données projet'!$E$15+1,1))</f>
        <v>487.76433095707876</v>
      </c>
      <c r="EP180" s="62">
        <f t="shared" si="154"/>
        <v>276.24209151398361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-9.6633812063373625E-13</v>
      </c>
      <c r="FF180" s="18">
        <f>FE180*VLOOKUP('Données projet'!$B$16,Paramètres!$A$1:$I$89,3,0)*VLOOKUP('Données projet'!$B$16,Paramètres!$A$1:$I$89,5,0)</f>
        <v>-1.0401663530501537E-12</v>
      </c>
      <c r="FG180" s="14" t="e">
        <f t="shared" si="182"/>
        <v>#NUM!</v>
      </c>
      <c r="FH180" s="22" t="e">
        <f t="shared" si="183"/>
        <v>#NUM!</v>
      </c>
      <c r="FI180" s="62" t="e">
        <f t="shared" si="131"/>
        <v>#NUM!</v>
      </c>
      <c r="FJ180" s="62">
        <f ca="1">AVERAGE(OFFSET($FI$3,0,0,'Données projet'!$E$16+1,1))-AVERAGE(OFFSET($H$3,0,0,'Données projet'!$E$16+1,1))</f>
        <v>534.33392288300456</v>
      </c>
      <c r="FK180" s="62">
        <f t="shared" si="156"/>
        <v>300.93109615735477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-5.6843418860808015E-14</v>
      </c>
      <c r="GA180" s="18">
        <f>FZ180*VLOOKUP('Données projet'!$B$17,Paramètres!$A$1:$I$89,3,0)*VLOOKUP('Données projet'!$B$17,Paramètres!$A$1:$I$89,5,0)</f>
        <v>-3.813056537183002E-14</v>
      </c>
      <c r="GB180" s="14" t="e">
        <f t="shared" si="185"/>
        <v>#NUM!</v>
      </c>
      <c r="GC180" s="22" t="e">
        <f t="shared" si="186"/>
        <v>#NUM!</v>
      </c>
      <c r="GD180" s="62" t="e">
        <f t="shared" si="134"/>
        <v>#NUM!</v>
      </c>
      <c r="GE180" s="62">
        <f ca="1">AVERAGE(OFFSET($GD$3,0,0,'Données projet'!$E$17+1,1))-AVERAGE(OFFSET($H$3,0,0,'Données projet'!$E$17+1,1))</f>
        <v>316.17772895535211</v>
      </c>
      <c r="GF180" s="62">
        <f t="shared" si="158"/>
        <v>251.94445589652992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69.108051165660157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3.95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14.483333333333334</v>
      </c>
      <c r="H181" s="70">
        <f t="shared" si="110"/>
        <v>198.73333333333335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297.99999999999977</v>
      </c>
      <c r="O181" s="14">
        <f>N181*VLOOKUP('Données projet'!$B$9,Paramètres!$A$1:$I$89,3,0)*VLOOKUP('Données projet'!$B$9,Paramètres!$A$1:$I$89,5,0)</f>
        <v>251.0351999999998</v>
      </c>
      <c r="P181" s="14">
        <f t="shared" si="141"/>
        <v>60.807560012183302</v>
      </c>
      <c r="Q181" s="22">
        <f t="shared" si="162"/>
        <v>543.12614035455226</v>
      </c>
      <c r="R181" s="62">
        <f t="shared" si="109"/>
        <v>833.24573012862163</v>
      </c>
      <c r="S181" s="62">
        <f ca="1">AVERAGE(OFFSET($R$3,0,0,'Données projet'!$E$9+1,1))-AVERAGE(OFFSET($H$3,0,0,'Données projet'!$E$9+1,1))</f>
        <v>508.93703669150443</v>
      </c>
      <c r="T181" s="62">
        <f t="shared" si="142"/>
        <v>277.04920840696707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-9.6633812063373625E-13</v>
      </c>
      <c r="AJ181" s="14">
        <f>AI181*VLOOKUP('Données projet'!$B$10,Paramètres!$A$1:$I$89,3,0)*VLOOKUP('Données projet'!$B$10,Paramètres!$A$1:$I$89,5,0)</f>
        <v>-8.7434273154940449E-13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461.10503306101145</v>
      </c>
      <c r="AO181" s="62">
        <f t="shared" si="144"/>
        <v>262.10652147273288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-2.2737367544323206E-13</v>
      </c>
      <c r="BE181" s="14">
        <f>BD181*VLOOKUP('Données projet'!$B$11,Paramètres!$A$1:$I$89,3,0)*VLOOKUP('Données projet'!$B$11,Paramètres!$A$1:$I$89,5,0)</f>
        <v>-1.8089849618263545E-13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389.67854939311752</v>
      </c>
      <c r="BJ181" s="62">
        <f t="shared" si="146"/>
        <v>420.05189970516096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-1.0516032489249483E-12</v>
      </c>
      <c r="BZ181" s="14">
        <f>BY181*VLOOKUP('Données projet'!$B$12,Paramètres!$A$1:$I$89,3,0)*VLOOKUP('Données projet'!$B$12,Paramètres!$A$1:$I$89,5,0)</f>
        <v>-6.0151705838507046E-13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312.16891625633968</v>
      </c>
      <c r="CE181" s="62">
        <f t="shared" si="148"/>
        <v>215.34305815516177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0.19839286936006806</v>
      </c>
      <c r="CM181" s="23">
        <f>EXP(-LN(2)/2)*CM180+(1-EXP(-LN(2)/2))/(LN(2)/2)*CG181*CJ181*VLOOKUP('Données projet'!$B$12,Paramètres!$A$1:$I$89,3,0)*0.475*44/12</f>
        <v>4.3132985209798346E-22</v>
      </c>
      <c r="CN181" s="24">
        <f t="shared" si="172"/>
        <v>0.19839286936006806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3.979039320256561E-13</v>
      </c>
      <c r="CU181" s="18">
        <f>CT181*VLOOKUP('Données projet'!$B$13,Paramètres!$A$1:$I$89,3,0)*VLOOKUP('Données projet'!$B$13,Paramètres!$A$1:$I$89,5,0)</f>
        <v>2.669139576028101E-13</v>
      </c>
      <c r="CV181" s="14">
        <f t="shared" si="173"/>
        <v>3.5767923834585247E-12</v>
      </c>
      <c r="CW181" s="22">
        <f t="shared" si="174"/>
        <v>6.6944552106818241E-12</v>
      </c>
      <c r="CX181" s="62">
        <f t="shared" si="122"/>
        <v>290.11958977407608</v>
      </c>
      <c r="CY181" s="62">
        <f ca="1">AVERAGE(OFFSET($CX$3,0,0,'Données projet'!$E$13+1,1))-AVERAGE(OFFSET($H$3,0,0,'Données projet'!$E$13+1,1))</f>
        <v>369.04754428478793</v>
      </c>
      <c r="CZ181" s="62">
        <f t="shared" si="150"/>
        <v>277.00523259351712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1.1368683772161603E-13</v>
      </c>
      <c r="DP181" s="18">
        <f>DO181*VLOOKUP('Données projet'!$B$14,Paramètres!$A$1:$I$89,3,0)*VLOOKUP('Données projet'!$B$14,Paramètres!$A$1:$I$89,5,0)</f>
        <v>8.8675733422860506E-14</v>
      </c>
      <c r="DQ181" s="14">
        <f t="shared" si="176"/>
        <v>1.3509285393066301E-12</v>
      </c>
      <c r="DR181" s="22">
        <f t="shared" si="177"/>
        <v>2.5073107750038623E-12</v>
      </c>
      <c r="DS181" s="62">
        <f t="shared" si="125"/>
        <v>290.11958977407187</v>
      </c>
      <c r="DT181" s="62">
        <f ca="1">AVERAGE(OFFSET($DS$3,0,0,'Données projet'!$E$14+1,1))-AVERAGE(OFFSET($H$3,0,0,'Données projet'!$E$14+1,1))</f>
        <v>308.39181291575227</v>
      </c>
      <c r="DU181" s="62">
        <f t="shared" si="152"/>
        <v>298.58225298824334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-9.6633812063373625E-13</v>
      </c>
      <c r="EK181" s="18">
        <f>EJ181*VLOOKUP('Données projet'!$B$15,Paramètres!$A$1:$I$89,3,0)*VLOOKUP('Données projet'!$B$15,Paramètres!$A$1:$I$89,5,0)</f>
        <v>-9.3464223027694966E-13</v>
      </c>
      <c r="EL181" s="14" t="e">
        <f t="shared" si="179"/>
        <v>#NUM!</v>
      </c>
      <c r="EM181" s="22" t="e">
        <f t="shared" si="180"/>
        <v>#NUM!</v>
      </c>
      <c r="EN181" s="62" t="e">
        <f t="shared" si="128"/>
        <v>#NUM!</v>
      </c>
      <c r="EO181" s="62">
        <f ca="1">AVERAGE(OFFSET($EN$3,0,0,'Données projet'!$E$15+1,1))-AVERAGE(OFFSET($H$3,0,0,'Données projet'!$E$15+1,1))</f>
        <v>487.76433095707876</v>
      </c>
      <c r="EP181" s="62">
        <f t="shared" si="154"/>
        <v>276.24209151398361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-9.6633812063373625E-13</v>
      </c>
      <c r="FF181" s="18">
        <f>FE181*VLOOKUP('Données projet'!$B$16,Paramètres!$A$1:$I$89,3,0)*VLOOKUP('Données projet'!$B$16,Paramètres!$A$1:$I$89,5,0)</f>
        <v>-1.0401663530501537E-12</v>
      </c>
      <c r="FG181" s="14" t="e">
        <f t="shared" si="182"/>
        <v>#NUM!</v>
      </c>
      <c r="FH181" s="22" t="e">
        <f t="shared" si="183"/>
        <v>#NUM!</v>
      </c>
      <c r="FI181" s="62" t="e">
        <f t="shared" si="131"/>
        <v>#NUM!</v>
      </c>
      <c r="FJ181" s="62">
        <f ca="1">AVERAGE(OFFSET($FI$3,0,0,'Données projet'!$E$16+1,1))-AVERAGE(OFFSET($H$3,0,0,'Données projet'!$E$16+1,1))</f>
        <v>534.33392288300456</v>
      </c>
      <c r="FK181" s="62">
        <f t="shared" si="156"/>
        <v>300.93109615735477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-5.6843418860808015E-14</v>
      </c>
      <c r="GA181" s="18">
        <f>FZ181*VLOOKUP('Données projet'!$B$17,Paramètres!$A$1:$I$89,3,0)*VLOOKUP('Données projet'!$B$17,Paramètres!$A$1:$I$89,5,0)</f>
        <v>-3.813056537183002E-14</v>
      </c>
      <c r="GB181" s="14" t="e">
        <f t="shared" si="185"/>
        <v>#NUM!</v>
      </c>
      <c r="GC181" s="22" t="e">
        <f t="shared" si="186"/>
        <v>#NUM!</v>
      </c>
      <c r="GD181" s="62" t="e">
        <f t="shared" si="134"/>
        <v>#NUM!</v>
      </c>
      <c r="GE181" s="62">
        <f ca="1">AVERAGE(OFFSET($GD$3,0,0,'Données projet'!$E$17+1,1))-AVERAGE(OFFSET($H$3,0,0,'Données projet'!$E$17+1,1))</f>
        <v>316.17772895535211</v>
      </c>
      <c r="GF181" s="62">
        <f t="shared" si="158"/>
        <v>251.94445589652992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69.123524483837102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3.95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14.483333333333334</v>
      </c>
      <c r="H182" s="70">
        <f t="shared" si="110"/>
        <v>198.73333333333335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297.99999999999977</v>
      </c>
      <c r="O182" s="14">
        <f>N182*VLOOKUP('Données projet'!$B$9,Paramètres!$A$1:$I$89,3,0)*VLOOKUP('Données projet'!$B$9,Paramètres!$A$1:$I$89,5,0)</f>
        <v>251.0351999999998</v>
      </c>
      <c r="P182" s="14">
        <f t="shared" si="141"/>
        <v>60.807560012183302</v>
      </c>
      <c r="Q182" s="22">
        <f t="shared" si="162"/>
        <v>543.12614035455226</v>
      </c>
      <c r="R182" s="62">
        <f t="shared" si="109"/>
        <v>833.30148139452058</v>
      </c>
      <c r="S182" s="62">
        <f ca="1">AVERAGE(OFFSET($R$3,0,0,'Données projet'!$E$9+1,1))-AVERAGE(OFFSET($H$3,0,0,'Données projet'!$E$9+1,1))</f>
        <v>508.93703669150443</v>
      </c>
      <c r="T182" s="62">
        <f t="shared" si="142"/>
        <v>277.04920840696707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-9.6633812063373625E-13</v>
      </c>
      <c r="AJ182" s="14">
        <f>AI182*VLOOKUP('Données projet'!$B$10,Paramètres!$A$1:$I$89,3,0)*VLOOKUP('Données projet'!$B$10,Paramètres!$A$1:$I$89,5,0)</f>
        <v>-8.7434273154940449E-13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461.10503306101145</v>
      </c>
      <c r="AO182" s="62">
        <f t="shared" si="144"/>
        <v>262.10652147273288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-2.2737367544323206E-13</v>
      </c>
      <c r="BE182" s="14">
        <f>BD182*VLOOKUP('Données projet'!$B$11,Paramètres!$A$1:$I$89,3,0)*VLOOKUP('Données projet'!$B$11,Paramètres!$A$1:$I$89,5,0)</f>
        <v>-1.8089849618263545E-13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389.67854939311752</v>
      </c>
      <c r="BJ182" s="62">
        <f t="shared" si="146"/>
        <v>420.05189970516096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-1.0516032489249483E-12</v>
      </c>
      <c r="BZ182" s="14">
        <f>BY182*VLOOKUP('Données projet'!$B$12,Paramètres!$A$1:$I$89,3,0)*VLOOKUP('Données projet'!$B$12,Paramètres!$A$1:$I$89,5,0)</f>
        <v>-6.0151705838507046E-13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312.16891625633968</v>
      </c>
      <c r="CE182" s="62">
        <f t="shared" si="148"/>
        <v>215.34305815516177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0.19296780591438942</v>
      </c>
      <c r="CM182" s="23">
        <f>EXP(-LN(2)/2)*CM181+(1-EXP(-LN(2)/2))/(LN(2)/2)*CG182*CJ182*VLOOKUP('Données projet'!$B$12,Paramètres!$A$1:$I$89,3,0)*0.475*44/12</f>
        <v>3.049962633466747E-22</v>
      </c>
      <c r="CN182" s="24">
        <f t="shared" si="172"/>
        <v>0.19296780591438942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3.979039320256561E-13</v>
      </c>
      <c r="CU182" s="18">
        <f>CT182*VLOOKUP('Données projet'!$B$13,Paramètres!$A$1:$I$89,3,0)*VLOOKUP('Données projet'!$B$13,Paramètres!$A$1:$I$89,5,0)</f>
        <v>2.669139576028101E-13</v>
      </c>
      <c r="CV182" s="14">
        <f t="shared" si="173"/>
        <v>3.5767923834585247E-12</v>
      </c>
      <c r="CW182" s="22">
        <f t="shared" si="174"/>
        <v>6.6944552106818241E-12</v>
      </c>
      <c r="CX182" s="62">
        <f t="shared" si="122"/>
        <v>290.17534103997508</v>
      </c>
      <c r="CY182" s="62">
        <f ca="1">AVERAGE(OFFSET($CX$3,0,0,'Données projet'!$E$13+1,1))-AVERAGE(OFFSET($H$3,0,0,'Données projet'!$E$13+1,1))</f>
        <v>369.04754428478793</v>
      </c>
      <c r="CZ182" s="62">
        <f t="shared" si="150"/>
        <v>277.00523259351712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1.1368683772161603E-13</v>
      </c>
      <c r="DP182" s="18">
        <f>DO182*VLOOKUP('Données projet'!$B$14,Paramètres!$A$1:$I$89,3,0)*VLOOKUP('Données projet'!$B$14,Paramètres!$A$1:$I$89,5,0)</f>
        <v>8.8675733422860506E-14</v>
      </c>
      <c r="DQ182" s="14">
        <f t="shared" si="176"/>
        <v>1.3509285393066301E-12</v>
      </c>
      <c r="DR182" s="22">
        <f t="shared" si="177"/>
        <v>2.5073107750038623E-12</v>
      </c>
      <c r="DS182" s="62">
        <f t="shared" si="125"/>
        <v>290.17534103997087</v>
      </c>
      <c r="DT182" s="62">
        <f ca="1">AVERAGE(OFFSET($DS$3,0,0,'Données projet'!$E$14+1,1))-AVERAGE(OFFSET($H$3,0,0,'Données projet'!$E$14+1,1))</f>
        <v>308.39181291575227</v>
      </c>
      <c r="DU182" s="62">
        <f t="shared" si="152"/>
        <v>298.58225298824334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-9.6633812063373625E-13</v>
      </c>
      <c r="EK182" s="18">
        <f>EJ182*VLOOKUP('Données projet'!$B$15,Paramètres!$A$1:$I$89,3,0)*VLOOKUP('Données projet'!$B$15,Paramètres!$A$1:$I$89,5,0)</f>
        <v>-9.3464223027694966E-13</v>
      </c>
      <c r="EL182" s="14" t="e">
        <f t="shared" si="179"/>
        <v>#NUM!</v>
      </c>
      <c r="EM182" s="22" t="e">
        <f t="shared" si="180"/>
        <v>#NUM!</v>
      </c>
      <c r="EN182" s="62" t="e">
        <f t="shared" si="128"/>
        <v>#NUM!</v>
      </c>
      <c r="EO182" s="62">
        <f ca="1">AVERAGE(OFFSET($EN$3,0,0,'Données projet'!$E$15+1,1))-AVERAGE(OFFSET($H$3,0,0,'Données projet'!$E$15+1,1))</f>
        <v>487.76433095707876</v>
      </c>
      <c r="EP182" s="62">
        <f t="shared" si="154"/>
        <v>276.24209151398361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-9.6633812063373625E-13</v>
      </c>
      <c r="FF182" s="18">
        <f>FE182*VLOOKUP('Données projet'!$B$16,Paramètres!$A$1:$I$89,3,0)*VLOOKUP('Données projet'!$B$16,Paramètres!$A$1:$I$89,5,0)</f>
        <v>-1.0401663530501537E-12</v>
      </c>
      <c r="FG182" s="14" t="e">
        <f t="shared" si="182"/>
        <v>#NUM!</v>
      </c>
      <c r="FH182" s="22" t="e">
        <f t="shared" si="183"/>
        <v>#NUM!</v>
      </c>
      <c r="FI182" s="62" t="e">
        <f t="shared" si="131"/>
        <v>#NUM!</v>
      </c>
      <c r="FJ182" s="62">
        <f ca="1">AVERAGE(OFFSET($FI$3,0,0,'Données projet'!$E$16+1,1))-AVERAGE(OFFSET($H$3,0,0,'Données projet'!$E$16+1,1))</f>
        <v>534.33392288300456</v>
      </c>
      <c r="FK182" s="62">
        <f t="shared" si="156"/>
        <v>300.93109615735477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-5.6843418860808015E-14</v>
      </c>
      <c r="GA182" s="18">
        <f>FZ182*VLOOKUP('Données projet'!$B$17,Paramètres!$A$1:$I$89,3,0)*VLOOKUP('Données projet'!$B$17,Paramètres!$A$1:$I$89,5,0)</f>
        <v>-3.813056537183002E-14</v>
      </c>
      <c r="GB182" s="14" t="e">
        <f t="shared" si="185"/>
        <v>#NUM!</v>
      </c>
      <c r="GC182" s="22" t="e">
        <f t="shared" si="186"/>
        <v>#NUM!</v>
      </c>
      <c r="GD182" s="62" t="e">
        <f t="shared" si="134"/>
        <v>#NUM!</v>
      </c>
      <c r="GE182" s="62">
        <f ca="1">AVERAGE(OFFSET($GD$3,0,0,'Données projet'!$E$17+1,1))-AVERAGE(OFFSET($H$3,0,0,'Données projet'!$E$17+1,1))</f>
        <v>316.17772895535211</v>
      </c>
      <c r="GF182" s="62">
        <f t="shared" si="158"/>
        <v>251.94445589652992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69.138729374536823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3.95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14.483333333333334</v>
      </c>
      <c r="H183" s="70">
        <f t="shared" si="110"/>
        <v>198.73333333333335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297.99999999999977</v>
      </c>
      <c r="O183" s="14">
        <f>N183*VLOOKUP('Données projet'!$B$9,Paramètres!$A$1:$I$89,3,0)*VLOOKUP('Données projet'!$B$9,Paramètres!$A$1:$I$89,5,0)</f>
        <v>251.0351999999998</v>
      </c>
      <c r="P183" s="14">
        <f t="shared" si="141"/>
        <v>60.807560012183302</v>
      </c>
      <c r="Q183" s="22">
        <f t="shared" si="162"/>
        <v>543.12614035455226</v>
      </c>
      <c r="R183" s="62">
        <f t="shared" si="109"/>
        <v>833.35626550059737</v>
      </c>
      <c r="S183" s="62">
        <f ca="1">AVERAGE(OFFSET($R$3,0,0,'Données projet'!$E$9+1,1))-AVERAGE(OFFSET($H$3,0,0,'Données projet'!$E$9+1,1))</f>
        <v>508.93703669150443</v>
      </c>
      <c r="T183" s="62">
        <f t="shared" si="142"/>
        <v>277.04920840696707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-9.6633812063373625E-13</v>
      </c>
      <c r="AJ183" s="14">
        <f>AI183*VLOOKUP('Données projet'!$B$10,Paramètres!$A$1:$I$89,3,0)*VLOOKUP('Données projet'!$B$10,Paramètres!$A$1:$I$89,5,0)</f>
        <v>-8.7434273154940449E-13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461.10503306101145</v>
      </c>
      <c r="AO183" s="62">
        <f t="shared" si="144"/>
        <v>262.10652147273288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-2.2737367544323206E-13</v>
      </c>
      <c r="BE183" s="14">
        <f>BD183*VLOOKUP('Données projet'!$B$11,Paramètres!$A$1:$I$89,3,0)*VLOOKUP('Données projet'!$B$11,Paramètres!$A$1:$I$89,5,0)</f>
        <v>-1.8089849618263545E-13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389.67854939311752</v>
      </c>
      <c r="BJ183" s="62">
        <f t="shared" si="146"/>
        <v>420.05189970516096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-1.0516032489249483E-12</v>
      </c>
      <c r="BZ183" s="14">
        <f>BY183*VLOOKUP('Données projet'!$B$12,Paramètres!$A$1:$I$89,3,0)*VLOOKUP('Données projet'!$B$12,Paramètres!$A$1:$I$89,5,0)</f>
        <v>-6.0151705838507046E-13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312.16891625633968</v>
      </c>
      <c r="CE183" s="62">
        <f t="shared" si="148"/>
        <v>215.34305815516177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0.18769109111392457</v>
      </c>
      <c r="CM183" s="23">
        <f>EXP(-LN(2)/2)*CM182+(1-EXP(-LN(2)/2))/(LN(2)/2)*CG183*CJ183*VLOOKUP('Données projet'!$B$12,Paramètres!$A$1:$I$89,3,0)*0.475*44/12</f>
        <v>2.1566492604899173E-22</v>
      </c>
      <c r="CN183" s="24">
        <f t="shared" si="172"/>
        <v>0.18769109111392457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3.979039320256561E-13</v>
      </c>
      <c r="CU183" s="18">
        <f>CT183*VLOOKUP('Données projet'!$B$13,Paramètres!$A$1:$I$89,3,0)*VLOOKUP('Données projet'!$B$13,Paramètres!$A$1:$I$89,5,0)</f>
        <v>2.669139576028101E-13</v>
      </c>
      <c r="CV183" s="14">
        <f t="shared" si="173"/>
        <v>3.5767923834585247E-12</v>
      </c>
      <c r="CW183" s="22">
        <f t="shared" si="174"/>
        <v>6.6944552106818241E-12</v>
      </c>
      <c r="CX183" s="62">
        <f t="shared" si="122"/>
        <v>290.23012514605188</v>
      </c>
      <c r="CY183" s="62">
        <f ca="1">AVERAGE(OFFSET($CX$3,0,0,'Données projet'!$E$13+1,1))-AVERAGE(OFFSET($H$3,0,0,'Données projet'!$E$13+1,1))</f>
        <v>369.04754428478793</v>
      </c>
      <c r="CZ183" s="62">
        <f t="shared" si="150"/>
        <v>277.00523259351712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1.1368683772161603E-13</v>
      </c>
      <c r="DP183" s="18">
        <f>DO183*VLOOKUP('Données projet'!$B$14,Paramètres!$A$1:$I$89,3,0)*VLOOKUP('Données projet'!$B$14,Paramètres!$A$1:$I$89,5,0)</f>
        <v>8.8675733422860506E-14</v>
      </c>
      <c r="DQ183" s="14">
        <f t="shared" si="176"/>
        <v>1.3509285393066301E-12</v>
      </c>
      <c r="DR183" s="22">
        <f t="shared" si="177"/>
        <v>2.5073107750038623E-12</v>
      </c>
      <c r="DS183" s="62">
        <f t="shared" si="125"/>
        <v>290.23012514604767</v>
      </c>
      <c r="DT183" s="62">
        <f ca="1">AVERAGE(OFFSET($DS$3,0,0,'Données projet'!$E$14+1,1))-AVERAGE(OFFSET($H$3,0,0,'Données projet'!$E$14+1,1))</f>
        <v>308.39181291575227</v>
      </c>
      <c r="DU183" s="62">
        <f t="shared" si="152"/>
        <v>298.58225298824334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-9.6633812063373625E-13</v>
      </c>
      <c r="EK183" s="18">
        <f>EJ183*VLOOKUP('Données projet'!$B$15,Paramètres!$A$1:$I$89,3,0)*VLOOKUP('Données projet'!$B$15,Paramètres!$A$1:$I$89,5,0)</f>
        <v>-9.3464223027694966E-13</v>
      </c>
      <c r="EL183" s="14" t="e">
        <f t="shared" si="179"/>
        <v>#NUM!</v>
      </c>
      <c r="EM183" s="22" t="e">
        <f t="shared" si="180"/>
        <v>#NUM!</v>
      </c>
      <c r="EN183" s="62" t="e">
        <f t="shared" si="128"/>
        <v>#NUM!</v>
      </c>
      <c r="EO183" s="62">
        <f ca="1">AVERAGE(OFFSET($EN$3,0,0,'Données projet'!$E$15+1,1))-AVERAGE(OFFSET($H$3,0,0,'Données projet'!$E$15+1,1))</f>
        <v>487.76433095707876</v>
      </c>
      <c r="EP183" s="62">
        <f t="shared" si="154"/>
        <v>276.24209151398361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-9.6633812063373625E-13</v>
      </c>
      <c r="FF183" s="18">
        <f>FE183*VLOOKUP('Données projet'!$B$16,Paramètres!$A$1:$I$89,3,0)*VLOOKUP('Données projet'!$B$16,Paramètres!$A$1:$I$89,5,0)</f>
        <v>-1.0401663530501537E-12</v>
      </c>
      <c r="FG183" s="14" t="e">
        <f t="shared" si="182"/>
        <v>#NUM!</v>
      </c>
      <c r="FH183" s="22" t="e">
        <f t="shared" si="183"/>
        <v>#NUM!</v>
      </c>
      <c r="FI183" s="62" t="e">
        <f t="shared" si="131"/>
        <v>#NUM!</v>
      </c>
      <c r="FJ183" s="62">
        <f ca="1">AVERAGE(OFFSET($FI$3,0,0,'Données projet'!$E$16+1,1))-AVERAGE(OFFSET($H$3,0,0,'Données projet'!$E$16+1,1))</f>
        <v>534.33392288300456</v>
      </c>
      <c r="FK183" s="62">
        <f t="shared" si="156"/>
        <v>300.93109615735477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-5.6843418860808015E-14</v>
      </c>
      <c r="GA183" s="18">
        <f>FZ183*VLOOKUP('Données projet'!$B$17,Paramètres!$A$1:$I$89,3,0)*VLOOKUP('Données projet'!$B$17,Paramètres!$A$1:$I$89,5,0)</f>
        <v>-3.813056537183002E-14</v>
      </c>
      <c r="GB183" s="14" t="e">
        <f t="shared" si="185"/>
        <v>#NUM!</v>
      </c>
      <c r="GC183" s="22" t="e">
        <f t="shared" si="186"/>
        <v>#NUM!</v>
      </c>
      <c r="GD183" s="62" t="e">
        <f t="shared" si="134"/>
        <v>#NUM!</v>
      </c>
      <c r="GE183" s="62">
        <f ca="1">AVERAGE(OFFSET($GD$3,0,0,'Données projet'!$E$17+1,1))-AVERAGE(OFFSET($H$3,0,0,'Données projet'!$E$17+1,1))</f>
        <v>316.17772895535211</v>
      </c>
      <c r="GF183" s="62">
        <f t="shared" si="158"/>
        <v>251.94445589652992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69.153670494375959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3.95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14.483333333333334</v>
      </c>
      <c r="H184" s="70">
        <f t="shared" si="110"/>
        <v>198.73333333333335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297.99999999999977</v>
      </c>
      <c r="O184" s="14">
        <f>N184*VLOOKUP('Données projet'!$B$9,Paramètres!$A$1:$I$89,3,0)*VLOOKUP('Données projet'!$B$9,Paramètres!$A$1:$I$89,5,0)</f>
        <v>251.0351999999998</v>
      </c>
      <c r="P184" s="14">
        <f t="shared" si="141"/>
        <v>60.807560012183302</v>
      </c>
      <c r="Q184" s="22">
        <f t="shared" si="162"/>
        <v>543.12614035455226</v>
      </c>
      <c r="R184" s="62">
        <f t="shared" si="109"/>
        <v>833.41009922491276</v>
      </c>
      <c r="S184" s="62">
        <f ca="1">AVERAGE(OFFSET($R$3,0,0,'Données projet'!$E$9+1,1))-AVERAGE(OFFSET($H$3,0,0,'Données projet'!$E$9+1,1))</f>
        <v>508.93703669150443</v>
      </c>
      <c r="T184" s="62">
        <f t="shared" si="142"/>
        <v>277.04920840696707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-9.6633812063373625E-13</v>
      </c>
      <c r="AJ184" s="14">
        <f>AI184*VLOOKUP('Données projet'!$B$10,Paramètres!$A$1:$I$89,3,0)*VLOOKUP('Données projet'!$B$10,Paramètres!$A$1:$I$89,5,0)</f>
        <v>-8.7434273154940449E-13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461.10503306101145</v>
      </c>
      <c r="AO184" s="62">
        <f t="shared" si="144"/>
        <v>262.10652147273288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-2.2737367544323206E-13</v>
      </c>
      <c r="BE184" s="14">
        <f>BD184*VLOOKUP('Données projet'!$B$11,Paramètres!$A$1:$I$89,3,0)*VLOOKUP('Données projet'!$B$11,Paramètres!$A$1:$I$89,5,0)</f>
        <v>-1.8089849618263545E-13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389.67854939311752</v>
      </c>
      <c r="BJ184" s="62">
        <f t="shared" si="146"/>
        <v>420.05189970516096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-1.0516032489249483E-12</v>
      </c>
      <c r="BZ184" s="14">
        <f>BY184*VLOOKUP('Données projet'!$B$12,Paramètres!$A$1:$I$89,3,0)*VLOOKUP('Données projet'!$B$12,Paramètres!$A$1:$I$89,5,0)</f>
        <v>-6.0151705838507046E-13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312.16891625633968</v>
      </c>
      <c r="CE184" s="62">
        <f t="shared" si="148"/>
        <v>215.34305815516177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0.1825586683571688</v>
      </c>
      <c r="CM184" s="23">
        <f>EXP(-LN(2)/2)*CM183+(1-EXP(-LN(2)/2))/(LN(2)/2)*CG184*CJ184*VLOOKUP('Données projet'!$B$12,Paramètres!$A$1:$I$89,3,0)*0.475*44/12</f>
        <v>1.5249813167333735E-22</v>
      </c>
      <c r="CN184" s="24">
        <f t="shared" si="172"/>
        <v>0.1825586683571688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3.979039320256561E-13</v>
      </c>
      <c r="CU184" s="18">
        <f>CT184*VLOOKUP('Données projet'!$B$13,Paramètres!$A$1:$I$89,3,0)*VLOOKUP('Données projet'!$B$13,Paramètres!$A$1:$I$89,5,0)</f>
        <v>2.669139576028101E-13</v>
      </c>
      <c r="CV184" s="14">
        <f t="shared" si="173"/>
        <v>3.5767923834585247E-12</v>
      </c>
      <c r="CW184" s="22">
        <f t="shared" si="174"/>
        <v>6.6944552106818241E-12</v>
      </c>
      <c r="CX184" s="62">
        <f t="shared" si="122"/>
        <v>290.28395887036714</v>
      </c>
      <c r="CY184" s="62">
        <f ca="1">AVERAGE(OFFSET($CX$3,0,0,'Données projet'!$E$13+1,1))-AVERAGE(OFFSET($H$3,0,0,'Données projet'!$E$13+1,1))</f>
        <v>369.04754428478793</v>
      </c>
      <c r="CZ184" s="62">
        <f t="shared" si="150"/>
        <v>277.00523259351712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1.1368683772161603E-13</v>
      </c>
      <c r="DP184" s="18">
        <f>DO184*VLOOKUP('Données projet'!$B$14,Paramètres!$A$1:$I$89,3,0)*VLOOKUP('Données projet'!$B$14,Paramètres!$A$1:$I$89,5,0)</f>
        <v>8.8675733422860506E-14</v>
      </c>
      <c r="DQ184" s="14">
        <f t="shared" si="176"/>
        <v>1.3509285393066301E-12</v>
      </c>
      <c r="DR184" s="22">
        <f t="shared" si="177"/>
        <v>2.5073107750038623E-12</v>
      </c>
      <c r="DS184" s="62">
        <f t="shared" si="125"/>
        <v>290.28395887036294</v>
      </c>
      <c r="DT184" s="62">
        <f ca="1">AVERAGE(OFFSET($DS$3,0,0,'Données projet'!$E$14+1,1))-AVERAGE(OFFSET($H$3,0,0,'Données projet'!$E$14+1,1))</f>
        <v>308.39181291575227</v>
      </c>
      <c r="DU184" s="62">
        <f t="shared" si="152"/>
        <v>298.58225298824334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-9.6633812063373625E-13</v>
      </c>
      <c r="EK184" s="18">
        <f>EJ184*VLOOKUP('Données projet'!$B$15,Paramètres!$A$1:$I$89,3,0)*VLOOKUP('Données projet'!$B$15,Paramètres!$A$1:$I$89,5,0)</f>
        <v>-9.3464223027694966E-13</v>
      </c>
      <c r="EL184" s="14" t="e">
        <f t="shared" si="179"/>
        <v>#NUM!</v>
      </c>
      <c r="EM184" s="22" t="e">
        <f t="shared" si="180"/>
        <v>#NUM!</v>
      </c>
      <c r="EN184" s="62" t="e">
        <f t="shared" si="128"/>
        <v>#NUM!</v>
      </c>
      <c r="EO184" s="62">
        <f ca="1">AVERAGE(OFFSET($EN$3,0,0,'Données projet'!$E$15+1,1))-AVERAGE(OFFSET($H$3,0,0,'Données projet'!$E$15+1,1))</f>
        <v>487.76433095707876</v>
      </c>
      <c r="EP184" s="62">
        <f t="shared" si="154"/>
        <v>276.24209151398361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-9.6633812063373625E-13</v>
      </c>
      <c r="FF184" s="18">
        <f>FE184*VLOOKUP('Données projet'!$B$16,Paramètres!$A$1:$I$89,3,0)*VLOOKUP('Données projet'!$B$16,Paramètres!$A$1:$I$89,5,0)</f>
        <v>-1.0401663530501537E-12</v>
      </c>
      <c r="FG184" s="14" t="e">
        <f t="shared" si="182"/>
        <v>#NUM!</v>
      </c>
      <c r="FH184" s="22" t="e">
        <f t="shared" si="183"/>
        <v>#NUM!</v>
      </c>
      <c r="FI184" s="62" t="e">
        <f t="shared" si="131"/>
        <v>#NUM!</v>
      </c>
      <c r="FJ184" s="62">
        <f ca="1">AVERAGE(OFFSET($FI$3,0,0,'Données projet'!$E$16+1,1))-AVERAGE(OFFSET($H$3,0,0,'Données projet'!$E$16+1,1))</f>
        <v>534.33392288300456</v>
      </c>
      <c r="FK184" s="62">
        <f t="shared" si="156"/>
        <v>300.93109615735477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-5.6843418860808015E-14</v>
      </c>
      <c r="GA184" s="18">
        <f>FZ184*VLOOKUP('Données projet'!$B$17,Paramètres!$A$1:$I$89,3,0)*VLOOKUP('Données projet'!$B$17,Paramètres!$A$1:$I$89,5,0)</f>
        <v>-3.813056537183002E-14</v>
      </c>
      <c r="GB184" s="14" t="e">
        <f t="shared" si="185"/>
        <v>#NUM!</v>
      </c>
      <c r="GC184" s="22" t="e">
        <f t="shared" si="186"/>
        <v>#NUM!</v>
      </c>
      <c r="GD184" s="62" t="e">
        <f t="shared" si="134"/>
        <v>#NUM!</v>
      </c>
      <c r="GE184" s="62">
        <f ca="1">AVERAGE(OFFSET($GD$3,0,0,'Données projet'!$E$17+1,1))-AVERAGE(OFFSET($H$3,0,0,'Données projet'!$E$17+1,1))</f>
        <v>316.17772895535211</v>
      </c>
      <c r="GF184" s="62">
        <f t="shared" si="158"/>
        <v>251.94445589652992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69.168352419189219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3.95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14.483333333333334</v>
      </c>
      <c r="H185" s="70">
        <f t="shared" si="110"/>
        <v>198.73333333333335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297.99999999999977</v>
      </c>
      <c r="O185" s="14">
        <f>N185*VLOOKUP('Données projet'!$B$9,Paramètres!$A$1:$I$89,3,0)*VLOOKUP('Données projet'!$B$9,Paramètres!$A$1:$I$89,5,0)</f>
        <v>251.0351999999998</v>
      </c>
      <c r="P185" s="14">
        <f t="shared" si="141"/>
        <v>60.807560012183302</v>
      </c>
      <c r="Q185" s="22">
        <f t="shared" si="162"/>
        <v>543.12614035455226</v>
      </c>
      <c r="R185" s="62">
        <f t="shared" si="109"/>
        <v>833.4629990544654</v>
      </c>
      <c r="S185" s="62">
        <f ca="1">AVERAGE(OFFSET($R$3,0,0,'Données projet'!$E$9+1,1))-AVERAGE(OFFSET($H$3,0,0,'Données projet'!$E$9+1,1))</f>
        <v>508.93703669150443</v>
      </c>
      <c r="T185" s="62">
        <f t="shared" si="142"/>
        <v>277.04920840696707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-9.6633812063373625E-13</v>
      </c>
      <c r="AJ185" s="14">
        <f>AI185*VLOOKUP('Données projet'!$B$10,Paramètres!$A$1:$I$89,3,0)*VLOOKUP('Données projet'!$B$10,Paramètres!$A$1:$I$89,5,0)</f>
        <v>-8.7434273154940449E-13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461.10503306101145</v>
      </c>
      <c r="AO185" s="62">
        <f t="shared" si="144"/>
        <v>262.10652147273288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-2.2737367544323206E-13</v>
      </c>
      <c r="BE185" s="14">
        <f>BD185*VLOOKUP('Données projet'!$B$11,Paramètres!$A$1:$I$89,3,0)*VLOOKUP('Données projet'!$B$11,Paramètres!$A$1:$I$89,5,0)</f>
        <v>-1.8089849618263545E-13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389.67854939311752</v>
      </c>
      <c r="BJ185" s="62">
        <f t="shared" si="146"/>
        <v>420.05189970516096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-1.0516032489249483E-12</v>
      </c>
      <c r="BZ185" s="14">
        <f>BY185*VLOOKUP('Données projet'!$B$12,Paramètres!$A$1:$I$89,3,0)*VLOOKUP('Données projet'!$B$12,Paramètres!$A$1:$I$89,5,0)</f>
        <v>-6.0151705838507046E-13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312.16891625633968</v>
      </c>
      <c r="CE185" s="62">
        <f t="shared" si="148"/>
        <v>215.34305815516177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0.1775665919705989</v>
      </c>
      <c r="CM185" s="23">
        <f>EXP(-LN(2)/2)*CM184+(1-EXP(-LN(2)/2))/(LN(2)/2)*CG185*CJ185*VLOOKUP('Données projet'!$B$12,Paramètres!$A$1:$I$89,3,0)*0.475*44/12</f>
        <v>1.0783246302449587E-22</v>
      </c>
      <c r="CN185" s="24">
        <f t="shared" si="172"/>
        <v>0.1775665919705989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3.979039320256561E-13</v>
      </c>
      <c r="CU185" s="18">
        <f>CT185*VLOOKUP('Données projet'!$B$13,Paramètres!$A$1:$I$89,3,0)*VLOOKUP('Données projet'!$B$13,Paramètres!$A$1:$I$89,5,0)</f>
        <v>2.669139576028101E-13</v>
      </c>
      <c r="CV185" s="14">
        <f t="shared" si="173"/>
        <v>3.5767923834585247E-12</v>
      </c>
      <c r="CW185" s="22">
        <f t="shared" si="174"/>
        <v>6.6944552106818241E-12</v>
      </c>
      <c r="CX185" s="62">
        <f t="shared" si="122"/>
        <v>290.33685869991979</v>
      </c>
      <c r="CY185" s="62">
        <f ca="1">AVERAGE(OFFSET($CX$3,0,0,'Données projet'!$E$13+1,1))-AVERAGE(OFFSET($H$3,0,0,'Données projet'!$E$13+1,1))</f>
        <v>369.04754428478793</v>
      </c>
      <c r="CZ185" s="62">
        <f t="shared" si="150"/>
        <v>277.00523259351712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1.1368683772161603E-13</v>
      </c>
      <c r="DP185" s="18">
        <f>DO185*VLOOKUP('Données projet'!$B$14,Paramètres!$A$1:$I$89,3,0)*VLOOKUP('Données projet'!$B$14,Paramètres!$A$1:$I$89,5,0)</f>
        <v>8.8675733422860506E-14</v>
      </c>
      <c r="DQ185" s="14">
        <f t="shared" si="176"/>
        <v>1.3509285393066301E-12</v>
      </c>
      <c r="DR185" s="22">
        <f t="shared" si="177"/>
        <v>2.5073107750038623E-12</v>
      </c>
      <c r="DS185" s="62">
        <f t="shared" si="125"/>
        <v>290.33685869991558</v>
      </c>
      <c r="DT185" s="62">
        <f ca="1">AVERAGE(OFFSET($DS$3,0,0,'Données projet'!$E$14+1,1))-AVERAGE(OFFSET($H$3,0,0,'Données projet'!$E$14+1,1))</f>
        <v>308.39181291575227</v>
      </c>
      <c r="DU185" s="62">
        <f t="shared" si="152"/>
        <v>298.58225298824334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-9.6633812063373625E-13</v>
      </c>
      <c r="EK185" s="18">
        <f>EJ185*VLOOKUP('Données projet'!$B$15,Paramètres!$A$1:$I$89,3,0)*VLOOKUP('Données projet'!$B$15,Paramètres!$A$1:$I$89,5,0)</f>
        <v>-9.3464223027694966E-13</v>
      </c>
      <c r="EL185" s="14" t="e">
        <f t="shared" si="179"/>
        <v>#NUM!</v>
      </c>
      <c r="EM185" s="22" t="e">
        <f t="shared" si="180"/>
        <v>#NUM!</v>
      </c>
      <c r="EN185" s="62" t="e">
        <f t="shared" si="128"/>
        <v>#NUM!</v>
      </c>
      <c r="EO185" s="62">
        <f ca="1">AVERAGE(OFFSET($EN$3,0,0,'Données projet'!$E$15+1,1))-AVERAGE(OFFSET($H$3,0,0,'Données projet'!$E$15+1,1))</f>
        <v>487.76433095707876</v>
      </c>
      <c r="EP185" s="62">
        <f t="shared" si="154"/>
        <v>276.24209151398361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-9.6633812063373625E-13</v>
      </c>
      <c r="FF185" s="18">
        <f>FE185*VLOOKUP('Données projet'!$B$16,Paramètres!$A$1:$I$89,3,0)*VLOOKUP('Données projet'!$B$16,Paramètres!$A$1:$I$89,5,0)</f>
        <v>-1.0401663530501537E-12</v>
      </c>
      <c r="FG185" s="14" t="e">
        <f t="shared" si="182"/>
        <v>#NUM!</v>
      </c>
      <c r="FH185" s="22" t="e">
        <f t="shared" si="183"/>
        <v>#NUM!</v>
      </c>
      <c r="FI185" s="62" t="e">
        <f t="shared" si="131"/>
        <v>#NUM!</v>
      </c>
      <c r="FJ185" s="62">
        <f ca="1">AVERAGE(OFFSET($FI$3,0,0,'Données projet'!$E$16+1,1))-AVERAGE(OFFSET($H$3,0,0,'Données projet'!$E$16+1,1))</f>
        <v>534.33392288300456</v>
      </c>
      <c r="FK185" s="62">
        <f t="shared" si="156"/>
        <v>300.93109615735477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-5.6843418860808015E-14</v>
      </c>
      <c r="GA185" s="18">
        <f>FZ185*VLOOKUP('Données projet'!$B$17,Paramètres!$A$1:$I$89,3,0)*VLOOKUP('Données projet'!$B$17,Paramètres!$A$1:$I$89,5,0)</f>
        <v>-3.813056537183002E-14</v>
      </c>
      <c r="GB185" s="14" t="e">
        <f t="shared" si="185"/>
        <v>#NUM!</v>
      </c>
      <c r="GC185" s="22" t="e">
        <f t="shared" si="186"/>
        <v>#NUM!</v>
      </c>
      <c r="GD185" s="62" t="e">
        <f t="shared" si="134"/>
        <v>#NUM!</v>
      </c>
      <c r="GE185" s="62">
        <f ca="1">AVERAGE(OFFSET($GD$3,0,0,'Données projet'!$E$17+1,1))-AVERAGE(OFFSET($H$3,0,0,'Données projet'!$E$17+1,1))</f>
        <v>316.17772895535211</v>
      </c>
      <c r="GF185" s="62">
        <f t="shared" si="158"/>
        <v>251.94445589652992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69.182779645430841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3.95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14.483333333333334</v>
      </c>
      <c r="H186" s="70">
        <f t="shared" si="110"/>
        <v>198.73333333333335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297.99999999999977</v>
      </c>
      <c r="O186" s="14">
        <f>N186*VLOOKUP('Données projet'!$B$9,Paramètres!$A$1:$I$89,3,0)*VLOOKUP('Données projet'!$B$9,Paramètres!$A$1:$I$89,5,0)</f>
        <v>251.0351999999998</v>
      </c>
      <c r="P186" s="14">
        <f t="shared" si="141"/>
        <v>60.807560012183302</v>
      </c>
      <c r="Q186" s="22">
        <f t="shared" si="162"/>
        <v>543.12614035455226</v>
      </c>
      <c r="R186" s="62">
        <f t="shared" si="109"/>
        <v>833.51498119024154</v>
      </c>
      <c r="S186" s="62">
        <f ca="1">AVERAGE(OFFSET($R$3,0,0,'Données projet'!$E$9+1,1))-AVERAGE(OFFSET($H$3,0,0,'Données projet'!$E$9+1,1))</f>
        <v>508.93703669150443</v>
      </c>
      <c r="T186" s="62">
        <f t="shared" si="142"/>
        <v>277.04920840696707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-9.6633812063373625E-13</v>
      </c>
      <c r="AJ186" s="14">
        <f>AI186*VLOOKUP('Données projet'!$B$10,Paramètres!$A$1:$I$89,3,0)*VLOOKUP('Données projet'!$B$10,Paramètres!$A$1:$I$89,5,0)</f>
        <v>-8.7434273154940449E-13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461.10503306101145</v>
      </c>
      <c r="AO186" s="62">
        <f t="shared" si="144"/>
        <v>262.10652147273288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-2.2737367544323206E-13</v>
      </c>
      <c r="BE186" s="14">
        <f>BD186*VLOOKUP('Données projet'!$B$11,Paramètres!$A$1:$I$89,3,0)*VLOOKUP('Données projet'!$B$11,Paramètres!$A$1:$I$89,5,0)</f>
        <v>-1.8089849618263545E-13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389.67854939311752</v>
      </c>
      <c r="BJ186" s="62">
        <f t="shared" si="146"/>
        <v>420.05189970516096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-1.0516032489249483E-12</v>
      </c>
      <c r="BZ186" s="14">
        <f>BY186*VLOOKUP('Données projet'!$B$12,Paramètres!$A$1:$I$89,3,0)*VLOOKUP('Données projet'!$B$12,Paramètres!$A$1:$I$89,5,0)</f>
        <v>-6.0151705838507046E-13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312.16891625633968</v>
      </c>
      <c r="CE186" s="62">
        <f t="shared" si="148"/>
        <v>215.34305815516177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0.17271102417534165</v>
      </c>
      <c r="CM186" s="23">
        <f>EXP(-LN(2)/2)*CM185+(1-EXP(-LN(2)/2))/(LN(2)/2)*CG186*CJ186*VLOOKUP('Données projet'!$B$12,Paramètres!$A$1:$I$89,3,0)*0.475*44/12</f>
        <v>7.6249065836668676E-23</v>
      </c>
      <c r="CN186" s="24">
        <f t="shared" si="172"/>
        <v>0.17271102417534165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3.979039320256561E-13</v>
      </c>
      <c r="CU186" s="18">
        <f>CT186*VLOOKUP('Données projet'!$B$13,Paramètres!$A$1:$I$89,3,0)*VLOOKUP('Données projet'!$B$13,Paramètres!$A$1:$I$89,5,0)</f>
        <v>2.669139576028101E-13</v>
      </c>
      <c r="CV186" s="14">
        <f t="shared" si="173"/>
        <v>3.5767923834585247E-12</v>
      </c>
      <c r="CW186" s="22">
        <f t="shared" si="174"/>
        <v>6.6944552106818241E-12</v>
      </c>
      <c r="CX186" s="62">
        <f t="shared" si="122"/>
        <v>290.38884083569593</v>
      </c>
      <c r="CY186" s="62">
        <f ca="1">AVERAGE(OFFSET($CX$3,0,0,'Données projet'!$E$13+1,1))-AVERAGE(OFFSET($H$3,0,0,'Données projet'!$E$13+1,1))</f>
        <v>369.04754428478793</v>
      </c>
      <c r="CZ186" s="62">
        <f t="shared" si="150"/>
        <v>277.00523259351712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1.1368683772161603E-13</v>
      </c>
      <c r="DP186" s="18">
        <f>DO186*VLOOKUP('Données projet'!$B$14,Paramètres!$A$1:$I$89,3,0)*VLOOKUP('Données projet'!$B$14,Paramètres!$A$1:$I$89,5,0)</f>
        <v>8.8675733422860506E-14</v>
      </c>
      <c r="DQ186" s="14">
        <f t="shared" si="176"/>
        <v>1.3509285393066301E-12</v>
      </c>
      <c r="DR186" s="22">
        <f t="shared" si="177"/>
        <v>2.5073107750038623E-12</v>
      </c>
      <c r="DS186" s="62">
        <f t="shared" si="125"/>
        <v>290.38884083569172</v>
      </c>
      <c r="DT186" s="62">
        <f ca="1">AVERAGE(OFFSET($DS$3,0,0,'Données projet'!$E$14+1,1))-AVERAGE(OFFSET($H$3,0,0,'Données projet'!$E$14+1,1))</f>
        <v>308.39181291575227</v>
      </c>
      <c r="DU186" s="62">
        <f t="shared" si="152"/>
        <v>298.58225298824334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-9.6633812063373625E-13</v>
      </c>
      <c r="EK186" s="18">
        <f>EJ186*VLOOKUP('Données projet'!$B$15,Paramètres!$A$1:$I$89,3,0)*VLOOKUP('Données projet'!$B$15,Paramètres!$A$1:$I$89,5,0)</f>
        <v>-9.3464223027694966E-13</v>
      </c>
      <c r="EL186" s="14" t="e">
        <f t="shared" si="179"/>
        <v>#NUM!</v>
      </c>
      <c r="EM186" s="22" t="e">
        <f t="shared" si="180"/>
        <v>#NUM!</v>
      </c>
      <c r="EN186" s="62" t="e">
        <f t="shared" si="128"/>
        <v>#NUM!</v>
      </c>
      <c r="EO186" s="62">
        <f ca="1">AVERAGE(OFFSET($EN$3,0,0,'Données projet'!$E$15+1,1))-AVERAGE(OFFSET($H$3,0,0,'Données projet'!$E$15+1,1))</f>
        <v>487.76433095707876</v>
      </c>
      <c r="EP186" s="62">
        <f t="shared" si="154"/>
        <v>276.24209151398361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-9.6633812063373625E-13</v>
      </c>
      <c r="FF186" s="18">
        <f>FE186*VLOOKUP('Données projet'!$B$16,Paramètres!$A$1:$I$89,3,0)*VLOOKUP('Données projet'!$B$16,Paramètres!$A$1:$I$89,5,0)</f>
        <v>-1.0401663530501537E-12</v>
      </c>
      <c r="FG186" s="14" t="e">
        <f t="shared" si="182"/>
        <v>#NUM!</v>
      </c>
      <c r="FH186" s="22" t="e">
        <f t="shared" si="183"/>
        <v>#NUM!</v>
      </c>
      <c r="FI186" s="62" t="e">
        <f t="shared" si="131"/>
        <v>#NUM!</v>
      </c>
      <c r="FJ186" s="62">
        <f ca="1">AVERAGE(OFFSET($FI$3,0,0,'Données projet'!$E$16+1,1))-AVERAGE(OFFSET($H$3,0,0,'Données projet'!$E$16+1,1))</f>
        <v>534.33392288300456</v>
      </c>
      <c r="FK186" s="62">
        <f t="shared" si="156"/>
        <v>300.93109615735477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-5.6843418860808015E-14</v>
      </c>
      <c r="GA186" s="18">
        <f>FZ186*VLOOKUP('Données projet'!$B$17,Paramètres!$A$1:$I$89,3,0)*VLOOKUP('Données projet'!$B$17,Paramètres!$A$1:$I$89,5,0)</f>
        <v>-3.813056537183002E-14</v>
      </c>
      <c r="GB186" s="14" t="e">
        <f t="shared" si="185"/>
        <v>#NUM!</v>
      </c>
      <c r="GC186" s="22" t="e">
        <f t="shared" si="186"/>
        <v>#NUM!</v>
      </c>
      <c r="GD186" s="62" t="e">
        <f t="shared" si="134"/>
        <v>#NUM!</v>
      </c>
      <c r="GE186" s="62">
        <f ca="1">AVERAGE(OFFSET($GD$3,0,0,'Données projet'!$E$17+1,1))-AVERAGE(OFFSET($H$3,0,0,'Données projet'!$E$17+1,1))</f>
        <v>316.17772895535211</v>
      </c>
      <c r="GF186" s="62">
        <f t="shared" si="158"/>
        <v>251.94445589652992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69.196956591551611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3.95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14.483333333333334</v>
      </c>
      <c r="H187" s="70">
        <f t="shared" si="110"/>
        <v>198.73333333333335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297.99999999999977</v>
      </c>
      <c r="O187" s="14">
        <f>N187*VLOOKUP('Données projet'!$B$9,Paramètres!$A$1:$I$89,3,0)*VLOOKUP('Données projet'!$B$9,Paramètres!$A$1:$I$89,5,0)</f>
        <v>251.0351999999998</v>
      </c>
      <c r="P187" s="14">
        <f t="shared" si="141"/>
        <v>60.807560012183302</v>
      </c>
      <c r="Q187" s="22">
        <f t="shared" si="162"/>
        <v>543.12614035455226</v>
      </c>
      <c r="R187" s="62">
        <f t="shared" si="109"/>
        <v>833.56606155217651</v>
      </c>
      <c r="S187" s="62">
        <f ca="1">AVERAGE(OFFSET($R$3,0,0,'Données projet'!$E$9+1,1))-AVERAGE(OFFSET($H$3,0,0,'Données projet'!$E$9+1,1))</f>
        <v>508.93703669150443</v>
      </c>
      <c r="T187" s="62">
        <f t="shared" si="142"/>
        <v>277.04920840696707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-9.6633812063373625E-13</v>
      </c>
      <c r="AJ187" s="14">
        <f>AI187*VLOOKUP('Données projet'!$B$10,Paramètres!$A$1:$I$89,3,0)*VLOOKUP('Données projet'!$B$10,Paramètres!$A$1:$I$89,5,0)</f>
        <v>-8.7434273154940449E-13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461.10503306101145</v>
      </c>
      <c r="AO187" s="62">
        <f t="shared" si="144"/>
        <v>262.10652147273288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-2.2737367544323206E-13</v>
      </c>
      <c r="BE187" s="14">
        <f>BD187*VLOOKUP('Données projet'!$B$11,Paramètres!$A$1:$I$89,3,0)*VLOOKUP('Données projet'!$B$11,Paramètres!$A$1:$I$89,5,0)</f>
        <v>-1.8089849618263545E-13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389.67854939311752</v>
      </c>
      <c r="BJ187" s="62">
        <f t="shared" si="146"/>
        <v>420.05189970516096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-1.0516032489249483E-12</v>
      </c>
      <c r="BZ187" s="14">
        <f>BY187*VLOOKUP('Données projet'!$B$12,Paramètres!$A$1:$I$89,3,0)*VLOOKUP('Données projet'!$B$12,Paramètres!$A$1:$I$89,5,0)</f>
        <v>-6.0151705838507046E-13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312.16891625633968</v>
      </c>
      <c r="CE187" s="62">
        <f t="shared" si="148"/>
        <v>215.34305815516177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0.1679882321367889</v>
      </c>
      <c r="CM187" s="23">
        <f>EXP(-LN(2)/2)*CM186+(1-EXP(-LN(2)/2))/(LN(2)/2)*CG187*CJ187*VLOOKUP('Données projet'!$B$12,Paramètres!$A$1:$I$89,3,0)*0.475*44/12</f>
        <v>5.3916231512247933E-23</v>
      </c>
      <c r="CN187" s="24">
        <f t="shared" si="172"/>
        <v>0.1679882321367889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3.979039320256561E-13</v>
      </c>
      <c r="CU187" s="18">
        <f>CT187*VLOOKUP('Données projet'!$B$13,Paramètres!$A$1:$I$89,3,0)*VLOOKUP('Données projet'!$B$13,Paramètres!$A$1:$I$89,5,0)</f>
        <v>2.669139576028101E-13</v>
      </c>
      <c r="CV187" s="14">
        <f t="shared" si="173"/>
        <v>3.5767923834585247E-12</v>
      </c>
      <c r="CW187" s="22">
        <f t="shared" si="174"/>
        <v>6.6944552106818241E-12</v>
      </c>
      <c r="CX187" s="62">
        <f t="shared" si="122"/>
        <v>290.43992119763101</v>
      </c>
      <c r="CY187" s="62">
        <f ca="1">AVERAGE(OFFSET($CX$3,0,0,'Données projet'!$E$13+1,1))-AVERAGE(OFFSET($H$3,0,0,'Données projet'!$E$13+1,1))</f>
        <v>369.04754428478793</v>
      </c>
      <c r="CZ187" s="62">
        <f t="shared" si="150"/>
        <v>277.00523259351712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1.1368683772161603E-13</v>
      </c>
      <c r="DP187" s="18">
        <f>DO187*VLOOKUP('Données projet'!$B$14,Paramètres!$A$1:$I$89,3,0)*VLOOKUP('Données projet'!$B$14,Paramètres!$A$1:$I$89,5,0)</f>
        <v>8.8675733422860506E-14</v>
      </c>
      <c r="DQ187" s="14">
        <f t="shared" si="176"/>
        <v>1.3509285393066301E-12</v>
      </c>
      <c r="DR187" s="22">
        <f t="shared" si="177"/>
        <v>2.5073107750038623E-12</v>
      </c>
      <c r="DS187" s="62">
        <f t="shared" si="125"/>
        <v>290.4399211976268</v>
      </c>
      <c r="DT187" s="62">
        <f ca="1">AVERAGE(OFFSET($DS$3,0,0,'Données projet'!$E$14+1,1))-AVERAGE(OFFSET($H$3,0,0,'Données projet'!$E$14+1,1))</f>
        <v>308.39181291575227</v>
      </c>
      <c r="DU187" s="62">
        <f t="shared" si="152"/>
        <v>298.58225298824334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-9.6633812063373625E-13</v>
      </c>
      <c r="EK187" s="18">
        <f>EJ187*VLOOKUP('Données projet'!$B$15,Paramètres!$A$1:$I$89,3,0)*VLOOKUP('Données projet'!$B$15,Paramètres!$A$1:$I$89,5,0)</f>
        <v>-9.3464223027694966E-13</v>
      </c>
      <c r="EL187" s="14" t="e">
        <f t="shared" si="179"/>
        <v>#NUM!</v>
      </c>
      <c r="EM187" s="22" t="e">
        <f t="shared" si="180"/>
        <v>#NUM!</v>
      </c>
      <c r="EN187" s="62" t="e">
        <f t="shared" si="128"/>
        <v>#NUM!</v>
      </c>
      <c r="EO187" s="62">
        <f ca="1">AVERAGE(OFFSET($EN$3,0,0,'Données projet'!$E$15+1,1))-AVERAGE(OFFSET($H$3,0,0,'Données projet'!$E$15+1,1))</f>
        <v>487.76433095707876</v>
      </c>
      <c r="EP187" s="62">
        <f t="shared" si="154"/>
        <v>276.24209151398361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-9.6633812063373625E-13</v>
      </c>
      <c r="FF187" s="18">
        <f>FE187*VLOOKUP('Données projet'!$B$16,Paramètres!$A$1:$I$89,3,0)*VLOOKUP('Données projet'!$B$16,Paramètres!$A$1:$I$89,5,0)</f>
        <v>-1.0401663530501537E-12</v>
      </c>
      <c r="FG187" s="14" t="e">
        <f t="shared" si="182"/>
        <v>#NUM!</v>
      </c>
      <c r="FH187" s="22" t="e">
        <f t="shared" si="183"/>
        <v>#NUM!</v>
      </c>
      <c r="FI187" s="62" t="e">
        <f t="shared" si="131"/>
        <v>#NUM!</v>
      </c>
      <c r="FJ187" s="62">
        <f ca="1">AVERAGE(OFFSET($FI$3,0,0,'Données projet'!$E$16+1,1))-AVERAGE(OFFSET($H$3,0,0,'Données projet'!$E$16+1,1))</f>
        <v>534.33392288300456</v>
      </c>
      <c r="FK187" s="62">
        <f t="shared" si="156"/>
        <v>300.93109615735477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-5.6843418860808015E-14</v>
      </c>
      <c r="GA187" s="18">
        <f>FZ187*VLOOKUP('Données projet'!$B$17,Paramètres!$A$1:$I$89,3,0)*VLOOKUP('Données projet'!$B$17,Paramètres!$A$1:$I$89,5,0)</f>
        <v>-3.813056537183002E-14</v>
      </c>
      <c r="GB187" s="14" t="e">
        <f t="shared" si="185"/>
        <v>#NUM!</v>
      </c>
      <c r="GC187" s="22" t="e">
        <f t="shared" si="186"/>
        <v>#NUM!</v>
      </c>
      <c r="GD187" s="62" t="e">
        <f t="shared" si="134"/>
        <v>#NUM!</v>
      </c>
      <c r="GE187" s="62">
        <f ca="1">AVERAGE(OFFSET($GD$3,0,0,'Données projet'!$E$17+1,1))-AVERAGE(OFFSET($H$3,0,0,'Données projet'!$E$17+1,1))</f>
        <v>316.17772895535211</v>
      </c>
      <c r="GF187" s="62">
        <f t="shared" si="158"/>
        <v>251.94445589652992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69.210887599352091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3.95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14.483333333333334</v>
      </c>
      <c r="H188" s="70">
        <f t="shared" si="110"/>
        <v>198.73333333333335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297.99999999999977</v>
      </c>
      <c r="O188" s="14">
        <f>N188*VLOOKUP('Données projet'!$B$9,Paramètres!$A$1:$I$89,3,0)*VLOOKUP('Données projet'!$B$9,Paramètres!$A$1:$I$89,5,0)</f>
        <v>251.0351999999998</v>
      </c>
      <c r="P188" s="14">
        <f t="shared" si="141"/>
        <v>60.807560012183302</v>
      </c>
      <c r="Q188" s="22">
        <f t="shared" si="162"/>
        <v>543.12614035455226</v>
      </c>
      <c r="R188" s="62">
        <f t="shared" si="109"/>
        <v>833.61625578403073</v>
      </c>
      <c r="S188" s="62">
        <f ca="1">AVERAGE(OFFSET($R$3,0,0,'Données projet'!$E$9+1,1))-AVERAGE(OFFSET($H$3,0,0,'Données projet'!$E$9+1,1))</f>
        <v>508.93703669150443</v>
      </c>
      <c r="T188" s="62">
        <f t="shared" si="142"/>
        <v>277.04920840696707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-9.6633812063373625E-13</v>
      </c>
      <c r="AJ188" s="14">
        <f>AI188*VLOOKUP('Données projet'!$B$10,Paramètres!$A$1:$I$89,3,0)*VLOOKUP('Données projet'!$B$10,Paramètres!$A$1:$I$89,5,0)</f>
        <v>-8.7434273154940449E-13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461.10503306101145</v>
      </c>
      <c r="AO188" s="62">
        <f t="shared" si="144"/>
        <v>262.10652147273288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-2.2737367544323206E-13</v>
      </c>
      <c r="BE188" s="14">
        <f>BD188*VLOOKUP('Données projet'!$B$11,Paramètres!$A$1:$I$89,3,0)*VLOOKUP('Données projet'!$B$11,Paramètres!$A$1:$I$89,5,0)</f>
        <v>-1.8089849618263545E-13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389.67854939311752</v>
      </c>
      <c r="BJ188" s="62">
        <f t="shared" si="146"/>
        <v>420.05189970516096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-1.0516032489249483E-12</v>
      </c>
      <c r="BZ188" s="14">
        <f>BY188*VLOOKUP('Données projet'!$B$12,Paramètres!$A$1:$I$89,3,0)*VLOOKUP('Données projet'!$B$12,Paramètres!$A$1:$I$89,5,0)</f>
        <v>-6.0151705838507046E-13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312.16891625633968</v>
      </c>
      <c r="CE188" s="62">
        <f t="shared" si="148"/>
        <v>215.34305815516177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0.16339458509489121</v>
      </c>
      <c r="CM188" s="23">
        <f>EXP(-LN(2)/2)*CM187+(1-EXP(-LN(2)/2))/(LN(2)/2)*CG188*CJ188*VLOOKUP('Données projet'!$B$12,Paramètres!$A$1:$I$89,3,0)*0.475*44/12</f>
        <v>3.8124532918334338E-23</v>
      </c>
      <c r="CN188" s="24">
        <f t="shared" si="172"/>
        <v>0.16339458509489121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3.979039320256561E-13</v>
      </c>
      <c r="CU188" s="18">
        <f>CT188*VLOOKUP('Données projet'!$B$13,Paramètres!$A$1:$I$89,3,0)*VLOOKUP('Données projet'!$B$13,Paramètres!$A$1:$I$89,5,0)</f>
        <v>2.669139576028101E-13</v>
      </c>
      <c r="CV188" s="14">
        <f t="shared" si="173"/>
        <v>3.5767923834585247E-12</v>
      </c>
      <c r="CW188" s="22">
        <f t="shared" si="174"/>
        <v>6.6944552106818241E-12</v>
      </c>
      <c r="CX188" s="62">
        <f t="shared" si="122"/>
        <v>290.49011542948512</v>
      </c>
      <c r="CY188" s="62">
        <f ca="1">AVERAGE(OFFSET($CX$3,0,0,'Données projet'!$E$13+1,1))-AVERAGE(OFFSET($H$3,0,0,'Données projet'!$E$13+1,1))</f>
        <v>369.04754428478793</v>
      </c>
      <c r="CZ188" s="62">
        <f t="shared" si="150"/>
        <v>277.00523259351712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1.1368683772161603E-13</v>
      </c>
      <c r="DP188" s="18">
        <f>DO188*VLOOKUP('Données projet'!$B$14,Paramètres!$A$1:$I$89,3,0)*VLOOKUP('Données projet'!$B$14,Paramètres!$A$1:$I$89,5,0)</f>
        <v>8.8675733422860506E-14</v>
      </c>
      <c r="DQ188" s="14">
        <f t="shared" si="176"/>
        <v>1.3509285393066301E-12</v>
      </c>
      <c r="DR188" s="22">
        <f t="shared" si="177"/>
        <v>2.5073107750038623E-12</v>
      </c>
      <c r="DS188" s="62">
        <f t="shared" si="125"/>
        <v>290.49011542948091</v>
      </c>
      <c r="DT188" s="62">
        <f ca="1">AVERAGE(OFFSET($DS$3,0,0,'Données projet'!$E$14+1,1))-AVERAGE(OFFSET($H$3,0,0,'Données projet'!$E$14+1,1))</f>
        <v>308.39181291575227</v>
      </c>
      <c r="DU188" s="62">
        <f t="shared" si="152"/>
        <v>298.58225298824334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-9.6633812063373625E-13</v>
      </c>
      <c r="EK188" s="18">
        <f>EJ188*VLOOKUP('Données projet'!$B$15,Paramètres!$A$1:$I$89,3,0)*VLOOKUP('Données projet'!$B$15,Paramètres!$A$1:$I$89,5,0)</f>
        <v>-9.3464223027694966E-13</v>
      </c>
      <c r="EL188" s="14" t="e">
        <f t="shared" si="179"/>
        <v>#NUM!</v>
      </c>
      <c r="EM188" s="22" t="e">
        <f t="shared" si="180"/>
        <v>#NUM!</v>
      </c>
      <c r="EN188" s="62" t="e">
        <f t="shared" si="128"/>
        <v>#NUM!</v>
      </c>
      <c r="EO188" s="62">
        <f ca="1">AVERAGE(OFFSET($EN$3,0,0,'Données projet'!$E$15+1,1))-AVERAGE(OFFSET($H$3,0,0,'Données projet'!$E$15+1,1))</f>
        <v>487.76433095707876</v>
      </c>
      <c r="EP188" s="62">
        <f t="shared" si="154"/>
        <v>276.24209151398361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-9.6633812063373625E-13</v>
      </c>
      <c r="FF188" s="18">
        <f>FE188*VLOOKUP('Données projet'!$B$16,Paramètres!$A$1:$I$89,3,0)*VLOOKUP('Données projet'!$B$16,Paramètres!$A$1:$I$89,5,0)</f>
        <v>-1.0401663530501537E-12</v>
      </c>
      <c r="FG188" s="14" t="e">
        <f t="shared" si="182"/>
        <v>#NUM!</v>
      </c>
      <c r="FH188" s="22" t="e">
        <f t="shared" si="183"/>
        <v>#NUM!</v>
      </c>
      <c r="FI188" s="62" t="e">
        <f t="shared" si="131"/>
        <v>#NUM!</v>
      </c>
      <c r="FJ188" s="62">
        <f ca="1">AVERAGE(OFFSET($FI$3,0,0,'Données projet'!$E$16+1,1))-AVERAGE(OFFSET($H$3,0,0,'Données projet'!$E$16+1,1))</f>
        <v>534.33392288300456</v>
      </c>
      <c r="FK188" s="62">
        <f t="shared" si="156"/>
        <v>300.93109615735477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-5.6843418860808015E-14</v>
      </c>
      <c r="GA188" s="18">
        <f>FZ188*VLOOKUP('Données projet'!$B$17,Paramètres!$A$1:$I$89,3,0)*VLOOKUP('Données projet'!$B$17,Paramètres!$A$1:$I$89,5,0)</f>
        <v>-3.813056537183002E-14</v>
      </c>
      <c r="GB188" s="14" t="e">
        <f t="shared" si="185"/>
        <v>#NUM!</v>
      </c>
      <c r="GC188" s="22" t="e">
        <f t="shared" si="186"/>
        <v>#NUM!</v>
      </c>
      <c r="GD188" s="62" t="e">
        <f t="shared" si="134"/>
        <v>#NUM!</v>
      </c>
      <c r="GE188" s="62">
        <f ca="1">AVERAGE(OFFSET($GD$3,0,0,'Données projet'!$E$17+1,1))-AVERAGE(OFFSET($H$3,0,0,'Données projet'!$E$17+1,1))</f>
        <v>316.17772895535211</v>
      </c>
      <c r="GF188" s="62">
        <f t="shared" si="158"/>
        <v>251.94445589652992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69.224576935312299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3.95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14.483333333333334</v>
      </c>
      <c r="H189" s="70">
        <f t="shared" si="110"/>
        <v>198.73333333333335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297.99999999999977</v>
      </c>
      <c r="O189" s="14">
        <f>N189*VLOOKUP('Données projet'!$B$9,Paramètres!$A$1:$I$89,3,0)*VLOOKUP('Données projet'!$B$9,Paramètres!$A$1:$I$89,5,0)</f>
        <v>251.0351999999998</v>
      </c>
      <c r="P189" s="14">
        <f t="shared" si="141"/>
        <v>60.807560012183302</v>
      </c>
      <c r="Q189" s="22">
        <f t="shared" si="162"/>
        <v>543.12614035455226</v>
      </c>
      <c r="R189" s="62">
        <f t="shared" si="109"/>
        <v>833.6655792581796</v>
      </c>
      <c r="S189" s="62">
        <f ca="1">AVERAGE(OFFSET($R$3,0,0,'Données projet'!$E$9+1,1))-AVERAGE(OFFSET($H$3,0,0,'Données projet'!$E$9+1,1))</f>
        <v>508.93703669150443</v>
      </c>
      <c r="T189" s="62">
        <f t="shared" si="142"/>
        <v>277.04920840696707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-9.6633812063373625E-13</v>
      </c>
      <c r="AJ189" s="14">
        <f>AI189*VLOOKUP('Données projet'!$B$10,Paramètres!$A$1:$I$89,3,0)*VLOOKUP('Données projet'!$B$10,Paramètres!$A$1:$I$89,5,0)</f>
        <v>-8.7434273154940449E-13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461.10503306101145</v>
      </c>
      <c r="AO189" s="62">
        <f t="shared" si="144"/>
        <v>262.10652147273288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-2.2737367544323206E-13</v>
      </c>
      <c r="BE189" s="14">
        <f>BD189*VLOOKUP('Données projet'!$B$11,Paramètres!$A$1:$I$89,3,0)*VLOOKUP('Données projet'!$B$11,Paramètres!$A$1:$I$89,5,0)</f>
        <v>-1.8089849618263545E-13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389.67854939311752</v>
      </c>
      <c r="BJ189" s="62">
        <f t="shared" si="146"/>
        <v>420.05189970516096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-1.0516032489249483E-12</v>
      </c>
      <c r="BZ189" s="14">
        <f>BY189*VLOOKUP('Données projet'!$B$12,Paramètres!$A$1:$I$89,3,0)*VLOOKUP('Données projet'!$B$12,Paramètres!$A$1:$I$89,5,0)</f>
        <v>-6.0151705838507046E-13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312.16891625633968</v>
      </c>
      <c r="CE189" s="62">
        <f t="shared" si="148"/>
        <v>215.34305815516177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0.15892655157292362</v>
      </c>
      <c r="CM189" s="23">
        <f>EXP(-LN(2)/2)*CM188+(1-EXP(-LN(2)/2))/(LN(2)/2)*CG189*CJ189*VLOOKUP('Données projet'!$B$12,Paramètres!$A$1:$I$89,3,0)*0.475*44/12</f>
        <v>2.6958115756123966E-23</v>
      </c>
      <c r="CN189" s="24">
        <f t="shared" si="172"/>
        <v>0.15892655157292362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3.979039320256561E-13</v>
      </c>
      <c r="CU189" s="18">
        <f>CT189*VLOOKUP('Données projet'!$B$13,Paramètres!$A$1:$I$89,3,0)*VLOOKUP('Données projet'!$B$13,Paramètres!$A$1:$I$89,5,0)</f>
        <v>2.669139576028101E-13</v>
      </c>
      <c r="CV189" s="14">
        <f t="shared" si="173"/>
        <v>3.5767923834585247E-12</v>
      </c>
      <c r="CW189" s="22">
        <f t="shared" si="174"/>
        <v>6.6944552106818241E-12</v>
      </c>
      <c r="CX189" s="62">
        <f t="shared" si="122"/>
        <v>290.53943890363411</v>
      </c>
      <c r="CY189" s="62">
        <f ca="1">AVERAGE(OFFSET($CX$3,0,0,'Données projet'!$E$13+1,1))-AVERAGE(OFFSET($H$3,0,0,'Données projet'!$E$13+1,1))</f>
        <v>369.04754428478793</v>
      </c>
      <c r="CZ189" s="62">
        <f t="shared" si="150"/>
        <v>277.00523259351712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1.1368683772161603E-13</v>
      </c>
      <c r="DP189" s="18">
        <f>DO189*VLOOKUP('Données projet'!$B$14,Paramètres!$A$1:$I$89,3,0)*VLOOKUP('Données projet'!$B$14,Paramètres!$A$1:$I$89,5,0)</f>
        <v>8.8675733422860506E-14</v>
      </c>
      <c r="DQ189" s="14">
        <f t="shared" si="176"/>
        <v>1.3509285393066301E-12</v>
      </c>
      <c r="DR189" s="22">
        <f t="shared" si="177"/>
        <v>2.5073107750038623E-12</v>
      </c>
      <c r="DS189" s="62">
        <f t="shared" si="125"/>
        <v>290.5394389036299</v>
      </c>
      <c r="DT189" s="62">
        <f ca="1">AVERAGE(OFFSET($DS$3,0,0,'Données projet'!$E$14+1,1))-AVERAGE(OFFSET($H$3,0,0,'Données projet'!$E$14+1,1))</f>
        <v>308.39181291575227</v>
      </c>
      <c r="DU189" s="62">
        <f t="shared" si="152"/>
        <v>298.58225298824334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-9.6633812063373625E-13</v>
      </c>
      <c r="EK189" s="18">
        <f>EJ189*VLOOKUP('Données projet'!$B$15,Paramètres!$A$1:$I$89,3,0)*VLOOKUP('Données projet'!$B$15,Paramètres!$A$1:$I$89,5,0)</f>
        <v>-9.3464223027694966E-13</v>
      </c>
      <c r="EL189" s="14" t="e">
        <f t="shared" si="179"/>
        <v>#NUM!</v>
      </c>
      <c r="EM189" s="22" t="e">
        <f t="shared" si="180"/>
        <v>#NUM!</v>
      </c>
      <c r="EN189" s="62" t="e">
        <f t="shared" si="128"/>
        <v>#NUM!</v>
      </c>
      <c r="EO189" s="62">
        <f ca="1">AVERAGE(OFFSET($EN$3,0,0,'Données projet'!$E$15+1,1))-AVERAGE(OFFSET($H$3,0,0,'Données projet'!$E$15+1,1))</f>
        <v>487.76433095707876</v>
      </c>
      <c r="EP189" s="62">
        <f t="shared" si="154"/>
        <v>276.24209151398361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-9.6633812063373625E-13</v>
      </c>
      <c r="FF189" s="18">
        <f>FE189*VLOOKUP('Données projet'!$B$16,Paramètres!$A$1:$I$89,3,0)*VLOOKUP('Données projet'!$B$16,Paramètres!$A$1:$I$89,5,0)</f>
        <v>-1.0401663530501537E-12</v>
      </c>
      <c r="FG189" s="14" t="e">
        <f t="shared" si="182"/>
        <v>#NUM!</v>
      </c>
      <c r="FH189" s="22" t="e">
        <f t="shared" si="183"/>
        <v>#NUM!</v>
      </c>
      <c r="FI189" s="62" t="e">
        <f t="shared" si="131"/>
        <v>#NUM!</v>
      </c>
      <c r="FJ189" s="62">
        <f ca="1">AVERAGE(OFFSET($FI$3,0,0,'Données projet'!$E$16+1,1))-AVERAGE(OFFSET($H$3,0,0,'Données projet'!$E$16+1,1))</f>
        <v>534.33392288300456</v>
      </c>
      <c r="FK189" s="62">
        <f t="shared" si="156"/>
        <v>300.93109615735477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-5.6843418860808015E-14</v>
      </c>
      <c r="GA189" s="18">
        <f>FZ189*VLOOKUP('Données projet'!$B$17,Paramètres!$A$1:$I$89,3,0)*VLOOKUP('Données projet'!$B$17,Paramètres!$A$1:$I$89,5,0)</f>
        <v>-3.813056537183002E-14</v>
      </c>
      <c r="GB189" s="14" t="e">
        <f t="shared" si="185"/>
        <v>#NUM!</v>
      </c>
      <c r="GC189" s="22" t="e">
        <f t="shared" si="186"/>
        <v>#NUM!</v>
      </c>
      <c r="GD189" s="62" t="e">
        <f t="shared" si="134"/>
        <v>#NUM!</v>
      </c>
      <c r="GE189" s="62">
        <f ca="1">AVERAGE(OFFSET($GD$3,0,0,'Données projet'!$E$17+1,1))-AVERAGE(OFFSET($H$3,0,0,'Données projet'!$E$17+1,1))</f>
        <v>316.17772895535211</v>
      </c>
      <c r="GF189" s="62">
        <f t="shared" si="158"/>
        <v>251.94445589652992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69.238028791898373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3.95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14.483333333333334</v>
      </c>
      <c r="H190" s="70">
        <f t="shared" si="110"/>
        <v>198.73333333333335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297.99999999999977</v>
      </c>
      <c r="O190" s="14">
        <f>N190*VLOOKUP('Données projet'!$B$9,Paramètres!$A$1:$I$89,3,0)*VLOOKUP('Données projet'!$B$9,Paramètres!$A$1:$I$89,5,0)</f>
        <v>251.0351999999998</v>
      </c>
      <c r="P190" s="14">
        <f t="shared" si="141"/>
        <v>60.807560012183302</v>
      </c>
      <c r="Q190" s="22">
        <f t="shared" si="162"/>
        <v>543.12614035455226</v>
      </c>
      <c r="R190" s="62">
        <f t="shared" si="109"/>
        <v>833.71404708032287</v>
      </c>
      <c r="S190" s="62">
        <f ca="1">AVERAGE(OFFSET($R$3,0,0,'Données projet'!$E$9+1,1))-AVERAGE(OFFSET($H$3,0,0,'Données projet'!$E$9+1,1))</f>
        <v>508.93703669150443</v>
      </c>
      <c r="T190" s="62">
        <f t="shared" si="142"/>
        <v>277.04920840696707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-9.6633812063373625E-13</v>
      </c>
      <c r="AJ190" s="14">
        <f>AI190*VLOOKUP('Données projet'!$B$10,Paramètres!$A$1:$I$89,3,0)*VLOOKUP('Données projet'!$B$10,Paramètres!$A$1:$I$89,5,0)</f>
        <v>-8.7434273154940449E-13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461.10503306101145</v>
      </c>
      <c r="AO190" s="62">
        <f t="shared" si="144"/>
        <v>262.10652147273288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-2.2737367544323206E-13</v>
      </c>
      <c r="BE190" s="14">
        <f>BD190*VLOOKUP('Données projet'!$B$11,Paramètres!$A$1:$I$89,3,0)*VLOOKUP('Données projet'!$B$11,Paramètres!$A$1:$I$89,5,0)</f>
        <v>-1.8089849618263545E-13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389.67854939311752</v>
      </c>
      <c r="BJ190" s="62">
        <f t="shared" si="146"/>
        <v>420.05189970516096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-1.0516032489249483E-12</v>
      </c>
      <c r="BZ190" s="14">
        <f>BY190*VLOOKUP('Données projet'!$B$12,Paramètres!$A$1:$I$89,3,0)*VLOOKUP('Données projet'!$B$12,Paramètres!$A$1:$I$89,5,0)</f>
        <v>-6.0151705838507046E-13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312.16891625633968</v>
      </c>
      <c r="CE190" s="62">
        <f t="shared" si="148"/>
        <v>215.34305815516177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0.1545806966625779</v>
      </c>
      <c r="CM190" s="23">
        <f>EXP(-LN(2)/2)*CM189+(1-EXP(-LN(2)/2))/(LN(2)/2)*CG190*CJ190*VLOOKUP('Données projet'!$B$12,Paramètres!$A$1:$I$89,3,0)*0.475*44/12</f>
        <v>1.9062266459167169E-23</v>
      </c>
      <c r="CN190" s="24">
        <f t="shared" si="172"/>
        <v>0.1545806966625779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3.979039320256561E-13</v>
      </c>
      <c r="CU190" s="18">
        <f>CT190*VLOOKUP('Données projet'!$B$13,Paramètres!$A$1:$I$89,3,0)*VLOOKUP('Données projet'!$B$13,Paramètres!$A$1:$I$89,5,0)</f>
        <v>2.669139576028101E-13</v>
      </c>
      <c r="CV190" s="14">
        <f t="shared" si="173"/>
        <v>3.5767923834585247E-12</v>
      </c>
      <c r="CW190" s="22">
        <f t="shared" si="174"/>
        <v>6.6944552106818241E-12</v>
      </c>
      <c r="CX190" s="62">
        <f t="shared" si="122"/>
        <v>290.58790672577726</v>
      </c>
      <c r="CY190" s="62">
        <f ca="1">AVERAGE(OFFSET($CX$3,0,0,'Données projet'!$E$13+1,1))-AVERAGE(OFFSET($H$3,0,0,'Données projet'!$E$13+1,1))</f>
        <v>369.04754428478793</v>
      </c>
      <c r="CZ190" s="62">
        <f t="shared" si="150"/>
        <v>277.00523259351712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1.1368683772161603E-13</v>
      </c>
      <c r="DP190" s="18">
        <f>DO190*VLOOKUP('Données projet'!$B$14,Paramètres!$A$1:$I$89,3,0)*VLOOKUP('Données projet'!$B$14,Paramètres!$A$1:$I$89,5,0)</f>
        <v>8.8675733422860506E-14</v>
      </c>
      <c r="DQ190" s="14">
        <f t="shared" si="176"/>
        <v>1.3509285393066301E-12</v>
      </c>
      <c r="DR190" s="22">
        <f t="shared" si="177"/>
        <v>2.5073107750038623E-12</v>
      </c>
      <c r="DS190" s="62">
        <f t="shared" si="125"/>
        <v>290.58790672577305</v>
      </c>
      <c r="DT190" s="62">
        <f ca="1">AVERAGE(OFFSET($DS$3,0,0,'Données projet'!$E$14+1,1))-AVERAGE(OFFSET($H$3,0,0,'Données projet'!$E$14+1,1))</f>
        <v>308.39181291575227</v>
      </c>
      <c r="DU190" s="62">
        <f t="shared" si="152"/>
        <v>298.58225298824334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-9.6633812063373625E-13</v>
      </c>
      <c r="EK190" s="18">
        <f>EJ190*VLOOKUP('Données projet'!$B$15,Paramètres!$A$1:$I$89,3,0)*VLOOKUP('Données projet'!$B$15,Paramètres!$A$1:$I$89,5,0)</f>
        <v>-9.3464223027694966E-13</v>
      </c>
      <c r="EL190" s="14" t="e">
        <f t="shared" si="179"/>
        <v>#NUM!</v>
      </c>
      <c r="EM190" s="22" t="e">
        <f t="shared" si="180"/>
        <v>#NUM!</v>
      </c>
      <c r="EN190" s="62" t="e">
        <f t="shared" si="128"/>
        <v>#NUM!</v>
      </c>
      <c r="EO190" s="62">
        <f ca="1">AVERAGE(OFFSET($EN$3,0,0,'Données projet'!$E$15+1,1))-AVERAGE(OFFSET($H$3,0,0,'Données projet'!$E$15+1,1))</f>
        <v>487.76433095707876</v>
      </c>
      <c r="EP190" s="62">
        <f t="shared" si="154"/>
        <v>276.24209151398361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-9.6633812063373625E-13</v>
      </c>
      <c r="FF190" s="18">
        <f>FE190*VLOOKUP('Données projet'!$B$16,Paramètres!$A$1:$I$89,3,0)*VLOOKUP('Données projet'!$B$16,Paramètres!$A$1:$I$89,5,0)</f>
        <v>-1.0401663530501537E-12</v>
      </c>
      <c r="FG190" s="14" t="e">
        <f t="shared" si="182"/>
        <v>#NUM!</v>
      </c>
      <c r="FH190" s="22" t="e">
        <f t="shared" si="183"/>
        <v>#NUM!</v>
      </c>
      <c r="FI190" s="62" t="e">
        <f t="shared" si="131"/>
        <v>#NUM!</v>
      </c>
      <c r="FJ190" s="62">
        <f ca="1">AVERAGE(OFFSET($FI$3,0,0,'Données projet'!$E$16+1,1))-AVERAGE(OFFSET($H$3,0,0,'Données projet'!$E$16+1,1))</f>
        <v>534.33392288300456</v>
      </c>
      <c r="FK190" s="62">
        <f t="shared" si="156"/>
        <v>300.93109615735477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-5.6843418860808015E-14</v>
      </c>
      <c r="GA190" s="18">
        <f>FZ190*VLOOKUP('Données projet'!$B$17,Paramètres!$A$1:$I$89,3,0)*VLOOKUP('Données projet'!$B$17,Paramètres!$A$1:$I$89,5,0)</f>
        <v>-3.813056537183002E-14</v>
      </c>
      <c r="GB190" s="14" t="e">
        <f t="shared" si="185"/>
        <v>#NUM!</v>
      </c>
      <c r="GC190" s="22" t="e">
        <f t="shared" si="186"/>
        <v>#NUM!</v>
      </c>
      <c r="GD190" s="62" t="e">
        <f t="shared" si="134"/>
        <v>#NUM!</v>
      </c>
      <c r="GE190" s="62">
        <f ca="1">AVERAGE(OFFSET($GD$3,0,0,'Données projet'!$E$17+1,1))-AVERAGE(OFFSET($H$3,0,0,'Données projet'!$E$17+1,1))</f>
        <v>316.17772895535211</v>
      </c>
      <c r="GF190" s="62">
        <f t="shared" si="158"/>
        <v>251.94445589652992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69.251247288846514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3.95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14.483333333333334</v>
      </c>
      <c r="H191" s="70">
        <f t="shared" si="110"/>
        <v>198.73333333333335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297.99999999999977</v>
      </c>
      <c r="O191" s="14">
        <f>N191*VLOOKUP('Données projet'!$B$9,Paramètres!$A$1:$I$89,3,0)*VLOOKUP('Données projet'!$B$9,Paramètres!$A$1:$I$89,5,0)</f>
        <v>251.0351999999998</v>
      </c>
      <c r="P191" s="14">
        <f t="shared" si="141"/>
        <v>60.807560012183302</v>
      </c>
      <c r="Q191" s="22">
        <f t="shared" si="162"/>
        <v>543.12614035455226</v>
      </c>
      <c r="R191" s="62">
        <f t="shared" si="109"/>
        <v>833.76167409410959</v>
      </c>
      <c r="S191" s="62">
        <f ca="1">AVERAGE(OFFSET($R$3,0,0,'Données projet'!$E$9+1,1))-AVERAGE(OFFSET($H$3,0,0,'Données projet'!$E$9+1,1))</f>
        <v>508.93703669150443</v>
      </c>
      <c r="T191" s="62">
        <f t="shared" si="142"/>
        <v>277.04920840696707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-9.6633812063373625E-13</v>
      </c>
      <c r="AJ191" s="14">
        <f>AI191*VLOOKUP('Données projet'!$B$10,Paramètres!$A$1:$I$89,3,0)*VLOOKUP('Données projet'!$B$10,Paramètres!$A$1:$I$89,5,0)</f>
        <v>-8.7434273154940449E-13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461.10503306101145</v>
      </c>
      <c r="AO191" s="62">
        <f t="shared" si="144"/>
        <v>262.10652147273288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-2.2737367544323206E-13</v>
      </c>
      <c r="BE191" s="14">
        <f>BD191*VLOOKUP('Données projet'!$B$11,Paramètres!$A$1:$I$89,3,0)*VLOOKUP('Données projet'!$B$11,Paramètres!$A$1:$I$89,5,0)</f>
        <v>-1.8089849618263545E-13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389.67854939311752</v>
      </c>
      <c r="BJ191" s="62">
        <f t="shared" si="146"/>
        <v>420.05189970516096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-1.0516032489249483E-12</v>
      </c>
      <c r="BZ191" s="14">
        <f>BY191*VLOOKUP('Données projet'!$B$12,Paramètres!$A$1:$I$89,3,0)*VLOOKUP('Données projet'!$B$12,Paramètres!$A$1:$I$89,5,0)</f>
        <v>-6.0151705838507046E-13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312.16891625633968</v>
      </c>
      <c r="CE191" s="62">
        <f t="shared" si="148"/>
        <v>215.34305815516177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0.15035367938329416</v>
      </c>
      <c r="CM191" s="23">
        <f>EXP(-LN(2)/2)*CM190+(1-EXP(-LN(2)/2))/(LN(2)/2)*CG191*CJ191*VLOOKUP('Données projet'!$B$12,Paramètres!$A$1:$I$89,3,0)*0.475*44/12</f>
        <v>1.3479057878061983E-23</v>
      </c>
      <c r="CN191" s="24">
        <f t="shared" si="172"/>
        <v>0.15035367938329416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3.979039320256561E-13</v>
      </c>
      <c r="CU191" s="18">
        <f>CT191*VLOOKUP('Données projet'!$B$13,Paramètres!$A$1:$I$89,3,0)*VLOOKUP('Données projet'!$B$13,Paramètres!$A$1:$I$89,5,0)</f>
        <v>2.669139576028101E-13</v>
      </c>
      <c r="CV191" s="14">
        <f t="shared" si="173"/>
        <v>3.5767923834585247E-12</v>
      </c>
      <c r="CW191" s="22">
        <f t="shared" si="174"/>
        <v>6.6944552106818241E-12</v>
      </c>
      <c r="CX191" s="62">
        <f t="shared" si="122"/>
        <v>290.6355337395641</v>
      </c>
      <c r="CY191" s="62">
        <f ca="1">AVERAGE(OFFSET($CX$3,0,0,'Données projet'!$E$13+1,1))-AVERAGE(OFFSET($H$3,0,0,'Données projet'!$E$13+1,1))</f>
        <v>369.04754428478793</v>
      </c>
      <c r="CZ191" s="62">
        <f t="shared" si="150"/>
        <v>277.00523259351712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1.1368683772161603E-13</v>
      </c>
      <c r="DP191" s="18">
        <f>DO191*VLOOKUP('Données projet'!$B$14,Paramètres!$A$1:$I$89,3,0)*VLOOKUP('Données projet'!$B$14,Paramètres!$A$1:$I$89,5,0)</f>
        <v>8.8675733422860506E-14</v>
      </c>
      <c r="DQ191" s="14">
        <f t="shared" si="176"/>
        <v>1.3509285393066301E-12</v>
      </c>
      <c r="DR191" s="22">
        <f t="shared" si="177"/>
        <v>2.5073107750038623E-12</v>
      </c>
      <c r="DS191" s="62">
        <f t="shared" si="125"/>
        <v>290.63553373955989</v>
      </c>
      <c r="DT191" s="62">
        <f ca="1">AVERAGE(OFFSET($DS$3,0,0,'Données projet'!$E$14+1,1))-AVERAGE(OFFSET($H$3,0,0,'Données projet'!$E$14+1,1))</f>
        <v>308.39181291575227</v>
      </c>
      <c r="DU191" s="62">
        <f t="shared" si="152"/>
        <v>298.58225298824334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-9.6633812063373625E-13</v>
      </c>
      <c r="EK191" s="18">
        <f>EJ191*VLOOKUP('Données projet'!$B$15,Paramètres!$A$1:$I$89,3,0)*VLOOKUP('Données projet'!$B$15,Paramètres!$A$1:$I$89,5,0)</f>
        <v>-9.3464223027694966E-13</v>
      </c>
      <c r="EL191" s="14" t="e">
        <f t="shared" si="179"/>
        <v>#NUM!</v>
      </c>
      <c r="EM191" s="22" t="e">
        <f t="shared" si="180"/>
        <v>#NUM!</v>
      </c>
      <c r="EN191" s="62" t="e">
        <f t="shared" si="128"/>
        <v>#NUM!</v>
      </c>
      <c r="EO191" s="62">
        <f ca="1">AVERAGE(OFFSET($EN$3,0,0,'Données projet'!$E$15+1,1))-AVERAGE(OFFSET($H$3,0,0,'Données projet'!$E$15+1,1))</f>
        <v>487.76433095707876</v>
      </c>
      <c r="EP191" s="62">
        <f t="shared" si="154"/>
        <v>276.24209151398361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-9.6633812063373625E-13</v>
      </c>
      <c r="FF191" s="18">
        <f>FE191*VLOOKUP('Données projet'!$B$16,Paramètres!$A$1:$I$89,3,0)*VLOOKUP('Données projet'!$B$16,Paramètres!$A$1:$I$89,5,0)</f>
        <v>-1.0401663530501537E-12</v>
      </c>
      <c r="FG191" s="14" t="e">
        <f t="shared" si="182"/>
        <v>#NUM!</v>
      </c>
      <c r="FH191" s="22" t="e">
        <f t="shared" si="183"/>
        <v>#NUM!</v>
      </c>
      <c r="FI191" s="62" t="e">
        <f t="shared" si="131"/>
        <v>#NUM!</v>
      </c>
      <c r="FJ191" s="62">
        <f ca="1">AVERAGE(OFFSET($FI$3,0,0,'Données projet'!$E$16+1,1))-AVERAGE(OFFSET($H$3,0,0,'Données projet'!$E$16+1,1))</f>
        <v>534.33392288300456</v>
      </c>
      <c r="FK191" s="62">
        <f t="shared" si="156"/>
        <v>300.93109615735477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-5.6843418860808015E-14</v>
      </c>
      <c r="GA191" s="18">
        <f>FZ191*VLOOKUP('Données projet'!$B$17,Paramètres!$A$1:$I$89,3,0)*VLOOKUP('Données projet'!$B$17,Paramètres!$A$1:$I$89,5,0)</f>
        <v>-3.813056537183002E-14</v>
      </c>
      <c r="GB191" s="14" t="e">
        <f t="shared" si="185"/>
        <v>#NUM!</v>
      </c>
      <c r="GC191" s="22" t="e">
        <f t="shared" si="186"/>
        <v>#NUM!</v>
      </c>
      <c r="GD191" s="62" t="e">
        <f t="shared" si="134"/>
        <v>#NUM!</v>
      </c>
      <c r="GE191" s="62">
        <f ca="1">AVERAGE(OFFSET($GD$3,0,0,'Données projet'!$E$17+1,1))-AVERAGE(OFFSET($H$3,0,0,'Données projet'!$E$17+1,1))</f>
        <v>316.17772895535211</v>
      </c>
      <c r="GF191" s="62">
        <f t="shared" si="158"/>
        <v>251.94445589652992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69.264236474424749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3.95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14.483333333333334</v>
      </c>
      <c r="H192" s="70">
        <f t="shared" si="110"/>
        <v>198.73333333333335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297.99999999999977</v>
      </c>
      <c r="O192" s="14">
        <f>N192*VLOOKUP('Données projet'!$B$9,Paramètres!$A$1:$I$89,3,0)*VLOOKUP('Données projet'!$B$9,Paramètres!$A$1:$I$89,5,0)</f>
        <v>251.0351999999998</v>
      </c>
      <c r="P192" s="14">
        <f t="shared" si="141"/>
        <v>60.807560012183302</v>
      </c>
      <c r="Q192" s="22">
        <f t="shared" si="162"/>
        <v>543.12614035455226</v>
      </c>
      <c r="R192" s="62">
        <f t="shared" si="109"/>
        <v>833.80847488568531</v>
      </c>
      <c r="S192" s="62">
        <f ca="1">AVERAGE(OFFSET($R$3,0,0,'Données projet'!$E$9+1,1))-AVERAGE(OFFSET($H$3,0,0,'Données projet'!$E$9+1,1))</f>
        <v>508.93703669150443</v>
      </c>
      <c r="T192" s="62">
        <f t="shared" si="142"/>
        <v>277.04920840696707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-9.6633812063373625E-13</v>
      </c>
      <c r="AJ192" s="14">
        <f>AI192*VLOOKUP('Données projet'!$B$10,Paramètres!$A$1:$I$89,3,0)*VLOOKUP('Données projet'!$B$10,Paramètres!$A$1:$I$89,5,0)</f>
        <v>-8.7434273154940449E-13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461.10503306101145</v>
      </c>
      <c r="AO192" s="62">
        <f t="shared" si="144"/>
        <v>262.10652147273288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-2.2737367544323206E-13</v>
      </c>
      <c r="BE192" s="14">
        <f>BD192*VLOOKUP('Données projet'!$B$11,Paramètres!$A$1:$I$89,3,0)*VLOOKUP('Données projet'!$B$11,Paramètres!$A$1:$I$89,5,0)</f>
        <v>-1.8089849618263545E-13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389.67854939311752</v>
      </c>
      <c r="BJ192" s="62">
        <f t="shared" si="146"/>
        <v>420.05189970516096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-1.0516032489249483E-12</v>
      </c>
      <c r="BZ192" s="14">
        <f>BY192*VLOOKUP('Données projet'!$B$12,Paramètres!$A$1:$I$89,3,0)*VLOOKUP('Données projet'!$B$12,Paramètres!$A$1:$I$89,5,0)</f>
        <v>-6.0151705838507046E-13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312.16891625633968</v>
      </c>
      <c r="CE192" s="62">
        <f t="shared" si="148"/>
        <v>215.34305815516177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0.14624225011380163</v>
      </c>
      <c r="CM192" s="23">
        <f>EXP(-LN(2)/2)*CM191+(1-EXP(-LN(2)/2))/(LN(2)/2)*CG192*CJ192*VLOOKUP('Données projet'!$B$12,Paramètres!$A$1:$I$89,3,0)*0.475*44/12</f>
        <v>9.5311332295835844E-24</v>
      </c>
      <c r="CN192" s="24">
        <f t="shared" si="172"/>
        <v>0.14624225011380163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3.979039320256561E-13</v>
      </c>
      <c r="CU192" s="18">
        <f>CT192*VLOOKUP('Données projet'!$B$13,Paramètres!$A$1:$I$89,3,0)*VLOOKUP('Données projet'!$B$13,Paramètres!$A$1:$I$89,5,0)</f>
        <v>2.669139576028101E-13</v>
      </c>
      <c r="CV192" s="14">
        <f t="shared" si="173"/>
        <v>3.5767923834585247E-12</v>
      </c>
      <c r="CW192" s="22">
        <f t="shared" si="174"/>
        <v>6.6944552106818241E-12</v>
      </c>
      <c r="CX192" s="62">
        <f t="shared" si="122"/>
        <v>290.68233453113976</v>
      </c>
      <c r="CY192" s="62">
        <f ca="1">AVERAGE(OFFSET($CX$3,0,0,'Données projet'!$E$13+1,1))-AVERAGE(OFFSET($H$3,0,0,'Données projet'!$E$13+1,1))</f>
        <v>369.04754428478793</v>
      </c>
      <c r="CZ192" s="62">
        <f t="shared" si="150"/>
        <v>277.00523259351712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1.1368683772161603E-13</v>
      </c>
      <c r="DP192" s="18">
        <f>DO192*VLOOKUP('Données projet'!$B$14,Paramètres!$A$1:$I$89,3,0)*VLOOKUP('Données projet'!$B$14,Paramètres!$A$1:$I$89,5,0)</f>
        <v>8.8675733422860506E-14</v>
      </c>
      <c r="DQ192" s="14">
        <f t="shared" si="176"/>
        <v>1.3509285393066301E-12</v>
      </c>
      <c r="DR192" s="22">
        <f t="shared" si="177"/>
        <v>2.5073107750038623E-12</v>
      </c>
      <c r="DS192" s="62">
        <f t="shared" si="125"/>
        <v>290.68233453113555</v>
      </c>
      <c r="DT192" s="62">
        <f ca="1">AVERAGE(OFFSET($DS$3,0,0,'Données projet'!$E$14+1,1))-AVERAGE(OFFSET($H$3,0,0,'Données projet'!$E$14+1,1))</f>
        <v>308.39181291575227</v>
      </c>
      <c r="DU192" s="62">
        <f t="shared" si="152"/>
        <v>298.58225298824334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-9.6633812063373625E-13</v>
      </c>
      <c r="EK192" s="18">
        <f>EJ192*VLOOKUP('Données projet'!$B$15,Paramètres!$A$1:$I$89,3,0)*VLOOKUP('Données projet'!$B$15,Paramètres!$A$1:$I$89,5,0)</f>
        <v>-9.3464223027694966E-13</v>
      </c>
      <c r="EL192" s="14" t="e">
        <f t="shared" si="179"/>
        <v>#NUM!</v>
      </c>
      <c r="EM192" s="22" t="e">
        <f t="shared" si="180"/>
        <v>#NUM!</v>
      </c>
      <c r="EN192" s="62" t="e">
        <f t="shared" si="128"/>
        <v>#NUM!</v>
      </c>
      <c r="EO192" s="62">
        <f ca="1">AVERAGE(OFFSET($EN$3,0,0,'Données projet'!$E$15+1,1))-AVERAGE(OFFSET($H$3,0,0,'Données projet'!$E$15+1,1))</f>
        <v>487.76433095707876</v>
      </c>
      <c r="EP192" s="62">
        <f t="shared" si="154"/>
        <v>276.24209151398361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-9.6633812063373625E-13</v>
      </c>
      <c r="FF192" s="18">
        <f>FE192*VLOOKUP('Données projet'!$B$16,Paramètres!$A$1:$I$89,3,0)*VLOOKUP('Données projet'!$B$16,Paramètres!$A$1:$I$89,5,0)</f>
        <v>-1.0401663530501537E-12</v>
      </c>
      <c r="FG192" s="14" t="e">
        <f t="shared" si="182"/>
        <v>#NUM!</v>
      </c>
      <c r="FH192" s="22" t="e">
        <f t="shared" si="183"/>
        <v>#NUM!</v>
      </c>
      <c r="FI192" s="62" t="e">
        <f t="shared" si="131"/>
        <v>#NUM!</v>
      </c>
      <c r="FJ192" s="62">
        <f ca="1">AVERAGE(OFFSET($FI$3,0,0,'Données projet'!$E$16+1,1))-AVERAGE(OFFSET($H$3,0,0,'Données projet'!$E$16+1,1))</f>
        <v>534.33392288300456</v>
      </c>
      <c r="FK192" s="62">
        <f t="shared" si="156"/>
        <v>300.93109615735477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-5.6843418860808015E-14</v>
      </c>
      <c r="GA192" s="18">
        <f>FZ192*VLOOKUP('Données projet'!$B$17,Paramètres!$A$1:$I$89,3,0)*VLOOKUP('Données projet'!$B$17,Paramètres!$A$1:$I$89,5,0)</f>
        <v>-3.813056537183002E-14</v>
      </c>
      <c r="GB192" s="14" t="e">
        <f t="shared" si="185"/>
        <v>#NUM!</v>
      </c>
      <c r="GC192" s="22" t="e">
        <f t="shared" si="186"/>
        <v>#NUM!</v>
      </c>
      <c r="GD192" s="62" t="e">
        <f t="shared" si="134"/>
        <v>#NUM!</v>
      </c>
      <c r="GE192" s="62">
        <f ca="1">AVERAGE(OFFSET($GD$3,0,0,'Données projet'!$E$17+1,1))-AVERAGE(OFFSET($H$3,0,0,'Données projet'!$E$17+1,1))</f>
        <v>316.17772895535211</v>
      </c>
      <c r="GF192" s="62">
        <f t="shared" si="158"/>
        <v>251.94445589652992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69.277000326672649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3.95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14.483333333333334</v>
      </c>
      <c r="H193" s="70">
        <f t="shared" si="110"/>
        <v>198.73333333333335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297.99999999999977</v>
      </c>
      <c r="O193" s="14">
        <f>N193*VLOOKUP('Données projet'!$B$9,Paramètres!$A$1:$I$89,3,0)*VLOOKUP('Données projet'!$B$9,Paramètres!$A$1:$I$89,5,0)</f>
        <v>251.0351999999998</v>
      </c>
      <c r="P193" s="14">
        <f t="shared" si="141"/>
        <v>60.807560012183302</v>
      </c>
      <c r="Q193" s="22">
        <f t="shared" si="162"/>
        <v>543.12614035455226</v>
      </c>
      <c r="R193" s="62">
        <f t="shared" si="109"/>
        <v>833.854463788158</v>
      </c>
      <c r="S193" s="62">
        <f ca="1">AVERAGE(OFFSET($R$3,0,0,'Données projet'!$E$9+1,1))-AVERAGE(OFFSET($H$3,0,0,'Données projet'!$E$9+1,1))</f>
        <v>508.93703669150443</v>
      </c>
      <c r="T193" s="62">
        <f t="shared" si="142"/>
        <v>277.04920840696707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-9.6633812063373625E-13</v>
      </c>
      <c r="AJ193" s="14">
        <f>AI193*VLOOKUP('Données projet'!$B$10,Paramètres!$A$1:$I$89,3,0)*VLOOKUP('Données projet'!$B$10,Paramètres!$A$1:$I$89,5,0)</f>
        <v>-8.7434273154940449E-13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461.10503306101145</v>
      </c>
      <c r="AO193" s="62">
        <f t="shared" si="144"/>
        <v>262.10652147273288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-2.2737367544323206E-13</v>
      </c>
      <c r="BE193" s="14">
        <f>BD193*VLOOKUP('Données projet'!$B$11,Paramètres!$A$1:$I$89,3,0)*VLOOKUP('Données projet'!$B$11,Paramètres!$A$1:$I$89,5,0)</f>
        <v>-1.8089849618263545E-13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389.67854939311752</v>
      </c>
      <c r="BJ193" s="62">
        <f t="shared" si="146"/>
        <v>420.05189970516096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-1.0516032489249483E-12</v>
      </c>
      <c r="BZ193" s="14">
        <f>BY193*VLOOKUP('Données projet'!$B$12,Paramètres!$A$1:$I$89,3,0)*VLOOKUP('Données projet'!$B$12,Paramètres!$A$1:$I$89,5,0)</f>
        <v>-6.0151705838507046E-13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312.16891625633968</v>
      </c>
      <c r="CE193" s="62">
        <f t="shared" si="148"/>
        <v>215.34305815516177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0.14224324809389402</v>
      </c>
      <c r="CM193" s="23">
        <f>EXP(-LN(2)/2)*CM192+(1-EXP(-LN(2)/2))/(LN(2)/2)*CG193*CJ193*VLOOKUP('Données projet'!$B$12,Paramètres!$A$1:$I$89,3,0)*0.475*44/12</f>
        <v>6.7395289390309916E-24</v>
      </c>
      <c r="CN193" s="24">
        <f t="shared" si="172"/>
        <v>0.14224324809389402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3.979039320256561E-13</v>
      </c>
      <c r="CU193" s="18">
        <f>CT193*VLOOKUP('Données projet'!$B$13,Paramètres!$A$1:$I$89,3,0)*VLOOKUP('Données projet'!$B$13,Paramètres!$A$1:$I$89,5,0)</f>
        <v>2.669139576028101E-13</v>
      </c>
      <c r="CV193" s="14">
        <f t="shared" si="173"/>
        <v>3.5767923834585247E-12</v>
      </c>
      <c r="CW193" s="22">
        <f t="shared" si="174"/>
        <v>6.6944552106818241E-12</v>
      </c>
      <c r="CX193" s="62">
        <f t="shared" si="122"/>
        <v>290.7283234336125</v>
      </c>
      <c r="CY193" s="62">
        <f ca="1">AVERAGE(OFFSET($CX$3,0,0,'Données projet'!$E$13+1,1))-AVERAGE(OFFSET($H$3,0,0,'Données projet'!$E$13+1,1))</f>
        <v>369.04754428478793</v>
      </c>
      <c r="CZ193" s="62">
        <f t="shared" si="150"/>
        <v>277.00523259351712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1.1368683772161603E-13</v>
      </c>
      <c r="DP193" s="18">
        <f>DO193*VLOOKUP('Données projet'!$B$14,Paramètres!$A$1:$I$89,3,0)*VLOOKUP('Données projet'!$B$14,Paramètres!$A$1:$I$89,5,0)</f>
        <v>8.8675733422860506E-14</v>
      </c>
      <c r="DQ193" s="14">
        <f t="shared" si="176"/>
        <v>1.3509285393066301E-12</v>
      </c>
      <c r="DR193" s="22">
        <f t="shared" si="177"/>
        <v>2.5073107750038623E-12</v>
      </c>
      <c r="DS193" s="62">
        <f t="shared" si="125"/>
        <v>290.7283234336083</v>
      </c>
      <c r="DT193" s="62">
        <f ca="1">AVERAGE(OFFSET($DS$3,0,0,'Données projet'!$E$14+1,1))-AVERAGE(OFFSET($H$3,0,0,'Données projet'!$E$14+1,1))</f>
        <v>308.39181291575227</v>
      </c>
      <c r="DU193" s="62">
        <f t="shared" si="152"/>
        <v>298.58225298824334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-9.6633812063373625E-13</v>
      </c>
      <c r="EK193" s="18">
        <f>EJ193*VLOOKUP('Données projet'!$B$15,Paramètres!$A$1:$I$89,3,0)*VLOOKUP('Données projet'!$B$15,Paramètres!$A$1:$I$89,5,0)</f>
        <v>-9.3464223027694966E-13</v>
      </c>
      <c r="EL193" s="14" t="e">
        <f t="shared" si="179"/>
        <v>#NUM!</v>
      </c>
      <c r="EM193" s="22" t="e">
        <f t="shared" si="180"/>
        <v>#NUM!</v>
      </c>
      <c r="EN193" s="62" t="e">
        <f t="shared" si="128"/>
        <v>#NUM!</v>
      </c>
      <c r="EO193" s="62">
        <f ca="1">AVERAGE(OFFSET($EN$3,0,0,'Données projet'!$E$15+1,1))-AVERAGE(OFFSET($H$3,0,0,'Données projet'!$E$15+1,1))</f>
        <v>487.76433095707876</v>
      </c>
      <c r="EP193" s="62">
        <f t="shared" si="154"/>
        <v>276.24209151398361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-9.6633812063373625E-13</v>
      </c>
      <c r="FF193" s="18">
        <f>FE193*VLOOKUP('Données projet'!$B$16,Paramètres!$A$1:$I$89,3,0)*VLOOKUP('Données projet'!$B$16,Paramètres!$A$1:$I$89,5,0)</f>
        <v>-1.0401663530501537E-12</v>
      </c>
      <c r="FG193" s="14" t="e">
        <f t="shared" si="182"/>
        <v>#NUM!</v>
      </c>
      <c r="FH193" s="22" t="e">
        <f t="shared" si="183"/>
        <v>#NUM!</v>
      </c>
      <c r="FI193" s="62" t="e">
        <f t="shared" si="131"/>
        <v>#NUM!</v>
      </c>
      <c r="FJ193" s="62">
        <f ca="1">AVERAGE(OFFSET($FI$3,0,0,'Données projet'!$E$16+1,1))-AVERAGE(OFFSET($H$3,0,0,'Données projet'!$E$16+1,1))</f>
        <v>534.33392288300456</v>
      </c>
      <c r="FK193" s="62">
        <f t="shared" si="156"/>
        <v>300.93109615735477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-5.6843418860808015E-14</v>
      </c>
      <c r="GA193" s="18">
        <f>FZ193*VLOOKUP('Données projet'!$B$17,Paramètres!$A$1:$I$89,3,0)*VLOOKUP('Données projet'!$B$17,Paramètres!$A$1:$I$89,5,0)</f>
        <v>-3.813056537183002E-14</v>
      </c>
      <c r="GB193" s="14" t="e">
        <f t="shared" si="185"/>
        <v>#NUM!</v>
      </c>
      <c r="GC193" s="22" t="e">
        <f t="shared" si="186"/>
        <v>#NUM!</v>
      </c>
      <c r="GD193" s="62" t="e">
        <f t="shared" si="134"/>
        <v>#NUM!</v>
      </c>
      <c r="GE193" s="62">
        <f ca="1">AVERAGE(OFFSET($GD$3,0,0,'Données projet'!$E$17+1,1))-AVERAGE(OFFSET($H$3,0,0,'Données projet'!$E$17+1,1))</f>
        <v>316.17772895535211</v>
      </c>
      <c r="GF193" s="62">
        <f t="shared" si="158"/>
        <v>251.94445589652992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69.28954275461976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3.95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14.483333333333334</v>
      </c>
      <c r="H194" s="70">
        <f t="shared" si="110"/>
        <v>198.73333333333335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297.99999999999977</v>
      </c>
      <c r="O194" s="14">
        <f>N194*VLOOKUP('Données projet'!$B$9,Paramètres!$A$1:$I$89,3,0)*VLOOKUP('Données projet'!$B$9,Paramètres!$A$1:$I$89,5,0)</f>
        <v>251.0351999999998</v>
      </c>
      <c r="P194" s="14">
        <f t="shared" si="141"/>
        <v>60.807560012183302</v>
      </c>
      <c r="Q194" s="22">
        <f t="shared" si="162"/>
        <v>543.12614035455226</v>
      </c>
      <c r="R194" s="62">
        <f t="shared" si="109"/>
        <v>833.89965488598864</v>
      </c>
      <c r="S194" s="62">
        <f ca="1">AVERAGE(OFFSET($R$3,0,0,'Données projet'!$E$9+1,1))-AVERAGE(OFFSET($H$3,0,0,'Données projet'!$E$9+1,1))</f>
        <v>508.93703669150443</v>
      </c>
      <c r="T194" s="62">
        <f t="shared" si="142"/>
        <v>277.04920840696707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-9.6633812063373625E-13</v>
      </c>
      <c r="AJ194" s="14">
        <f>AI194*VLOOKUP('Données projet'!$B$10,Paramètres!$A$1:$I$89,3,0)*VLOOKUP('Données projet'!$B$10,Paramètres!$A$1:$I$89,5,0)</f>
        <v>-8.7434273154940449E-13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461.10503306101145</v>
      </c>
      <c r="AO194" s="62">
        <f t="shared" si="144"/>
        <v>262.10652147273288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-2.2737367544323206E-13</v>
      </c>
      <c r="BE194" s="14">
        <f>BD194*VLOOKUP('Données projet'!$B$11,Paramètres!$A$1:$I$89,3,0)*VLOOKUP('Données projet'!$B$11,Paramètres!$A$1:$I$89,5,0)</f>
        <v>-1.8089849618263545E-13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389.67854939311752</v>
      </c>
      <c r="BJ194" s="62">
        <f t="shared" si="146"/>
        <v>420.05189970516096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-1.0516032489249483E-12</v>
      </c>
      <c r="BZ194" s="14">
        <f>BY194*VLOOKUP('Données projet'!$B$12,Paramètres!$A$1:$I$89,3,0)*VLOOKUP('Données projet'!$B$12,Paramètres!$A$1:$I$89,5,0)</f>
        <v>-6.0151705838507046E-13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312.16891625633968</v>
      </c>
      <c r="CE194" s="62">
        <f t="shared" si="148"/>
        <v>215.34305815516177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0.13835359899451918</v>
      </c>
      <c r="CM194" s="23">
        <f>EXP(-LN(2)/2)*CM193+(1-EXP(-LN(2)/2))/(LN(2)/2)*CG194*CJ194*VLOOKUP('Données projet'!$B$12,Paramètres!$A$1:$I$89,3,0)*0.475*44/12</f>
        <v>4.7655666147917922E-24</v>
      </c>
      <c r="CN194" s="24">
        <f t="shared" si="172"/>
        <v>0.13835359899451918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3.979039320256561E-13</v>
      </c>
      <c r="CU194" s="18">
        <f>CT194*VLOOKUP('Données projet'!$B$13,Paramètres!$A$1:$I$89,3,0)*VLOOKUP('Données projet'!$B$13,Paramètres!$A$1:$I$89,5,0)</f>
        <v>2.669139576028101E-13</v>
      </c>
      <c r="CV194" s="14">
        <f t="shared" si="173"/>
        <v>3.5767923834585247E-12</v>
      </c>
      <c r="CW194" s="22">
        <f t="shared" si="174"/>
        <v>6.6944552106818241E-12</v>
      </c>
      <c r="CX194" s="62">
        <f t="shared" si="122"/>
        <v>290.77351453144314</v>
      </c>
      <c r="CY194" s="62">
        <f ca="1">AVERAGE(OFFSET($CX$3,0,0,'Données projet'!$E$13+1,1))-AVERAGE(OFFSET($H$3,0,0,'Données projet'!$E$13+1,1))</f>
        <v>369.04754428478793</v>
      </c>
      <c r="CZ194" s="62">
        <f t="shared" si="150"/>
        <v>277.00523259351712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1.1368683772161603E-13</v>
      </c>
      <c r="DP194" s="18">
        <f>DO194*VLOOKUP('Données projet'!$B$14,Paramètres!$A$1:$I$89,3,0)*VLOOKUP('Données projet'!$B$14,Paramètres!$A$1:$I$89,5,0)</f>
        <v>8.8675733422860506E-14</v>
      </c>
      <c r="DQ194" s="14">
        <f t="shared" si="176"/>
        <v>1.3509285393066301E-12</v>
      </c>
      <c r="DR194" s="22">
        <f t="shared" si="177"/>
        <v>2.5073107750038623E-12</v>
      </c>
      <c r="DS194" s="62">
        <f t="shared" si="125"/>
        <v>290.77351453143893</v>
      </c>
      <c r="DT194" s="62">
        <f ca="1">AVERAGE(OFFSET($DS$3,0,0,'Données projet'!$E$14+1,1))-AVERAGE(OFFSET($H$3,0,0,'Données projet'!$E$14+1,1))</f>
        <v>308.39181291575227</v>
      </c>
      <c r="DU194" s="62">
        <f t="shared" si="152"/>
        <v>298.58225298824334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-9.6633812063373625E-13</v>
      </c>
      <c r="EK194" s="18">
        <f>EJ194*VLOOKUP('Données projet'!$B$15,Paramètres!$A$1:$I$89,3,0)*VLOOKUP('Données projet'!$B$15,Paramètres!$A$1:$I$89,5,0)</f>
        <v>-9.3464223027694966E-13</v>
      </c>
      <c r="EL194" s="14" t="e">
        <f t="shared" si="179"/>
        <v>#NUM!</v>
      </c>
      <c r="EM194" s="22" t="e">
        <f t="shared" si="180"/>
        <v>#NUM!</v>
      </c>
      <c r="EN194" s="62" t="e">
        <f t="shared" si="128"/>
        <v>#NUM!</v>
      </c>
      <c r="EO194" s="62">
        <f ca="1">AVERAGE(OFFSET($EN$3,0,0,'Données projet'!$E$15+1,1))-AVERAGE(OFFSET($H$3,0,0,'Données projet'!$E$15+1,1))</f>
        <v>487.76433095707876</v>
      </c>
      <c r="EP194" s="62">
        <f t="shared" si="154"/>
        <v>276.24209151398361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-9.6633812063373625E-13</v>
      </c>
      <c r="FF194" s="18">
        <f>FE194*VLOOKUP('Données projet'!$B$16,Paramètres!$A$1:$I$89,3,0)*VLOOKUP('Données projet'!$B$16,Paramètres!$A$1:$I$89,5,0)</f>
        <v>-1.0401663530501537E-12</v>
      </c>
      <c r="FG194" s="14" t="e">
        <f t="shared" si="182"/>
        <v>#NUM!</v>
      </c>
      <c r="FH194" s="22" t="e">
        <f t="shared" si="183"/>
        <v>#NUM!</v>
      </c>
      <c r="FI194" s="62" t="e">
        <f t="shared" si="131"/>
        <v>#NUM!</v>
      </c>
      <c r="FJ194" s="62">
        <f ca="1">AVERAGE(OFFSET($FI$3,0,0,'Données projet'!$E$16+1,1))-AVERAGE(OFFSET($H$3,0,0,'Données projet'!$E$16+1,1))</f>
        <v>534.33392288300456</v>
      </c>
      <c r="FK194" s="62">
        <f t="shared" si="156"/>
        <v>300.93109615735477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-5.6843418860808015E-14</v>
      </c>
      <c r="GA194" s="18">
        <f>FZ194*VLOOKUP('Données projet'!$B$17,Paramètres!$A$1:$I$89,3,0)*VLOOKUP('Données projet'!$B$17,Paramètres!$A$1:$I$89,5,0)</f>
        <v>-3.813056537183002E-14</v>
      </c>
      <c r="GB194" s="14" t="e">
        <f t="shared" si="185"/>
        <v>#NUM!</v>
      </c>
      <c r="GC194" s="22" t="e">
        <f t="shared" si="186"/>
        <v>#NUM!</v>
      </c>
      <c r="GD194" s="62" t="e">
        <f t="shared" si="134"/>
        <v>#NUM!</v>
      </c>
      <c r="GE194" s="62">
        <f ca="1">AVERAGE(OFFSET($GD$3,0,0,'Données projet'!$E$17+1,1))-AVERAGE(OFFSET($H$3,0,0,'Données projet'!$E$17+1,1))</f>
        <v>316.17772895535211</v>
      </c>
      <c r="GF194" s="62">
        <f t="shared" si="158"/>
        <v>251.94445589652992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69.301867599482662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3.95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14.483333333333334</v>
      </c>
      <c r="H195" s="70">
        <f t="shared" si="110"/>
        <v>198.73333333333335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297.99999999999977</v>
      </c>
      <c r="O195" s="14">
        <f>N195*VLOOKUP('Données projet'!$B$9,Paramètres!$A$1:$I$89,3,0)*VLOOKUP('Données projet'!$B$9,Paramètres!$A$1:$I$89,5,0)</f>
        <v>251.0351999999998</v>
      </c>
      <c r="P195" s="14">
        <f t="shared" si="141"/>
        <v>60.807560012183302</v>
      </c>
      <c r="Q195" s="22">
        <f t="shared" si="162"/>
        <v>543.12614035455226</v>
      </c>
      <c r="R195" s="62">
        <f t="shared" ref="R195:R203" si="191">Q195+(I195+J195)*44/12</f>
        <v>833.94406201930406</v>
      </c>
      <c r="S195" s="62">
        <f ca="1">AVERAGE(OFFSET($R$3,0,0,'Données projet'!$E$9+1,1))-AVERAGE(OFFSET($H$3,0,0,'Données projet'!$E$9+1,1))</f>
        <v>508.93703669150443</v>
      </c>
      <c r="T195" s="62">
        <f t="shared" si="142"/>
        <v>277.04920840696707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-9.6633812063373625E-13</v>
      </c>
      <c r="AJ195" s="14">
        <f>AI195*VLOOKUP('Données projet'!$B$10,Paramètres!$A$1:$I$89,3,0)*VLOOKUP('Données projet'!$B$10,Paramètres!$A$1:$I$89,5,0)</f>
        <v>-8.7434273154940449E-13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461.10503306101145</v>
      </c>
      <c r="AO195" s="62">
        <f t="shared" si="144"/>
        <v>262.10652147273288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-2.2737367544323206E-13</v>
      </c>
      <c r="BE195" s="14">
        <f>BD195*VLOOKUP('Données projet'!$B$11,Paramètres!$A$1:$I$89,3,0)*VLOOKUP('Données projet'!$B$11,Paramètres!$A$1:$I$89,5,0)</f>
        <v>-1.8089849618263545E-13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389.67854939311752</v>
      </c>
      <c r="BJ195" s="62">
        <f t="shared" si="146"/>
        <v>420.05189970516096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-1.0516032489249483E-12</v>
      </c>
      <c r="BZ195" s="14">
        <f>BY195*VLOOKUP('Données projet'!$B$12,Paramètres!$A$1:$I$89,3,0)*VLOOKUP('Données projet'!$B$12,Paramètres!$A$1:$I$89,5,0)</f>
        <v>-6.0151705838507046E-13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312.16891625633968</v>
      </c>
      <c r="CE195" s="62">
        <f t="shared" si="148"/>
        <v>215.34305815516177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0.13457031255431451</v>
      </c>
      <c r="CM195" s="23">
        <f>EXP(-LN(2)/2)*CM194+(1-EXP(-LN(2)/2))/(LN(2)/2)*CG195*CJ195*VLOOKUP('Données projet'!$B$12,Paramètres!$A$1:$I$89,3,0)*0.475*44/12</f>
        <v>3.3697644695154958E-24</v>
      </c>
      <c r="CN195" s="24">
        <f t="shared" si="172"/>
        <v>0.13457031255431451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3.979039320256561E-13</v>
      </c>
      <c r="CU195" s="18">
        <f>CT195*VLOOKUP('Données projet'!$B$13,Paramètres!$A$1:$I$89,3,0)*VLOOKUP('Données projet'!$B$13,Paramètres!$A$1:$I$89,5,0)</f>
        <v>2.669139576028101E-13</v>
      </c>
      <c r="CV195" s="14">
        <f t="shared" si="173"/>
        <v>3.5767923834585247E-12</v>
      </c>
      <c r="CW195" s="22">
        <f t="shared" si="174"/>
        <v>6.6944552106818241E-12</v>
      </c>
      <c r="CX195" s="62">
        <f t="shared" si="122"/>
        <v>290.81792166475856</v>
      </c>
      <c r="CY195" s="62">
        <f ca="1">AVERAGE(OFFSET($CX$3,0,0,'Données projet'!$E$13+1,1))-AVERAGE(OFFSET($H$3,0,0,'Données projet'!$E$13+1,1))</f>
        <v>369.04754428478793</v>
      </c>
      <c r="CZ195" s="62">
        <f t="shared" si="150"/>
        <v>277.00523259351712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1.1368683772161603E-13</v>
      </c>
      <c r="DP195" s="18">
        <f>DO195*VLOOKUP('Données projet'!$B$14,Paramètres!$A$1:$I$89,3,0)*VLOOKUP('Données projet'!$B$14,Paramètres!$A$1:$I$89,5,0)</f>
        <v>8.8675733422860506E-14</v>
      </c>
      <c r="DQ195" s="14">
        <f t="shared" si="176"/>
        <v>1.3509285393066301E-12</v>
      </c>
      <c r="DR195" s="22">
        <f t="shared" si="177"/>
        <v>2.5073107750038623E-12</v>
      </c>
      <c r="DS195" s="62">
        <f t="shared" si="125"/>
        <v>290.81792166475435</v>
      </c>
      <c r="DT195" s="62">
        <f ca="1">AVERAGE(OFFSET($DS$3,0,0,'Données projet'!$E$14+1,1))-AVERAGE(OFFSET($H$3,0,0,'Données projet'!$E$14+1,1))</f>
        <v>308.39181291575227</v>
      </c>
      <c r="DU195" s="62">
        <f t="shared" si="152"/>
        <v>298.58225298824334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-9.6633812063373625E-13</v>
      </c>
      <c r="EK195" s="18">
        <f>EJ195*VLOOKUP('Données projet'!$B$15,Paramètres!$A$1:$I$89,3,0)*VLOOKUP('Données projet'!$B$15,Paramètres!$A$1:$I$89,5,0)</f>
        <v>-9.3464223027694966E-13</v>
      </c>
      <c r="EL195" s="14" t="e">
        <f t="shared" si="179"/>
        <v>#NUM!</v>
      </c>
      <c r="EM195" s="22" t="e">
        <f t="shared" si="180"/>
        <v>#NUM!</v>
      </c>
      <c r="EN195" s="62" t="e">
        <f t="shared" si="128"/>
        <v>#NUM!</v>
      </c>
      <c r="EO195" s="62">
        <f ca="1">AVERAGE(OFFSET($EN$3,0,0,'Données projet'!$E$15+1,1))-AVERAGE(OFFSET($H$3,0,0,'Données projet'!$E$15+1,1))</f>
        <v>487.76433095707876</v>
      </c>
      <c r="EP195" s="62">
        <f t="shared" si="154"/>
        <v>276.24209151398361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-9.6633812063373625E-13</v>
      </c>
      <c r="FF195" s="18">
        <f>FE195*VLOOKUP('Données projet'!$B$16,Paramètres!$A$1:$I$89,3,0)*VLOOKUP('Données projet'!$B$16,Paramètres!$A$1:$I$89,5,0)</f>
        <v>-1.0401663530501537E-12</v>
      </c>
      <c r="FG195" s="14" t="e">
        <f t="shared" si="182"/>
        <v>#NUM!</v>
      </c>
      <c r="FH195" s="22" t="e">
        <f t="shared" si="183"/>
        <v>#NUM!</v>
      </c>
      <c r="FI195" s="62" t="e">
        <f t="shared" si="131"/>
        <v>#NUM!</v>
      </c>
      <c r="FJ195" s="62">
        <f ca="1">AVERAGE(OFFSET($FI$3,0,0,'Données projet'!$E$16+1,1))-AVERAGE(OFFSET($H$3,0,0,'Données projet'!$E$16+1,1))</f>
        <v>534.33392288300456</v>
      </c>
      <c r="FK195" s="62">
        <f t="shared" si="156"/>
        <v>300.93109615735477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-5.6843418860808015E-14</v>
      </c>
      <c r="GA195" s="18">
        <f>FZ195*VLOOKUP('Données projet'!$B$17,Paramètres!$A$1:$I$89,3,0)*VLOOKUP('Données projet'!$B$17,Paramètres!$A$1:$I$89,5,0)</f>
        <v>-3.813056537183002E-14</v>
      </c>
      <c r="GB195" s="14" t="e">
        <f t="shared" si="185"/>
        <v>#NUM!</v>
      </c>
      <c r="GC195" s="22" t="e">
        <f t="shared" si="186"/>
        <v>#NUM!</v>
      </c>
      <c r="GD195" s="62" t="e">
        <f t="shared" si="134"/>
        <v>#NUM!</v>
      </c>
      <c r="GE195" s="62">
        <f ca="1">AVERAGE(OFFSET($GD$3,0,0,'Données projet'!$E$17+1,1))-AVERAGE(OFFSET($H$3,0,0,'Données projet'!$E$17+1,1))</f>
        <v>316.17772895535211</v>
      </c>
      <c r="GF195" s="62">
        <f t="shared" si="158"/>
        <v>251.94445589652992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69.313978635841423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3.95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14.483333333333334</v>
      </c>
      <c r="H196" s="70">
        <f t="shared" ref="H196:H203" si="192">(B196+E196+F196)*44/12+(C196+D196)*0.475*44/12</f>
        <v>198.73333333333335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297.99999999999977</v>
      </c>
      <c r="O196" s="14">
        <f>N196*VLOOKUP('Données projet'!$B$9,Paramètres!$A$1:$I$89,3,0)*VLOOKUP('Données projet'!$B$9,Paramètres!$A$1:$I$89,5,0)</f>
        <v>251.0351999999998</v>
      </c>
      <c r="P196" s="14">
        <f t="shared" si="141"/>
        <v>60.807560012183302</v>
      </c>
      <c r="Q196" s="22">
        <f t="shared" si="162"/>
        <v>543.12614035455226</v>
      </c>
      <c r="R196" s="62">
        <f t="shared" si="191"/>
        <v>833.98769878813596</v>
      </c>
      <c r="S196" s="62">
        <f ca="1">AVERAGE(OFFSET($R$3,0,0,'Données projet'!$E$9+1,1))-AVERAGE(OFFSET($H$3,0,0,'Données projet'!$E$9+1,1))</f>
        <v>508.93703669150443</v>
      </c>
      <c r="T196" s="62">
        <f t="shared" si="142"/>
        <v>277.04920840696707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-9.6633812063373625E-13</v>
      </c>
      <c r="AJ196" s="14">
        <f>AI196*VLOOKUP('Données projet'!$B$10,Paramètres!$A$1:$I$89,3,0)*VLOOKUP('Données projet'!$B$10,Paramètres!$A$1:$I$89,5,0)</f>
        <v>-8.7434273154940449E-13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461.10503306101145</v>
      </c>
      <c r="AO196" s="62">
        <f t="shared" si="144"/>
        <v>262.10652147273288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-2.2737367544323206E-13</v>
      </c>
      <c r="BE196" s="14">
        <f>BD196*VLOOKUP('Données projet'!$B$11,Paramètres!$A$1:$I$89,3,0)*VLOOKUP('Données projet'!$B$11,Paramètres!$A$1:$I$89,5,0)</f>
        <v>-1.8089849618263545E-13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389.67854939311752</v>
      </c>
      <c r="BJ196" s="62">
        <f t="shared" si="146"/>
        <v>420.05189970516096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-1.0516032489249483E-12</v>
      </c>
      <c r="BZ196" s="14">
        <f>BY196*VLOOKUP('Données projet'!$B$12,Paramètres!$A$1:$I$89,3,0)*VLOOKUP('Données projet'!$B$12,Paramètres!$A$1:$I$89,5,0)</f>
        <v>-6.0151705838507046E-13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312.16891625633968</v>
      </c>
      <c r="CE196" s="62">
        <f t="shared" si="148"/>
        <v>215.34305815516177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0.1308904802807716</v>
      </c>
      <c r="CM196" s="23">
        <f>EXP(-LN(2)/2)*CM195+(1-EXP(-LN(2)/2))/(LN(2)/2)*CG196*CJ196*VLOOKUP('Données projet'!$B$12,Paramètres!$A$1:$I$89,3,0)*0.475*44/12</f>
        <v>2.3827833073958961E-24</v>
      </c>
      <c r="CN196" s="24">
        <f t="shared" si="172"/>
        <v>0.1308904802807716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3.979039320256561E-13</v>
      </c>
      <c r="CU196" s="18">
        <f>CT196*VLOOKUP('Données projet'!$B$13,Paramètres!$A$1:$I$89,3,0)*VLOOKUP('Données projet'!$B$13,Paramètres!$A$1:$I$89,5,0)</f>
        <v>2.669139576028101E-13</v>
      </c>
      <c r="CV196" s="14">
        <f t="shared" si="173"/>
        <v>3.5767923834585247E-12</v>
      </c>
      <c r="CW196" s="22">
        <f t="shared" si="174"/>
        <v>6.6944552106818241E-12</v>
      </c>
      <c r="CX196" s="62">
        <f t="shared" ref="CX196:CX203" si="196">CW196+(CO196+CP196)*44/12</f>
        <v>290.8615584335904</v>
      </c>
      <c r="CY196" s="62">
        <f ca="1">AVERAGE(OFFSET($CX$3,0,0,'Données projet'!$E$13+1,1))-AVERAGE(OFFSET($H$3,0,0,'Données projet'!$E$13+1,1))</f>
        <v>369.04754428478793</v>
      </c>
      <c r="CZ196" s="62">
        <f t="shared" si="150"/>
        <v>277.00523259351712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1.1368683772161603E-13</v>
      </c>
      <c r="DP196" s="18">
        <f>DO196*VLOOKUP('Données projet'!$B$14,Paramètres!$A$1:$I$89,3,0)*VLOOKUP('Données projet'!$B$14,Paramètres!$A$1:$I$89,5,0)</f>
        <v>8.8675733422860506E-14</v>
      </c>
      <c r="DQ196" s="14">
        <f t="shared" si="176"/>
        <v>1.3509285393066301E-12</v>
      </c>
      <c r="DR196" s="22">
        <f t="shared" si="177"/>
        <v>2.5073107750038623E-12</v>
      </c>
      <c r="DS196" s="62">
        <f t="shared" ref="DS196:DS203" si="197">DR196+(DJ196+DK196)*44/12</f>
        <v>290.8615584335862</v>
      </c>
      <c r="DT196" s="62">
        <f ca="1">AVERAGE(OFFSET($DS$3,0,0,'Données projet'!$E$14+1,1))-AVERAGE(OFFSET($H$3,0,0,'Données projet'!$E$14+1,1))</f>
        <v>308.39181291575227</v>
      </c>
      <c r="DU196" s="62">
        <f t="shared" si="152"/>
        <v>298.58225298824334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-9.6633812063373625E-13</v>
      </c>
      <c r="EK196" s="18">
        <f>EJ196*VLOOKUP('Données projet'!$B$15,Paramètres!$A$1:$I$89,3,0)*VLOOKUP('Données projet'!$B$15,Paramètres!$A$1:$I$89,5,0)</f>
        <v>-9.3464223027694966E-13</v>
      </c>
      <c r="EL196" s="14" t="e">
        <f t="shared" si="179"/>
        <v>#NUM!</v>
      </c>
      <c r="EM196" s="22" t="e">
        <f t="shared" si="180"/>
        <v>#NUM!</v>
      </c>
      <c r="EN196" s="62" t="e">
        <f t="shared" ref="EN196:EN203" si="198">EM196+(EE196+EF196)*44/12</f>
        <v>#NUM!</v>
      </c>
      <c r="EO196" s="62">
        <f ca="1">AVERAGE(OFFSET($EN$3,0,0,'Données projet'!$E$15+1,1))-AVERAGE(OFFSET($H$3,0,0,'Données projet'!$E$15+1,1))</f>
        <v>487.76433095707876</v>
      </c>
      <c r="EP196" s="62">
        <f t="shared" si="154"/>
        <v>276.24209151398361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-9.6633812063373625E-13</v>
      </c>
      <c r="FF196" s="18">
        <f>FE196*VLOOKUP('Données projet'!$B$16,Paramètres!$A$1:$I$89,3,0)*VLOOKUP('Données projet'!$B$16,Paramètres!$A$1:$I$89,5,0)</f>
        <v>-1.0401663530501537E-12</v>
      </c>
      <c r="FG196" s="14" t="e">
        <f t="shared" si="182"/>
        <v>#NUM!</v>
      </c>
      <c r="FH196" s="22" t="e">
        <f t="shared" si="183"/>
        <v>#NUM!</v>
      </c>
      <c r="FI196" s="62" t="e">
        <f t="shared" ref="FI196:FI203" si="199">FH196+(EZ196+FA196)*44/12</f>
        <v>#NUM!</v>
      </c>
      <c r="FJ196" s="62">
        <f ca="1">AVERAGE(OFFSET($FI$3,0,0,'Données projet'!$E$16+1,1))-AVERAGE(OFFSET($H$3,0,0,'Données projet'!$E$16+1,1))</f>
        <v>534.33392288300456</v>
      </c>
      <c r="FK196" s="62">
        <f t="shared" si="156"/>
        <v>300.93109615735477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-5.6843418860808015E-14</v>
      </c>
      <c r="GA196" s="18">
        <f>FZ196*VLOOKUP('Données projet'!$B$17,Paramètres!$A$1:$I$89,3,0)*VLOOKUP('Données projet'!$B$17,Paramètres!$A$1:$I$89,5,0)</f>
        <v>-3.813056537183002E-14</v>
      </c>
      <c r="GB196" s="14" t="e">
        <f t="shared" si="185"/>
        <v>#NUM!</v>
      </c>
      <c r="GC196" s="22" t="e">
        <f t="shared" si="186"/>
        <v>#NUM!</v>
      </c>
      <c r="GD196" s="62" t="e">
        <f t="shared" ref="GD196:GD203" si="200">GC196+(FU196+FV196)*44/12</f>
        <v>#NUM!</v>
      </c>
      <c r="GE196" s="62">
        <f ca="1">AVERAGE(OFFSET($GD$3,0,0,'Données projet'!$E$17+1,1))-AVERAGE(OFFSET($H$3,0,0,'Données projet'!$E$17+1,1))</f>
        <v>316.17772895535211</v>
      </c>
      <c r="GF196" s="62">
        <f t="shared" si="158"/>
        <v>251.94445589652992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69.325879572795557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3.95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14.483333333333334</v>
      </c>
      <c r="H197" s="70">
        <f t="shared" si="192"/>
        <v>198.73333333333335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297.99999999999977</v>
      </c>
      <c r="O197" s="14">
        <f>N197*VLOOKUP('Données projet'!$B$9,Paramètres!$A$1:$I$89,3,0)*VLOOKUP('Données projet'!$B$9,Paramètres!$A$1:$I$89,5,0)</f>
        <v>251.0351999999998</v>
      </c>
      <c r="P197" s="14">
        <f t="shared" ref="P197:P203" si="203">EXP(-1.0587+0.8836*LN(O197)+0.284)</f>
        <v>60.807560012183302</v>
      </c>
      <c r="Q197" s="22">
        <f t="shared" si="162"/>
        <v>543.12614035455226</v>
      </c>
      <c r="R197" s="62">
        <f t="shared" si="191"/>
        <v>834.03057855658585</v>
      </c>
      <c r="S197" s="62">
        <f ca="1">AVERAGE(OFFSET($R$3,0,0,'Données projet'!$E$9+1,1))-AVERAGE(OFFSET($H$3,0,0,'Données projet'!$E$9+1,1))</f>
        <v>508.93703669150443</v>
      </c>
      <c r="T197" s="62">
        <f t="shared" ref="T197:T203" si="204">$T$3</f>
        <v>277.04920840696707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-9.6633812063373625E-13</v>
      </c>
      <c r="AJ197" s="14">
        <f>AI197*VLOOKUP('Données projet'!$B$10,Paramètres!$A$1:$I$89,3,0)*VLOOKUP('Données projet'!$B$10,Paramètres!$A$1:$I$89,5,0)</f>
        <v>-8.7434273154940449E-13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461.10503306101145</v>
      </c>
      <c r="AO197" s="62">
        <f t="shared" ref="AO197:AO203" si="205">$AO$3</f>
        <v>262.10652147273288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-2.2737367544323206E-13</v>
      </c>
      <c r="BE197" s="14">
        <f>BD197*VLOOKUP('Données projet'!$B$11,Paramètres!$A$1:$I$89,3,0)*VLOOKUP('Données projet'!$B$11,Paramètres!$A$1:$I$89,5,0)</f>
        <v>-1.8089849618263545E-13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389.67854939311752</v>
      </c>
      <c r="BJ197" s="62">
        <f t="shared" ref="BJ197:BJ203" si="206">$BJ$3</f>
        <v>420.05189970516096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-1.0516032489249483E-12</v>
      </c>
      <c r="BZ197" s="14">
        <f>BY197*VLOOKUP('Données projet'!$B$12,Paramètres!$A$1:$I$89,3,0)*VLOOKUP('Données projet'!$B$12,Paramètres!$A$1:$I$89,5,0)</f>
        <v>-6.0151705838507046E-13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312.16891625633968</v>
      </c>
      <c r="CE197" s="62">
        <f t="shared" ref="CE197:CE203" si="207">$CE$3</f>
        <v>215.34305815516177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0.12731127321426269</v>
      </c>
      <c r="CM197" s="23">
        <f>EXP(-LN(2)/2)*CM196+(1-EXP(-LN(2)/2))/(LN(2)/2)*CG197*CJ197*VLOOKUP('Données projet'!$B$12,Paramètres!$A$1:$I$89,3,0)*0.475*44/12</f>
        <v>1.6848822347577479E-24</v>
      </c>
      <c r="CN197" s="24">
        <f t="shared" si="172"/>
        <v>0.12731127321426269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3.979039320256561E-13</v>
      </c>
      <c r="CU197" s="18">
        <f>CT197*VLOOKUP('Données projet'!$B$13,Paramètres!$A$1:$I$89,3,0)*VLOOKUP('Données projet'!$B$13,Paramètres!$A$1:$I$89,5,0)</f>
        <v>2.669139576028101E-13</v>
      </c>
      <c r="CV197" s="14">
        <f t="shared" si="173"/>
        <v>3.5767923834585247E-12</v>
      </c>
      <c r="CW197" s="22">
        <f t="shared" si="174"/>
        <v>6.6944552106818241E-12</v>
      </c>
      <c r="CX197" s="62">
        <f t="shared" si="196"/>
        <v>290.90443820204024</v>
      </c>
      <c r="CY197" s="62">
        <f ca="1">AVERAGE(OFFSET($CX$3,0,0,'Données projet'!$E$13+1,1))-AVERAGE(OFFSET($H$3,0,0,'Données projet'!$E$13+1,1))</f>
        <v>369.04754428478793</v>
      </c>
      <c r="CZ197" s="62">
        <f t="shared" ref="CZ197:CZ203" si="208">$CZ$3</f>
        <v>277.00523259351712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1.1368683772161603E-13</v>
      </c>
      <c r="DP197" s="18">
        <f>DO197*VLOOKUP('Données projet'!$B$14,Paramètres!$A$1:$I$89,3,0)*VLOOKUP('Données projet'!$B$14,Paramètres!$A$1:$I$89,5,0)</f>
        <v>8.8675733422860506E-14</v>
      </c>
      <c r="DQ197" s="14">
        <f t="shared" si="176"/>
        <v>1.3509285393066301E-12</v>
      </c>
      <c r="DR197" s="22">
        <f t="shared" si="177"/>
        <v>2.5073107750038623E-12</v>
      </c>
      <c r="DS197" s="62">
        <f t="shared" si="197"/>
        <v>290.90443820203603</v>
      </c>
      <c r="DT197" s="62">
        <f ca="1">AVERAGE(OFFSET($DS$3,0,0,'Données projet'!$E$14+1,1))-AVERAGE(OFFSET($H$3,0,0,'Données projet'!$E$14+1,1))</f>
        <v>308.39181291575227</v>
      </c>
      <c r="DU197" s="62">
        <f t="shared" ref="DU197:DU203" si="209">$DU$3</f>
        <v>298.58225298824334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-9.6633812063373625E-13</v>
      </c>
      <c r="EK197" s="18">
        <f>EJ197*VLOOKUP('Données projet'!$B$15,Paramètres!$A$1:$I$89,3,0)*VLOOKUP('Données projet'!$B$15,Paramètres!$A$1:$I$89,5,0)</f>
        <v>-9.3464223027694966E-13</v>
      </c>
      <c r="EL197" s="14" t="e">
        <f t="shared" si="179"/>
        <v>#NUM!</v>
      </c>
      <c r="EM197" s="22" t="e">
        <f t="shared" si="180"/>
        <v>#NUM!</v>
      </c>
      <c r="EN197" s="62" t="e">
        <f t="shared" si="198"/>
        <v>#NUM!</v>
      </c>
      <c r="EO197" s="62">
        <f ca="1">AVERAGE(OFFSET($EN$3,0,0,'Données projet'!$E$15+1,1))-AVERAGE(OFFSET($H$3,0,0,'Données projet'!$E$15+1,1))</f>
        <v>487.76433095707876</v>
      </c>
      <c r="EP197" s="62">
        <f t="shared" ref="EP197:EP203" si="210">$EP$3</f>
        <v>276.24209151398361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-9.6633812063373625E-13</v>
      </c>
      <c r="FF197" s="18">
        <f>FE197*VLOOKUP('Données projet'!$B$16,Paramètres!$A$1:$I$89,3,0)*VLOOKUP('Données projet'!$B$16,Paramètres!$A$1:$I$89,5,0)</f>
        <v>-1.0401663530501537E-12</v>
      </c>
      <c r="FG197" s="14" t="e">
        <f t="shared" si="182"/>
        <v>#NUM!</v>
      </c>
      <c r="FH197" s="22" t="e">
        <f t="shared" si="183"/>
        <v>#NUM!</v>
      </c>
      <c r="FI197" s="62" t="e">
        <f t="shared" si="199"/>
        <v>#NUM!</v>
      </c>
      <c r="FJ197" s="62">
        <f ca="1">AVERAGE(OFFSET($FI$3,0,0,'Données projet'!$E$16+1,1))-AVERAGE(OFFSET($H$3,0,0,'Données projet'!$E$16+1,1))</f>
        <v>534.33392288300456</v>
      </c>
      <c r="FK197" s="62">
        <f t="shared" ref="FK197:FK203" si="211">$FK$3</f>
        <v>300.93109615735477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-5.6843418860808015E-14</v>
      </c>
      <c r="GA197" s="18">
        <f>FZ197*VLOOKUP('Données projet'!$B$17,Paramètres!$A$1:$I$89,3,0)*VLOOKUP('Données projet'!$B$17,Paramètres!$A$1:$I$89,5,0)</f>
        <v>-3.813056537183002E-14</v>
      </c>
      <c r="GB197" s="14" t="e">
        <f t="shared" si="185"/>
        <v>#NUM!</v>
      </c>
      <c r="GC197" s="22" t="e">
        <f t="shared" si="186"/>
        <v>#NUM!</v>
      </c>
      <c r="GD197" s="62" t="e">
        <f t="shared" si="200"/>
        <v>#NUM!</v>
      </c>
      <c r="GE197" s="62">
        <f ca="1">AVERAGE(OFFSET($GD$3,0,0,'Données projet'!$E$17+1,1))-AVERAGE(OFFSET($H$3,0,0,'Données projet'!$E$17+1,1))</f>
        <v>316.17772895535211</v>
      </c>
      <c r="GF197" s="62">
        <f t="shared" ref="GF197:GF203" si="212">$GF$3</f>
        <v>251.94445589652992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69.337574055100063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3.95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14.483333333333334</v>
      </c>
      <c r="H198" s="70">
        <f t="shared" si="192"/>
        <v>198.73333333333335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297.99999999999977</v>
      </c>
      <c r="O198" s="14">
        <f>N198*VLOOKUP('Données projet'!$B$9,Paramètres!$A$1:$I$89,3,0)*VLOOKUP('Données projet'!$B$9,Paramètres!$A$1:$I$89,5,0)</f>
        <v>251.0351999999998</v>
      </c>
      <c r="P198" s="14">
        <f t="shared" si="203"/>
        <v>60.807560012183302</v>
      </c>
      <c r="Q198" s="22">
        <f t="shared" si="162"/>
        <v>543.12614035455226</v>
      </c>
      <c r="R198" s="62">
        <f t="shared" si="191"/>
        <v>834.07271445691799</v>
      </c>
      <c r="S198" s="62">
        <f ca="1">AVERAGE(OFFSET($R$3,0,0,'Données projet'!$E$9+1,1))-AVERAGE(OFFSET($H$3,0,0,'Données projet'!$E$9+1,1))</f>
        <v>508.93703669150443</v>
      </c>
      <c r="T198" s="62">
        <f t="shared" si="204"/>
        <v>277.04920840696707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-9.6633812063373625E-13</v>
      </c>
      <c r="AJ198" s="14">
        <f>AI198*VLOOKUP('Données projet'!$B$10,Paramètres!$A$1:$I$89,3,0)*VLOOKUP('Données projet'!$B$10,Paramètres!$A$1:$I$89,5,0)</f>
        <v>-8.7434273154940449E-13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461.10503306101145</v>
      </c>
      <c r="AO198" s="62">
        <f t="shared" si="205"/>
        <v>262.10652147273288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-2.2737367544323206E-13</v>
      </c>
      <c r="BE198" s="14">
        <f>BD198*VLOOKUP('Données projet'!$B$11,Paramètres!$A$1:$I$89,3,0)*VLOOKUP('Données projet'!$B$11,Paramètres!$A$1:$I$89,5,0)</f>
        <v>-1.8089849618263545E-13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389.67854939311752</v>
      </c>
      <c r="BJ198" s="62">
        <f t="shared" si="206"/>
        <v>420.05189970516096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-1.0516032489249483E-12</v>
      </c>
      <c r="BZ198" s="14">
        <f>BY198*VLOOKUP('Données projet'!$B$12,Paramètres!$A$1:$I$89,3,0)*VLOOKUP('Données projet'!$B$12,Paramètres!$A$1:$I$89,5,0)</f>
        <v>-6.0151705838507046E-13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312.16891625633968</v>
      </c>
      <c r="CE198" s="62">
        <f t="shared" si="207"/>
        <v>215.34305815516177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0.1238299397532098</v>
      </c>
      <c r="CM198" s="23">
        <f>EXP(-LN(2)/2)*CM197+(1-EXP(-LN(2)/2))/(LN(2)/2)*CG198*CJ198*VLOOKUP('Données projet'!$B$12,Paramètres!$A$1:$I$89,3,0)*0.475*44/12</f>
        <v>1.1913916536979481E-24</v>
      </c>
      <c r="CN198" s="24">
        <f t="shared" si="172"/>
        <v>0.1238299397532098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3.979039320256561E-13</v>
      </c>
      <c r="CU198" s="18">
        <f>CT198*VLOOKUP('Données projet'!$B$13,Paramètres!$A$1:$I$89,3,0)*VLOOKUP('Données projet'!$B$13,Paramètres!$A$1:$I$89,5,0)</f>
        <v>2.669139576028101E-13</v>
      </c>
      <c r="CV198" s="14">
        <f t="shared" si="173"/>
        <v>3.5767923834585247E-12</v>
      </c>
      <c r="CW198" s="22">
        <f t="shared" si="174"/>
        <v>6.6944552106818241E-12</v>
      </c>
      <c r="CX198" s="62">
        <f t="shared" si="196"/>
        <v>290.94657410237238</v>
      </c>
      <c r="CY198" s="62">
        <f ca="1">AVERAGE(OFFSET($CX$3,0,0,'Données projet'!$E$13+1,1))-AVERAGE(OFFSET($H$3,0,0,'Données projet'!$E$13+1,1))</f>
        <v>369.04754428478793</v>
      </c>
      <c r="CZ198" s="62">
        <f t="shared" si="208"/>
        <v>277.00523259351712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1.1368683772161603E-13</v>
      </c>
      <c r="DP198" s="18">
        <f>DO198*VLOOKUP('Données projet'!$B$14,Paramètres!$A$1:$I$89,3,0)*VLOOKUP('Données projet'!$B$14,Paramètres!$A$1:$I$89,5,0)</f>
        <v>8.8675733422860506E-14</v>
      </c>
      <c r="DQ198" s="14">
        <f t="shared" si="176"/>
        <v>1.3509285393066301E-12</v>
      </c>
      <c r="DR198" s="22">
        <f t="shared" si="177"/>
        <v>2.5073107750038623E-12</v>
      </c>
      <c r="DS198" s="62">
        <f t="shared" si="197"/>
        <v>290.94657410236817</v>
      </c>
      <c r="DT198" s="62">
        <f ca="1">AVERAGE(OFFSET($DS$3,0,0,'Données projet'!$E$14+1,1))-AVERAGE(OFFSET($H$3,0,0,'Données projet'!$E$14+1,1))</f>
        <v>308.39181291575227</v>
      </c>
      <c r="DU198" s="62">
        <f t="shared" si="209"/>
        <v>298.58225298824334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-9.6633812063373625E-13</v>
      </c>
      <c r="EK198" s="18">
        <f>EJ198*VLOOKUP('Données projet'!$B$15,Paramètres!$A$1:$I$89,3,0)*VLOOKUP('Données projet'!$B$15,Paramètres!$A$1:$I$89,5,0)</f>
        <v>-9.3464223027694966E-13</v>
      </c>
      <c r="EL198" s="14" t="e">
        <f t="shared" si="179"/>
        <v>#NUM!</v>
      </c>
      <c r="EM198" s="22" t="e">
        <f t="shared" si="180"/>
        <v>#NUM!</v>
      </c>
      <c r="EN198" s="62" t="e">
        <f t="shared" si="198"/>
        <v>#NUM!</v>
      </c>
      <c r="EO198" s="62">
        <f ca="1">AVERAGE(OFFSET($EN$3,0,0,'Données projet'!$E$15+1,1))-AVERAGE(OFFSET($H$3,0,0,'Données projet'!$E$15+1,1))</f>
        <v>487.76433095707876</v>
      </c>
      <c r="EP198" s="62">
        <f t="shared" si="210"/>
        <v>276.24209151398361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-9.6633812063373625E-13</v>
      </c>
      <c r="FF198" s="18">
        <f>FE198*VLOOKUP('Données projet'!$B$16,Paramètres!$A$1:$I$89,3,0)*VLOOKUP('Données projet'!$B$16,Paramètres!$A$1:$I$89,5,0)</f>
        <v>-1.0401663530501537E-12</v>
      </c>
      <c r="FG198" s="14" t="e">
        <f t="shared" si="182"/>
        <v>#NUM!</v>
      </c>
      <c r="FH198" s="22" t="e">
        <f t="shared" si="183"/>
        <v>#NUM!</v>
      </c>
      <c r="FI198" s="62" t="e">
        <f t="shared" si="199"/>
        <v>#NUM!</v>
      </c>
      <c r="FJ198" s="62">
        <f ca="1">AVERAGE(OFFSET($FI$3,0,0,'Données projet'!$E$16+1,1))-AVERAGE(OFFSET($H$3,0,0,'Données projet'!$E$16+1,1))</f>
        <v>534.33392288300456</v>
      </c>
      <c r="FK198" s="62">
        <f t="shared" si="211"/>
        <v>300.93109615735477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-5.6843418860808015E-14</v>
      </c>
      <c r="GA198" s="18">
        <f>FZ198*VLOOKUP('Données projet'!$B$17,Paramètres!$A$1:$I$89,3,0)*VLOOKUP('Données projet'!$B$17,Paramètres!$A$1:$I$89,5,0)</f>
        <v>-3.813056537183002E-14</v>
      </c>
      <c r="GB198" s="14" t="e">
        <f t="shared" si="185"/>
        <v>#NUM!</v>
      </c>
      <c r="GC198" s="22" t="e">
        <f t="shared" si="186"/>
        <v>#NUM!</v>
      </c>
      <c r="GD198" s="62" t="e">
        <f t="shared" si="200"/>
        <v>#NUM!</v>
      </c>
      <c r="GE198" s="62">
        <f ca="1">AVERAGE(OFFSET($GD$3,0,0,'Données projet'!$E$17+1,1))-AVERAGE(OFFSET($H$3,0,0,'Données projet'!$E$17+1,1))</f>
        <v>316.17772895535211</v>
      </c>
      <c r="GF198" s="62">
        <f t="shared" si="212"/>
        <v>251.94445589652992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69.34906566428154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3.95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14.483333333333334</v>
      </c>
      <c r="H199" s="70">
        <f t="shared" si="192"/>
        <v>198.73333333333335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297.99999999999977</v>
      </c>
      <c r="O199" s="14">
        <f>N199*VLOOKUP('Données projet'!$B$9,Paramètres!$A$1:$I$89,3,0)*VLOOKUP('Données projet'!$B$9,Paramètres!$A$1:$I$89,5,0)</f>
        <v>251.0351999999998</v>
      </c>
      <c r="P199" s="14">
        <f t="shared" si="203"/>
        <v>60.807560012183302</v>
      </c>
      <c r="Q199" s="22">
        <f t="shared" si="162"/>
        <v>543.12614035455226</v>
      </c>
      <c r="R199" s="62">
        <f t="shared" si="191"/>
        <v>834.11411939358095</v>
      </c>
      <c r="S199" s="62">
        <f ca="1">AVERAGE(OFFSET($R$3,0,0,'Données projet'!$E$9+1,1))-AVERAGE(OFFSET($H$3,0,0,'Données projet'!$E$9+1,1))</f>
        <v>508.93703669150443</v>
      </c>
      <c r="T199" s="62">
        <f t="shared" si="204"/>
        <v>277.04920840696707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-9.6633812063373625E-13</v>
      </c>
      <c r="AJ199" s="14">
        <f>AI199*VLOOKUP('Données projet'!$B$10,Paramètres!$A$1:$I$89,3,0)*VLOOKUP('Données projet'!$B$10,Paramètres!$A$1:$I$89,5,0)</f>
        <v>-8.7434273154940449E-13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461.10503306101145</v>
      </c>
      <c r="AO199" s="62">
        <f t="shared" si="205"/>
        <v>262.10652147273288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-2.2737367544323206E-13</v>
      </c>
      <c r="BE199" s="14">
        <f>BD199*VLOOKUP('Données projet'!$B$11,Paramètres!$A$1:$I$89,3,0)*VLOOKUP('Données projet'!$B$11,Paramètres!$A$1:$I$89,5,0)</f>
        <v>-1.8089849618263545E-13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389.67854939311752</v>
      </c>
      <c r="BJ199" s="62">
        <f t="shared" si="206"/>
        <v>420.05189970516096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-1.0516032489249483E-12</v>
      </c>
      <c r="BZ199" s="14">
        <f>BY199*VLOOKUP('Données projet'!$B$12,Paramètres!$A$1:$I$89,3,0)*VLOOKUP('Données projet'!$B$12,Paramètres!$A$1:$I$89,5,0)</f>
        <v>-6.0151705838507046E-13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312.16891625633968</v>
      </c>
      <c r="CE199" s="62">
        <f t="shared" si="207"/>
        <v>215.34305815516177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0.12044380353872476</v>
      </c>
      <c r="CM199" s="23">
        <f>EXP(-LN(2)/2)*CM198+(1-EXP(-LN(2)/2))/(LN(2)/2)*CG199*CJ199*VLOOKUP('Données projet'!$B$12,Paramètres!$A$1:$I$89,3,0)*0.475*44/12</f>
        <v>8.4244111737887395E-25</v>
      </c>
      <c r="CN199" s="24">
        <f t="shared" si="172"/>
        <v>0.12044380353872476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3.979039320256561E-13</v>
      </c>
      <c r="CU199" s="18">
        <f>CT199*VLOOKUP('Données projet'!$B$13,Paramètres!$A$1:$I$89,3,0)*VLOOKUP('Données projet'!$B$13,Paramètres!$A$1:$I$89,5,0)</f>
        <v>2.669139576028101E-13</v>
      </c>
      <c r="CV199" s="14">
        <f t="shared" si="173"/>
        <v>3.5767923834585247E-12</v>
      </c>
      <c r="CW199" s="22">
        <f t="shared" si="174"/>
        <v>6.6944552106818241E-12</v>
      </c>
      <c r="CX199" s="62">
        <f t="shared" si="196"/>
        <v>290.98797903903539</v>
      </c>
      <c r="CY199" s="62">
        <f ca="1">AVERAGE(OFFSET($CX$3,0,0,'Données projet'!$E$13+1,1))-AVERAGE(OFFSET($H$3,0,0,'Données projet'!$E$13+1,1))</f>
        <v>369.04754428478793</v>
      </c>
      <c r="CZ199" s="62">
        <f t="shared" si="208"/>
        <v>277.00523259351712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1.1368683772161603E-13</v>
      </c>
      <c r="DP199" s="18">
        <f>DO199*VLOOKUP('Données projet'!$B$14,Paramètres!$A$1:$I$89,3,0)*VLOOKUP('Données projet'!$B$14,Paramètres!$A$1:$I$89,5,0)</f>
        <v>8.8675733422860506E-14</v>
      </c>
      <c r="DQ199" s="14">
        <f t="shared" si="176"/>
        <v>1.3509285393066301E-12</v>
      </c>
      <c r="DR199" s="22">
        <f t="shared" si="177"/>
        <v>2.5073107750038623E-12</v>
      </c>
      <c r="DS199" s="62">
        <f t="shared" si="197"/>
        <v>290.98797903903119</v>
      </c>
      <c r="DT199" s="62">
        <f ca="1">AVERAGE(OFFSET($DS$3,0,0,'Données projet'!$E$14+1,1))-AVERAGE(OFFSET($H$3,0,0,'Données projet'!$E$14+1,1))</f>
        <v>308.39181291575227</v>
      </c>
      <c r="DU199" s="62">
        <f t="shared" si="209"/>
        <v>298.58225298824334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-9.6633812063373625E-13</v>
      </c>
      <c r="EK199" s="18">
        <f>EJ199*VLOOKUP('Données projet'!$B$15,Paramètres!$A$1:$I$89,3,0)*VLOOKUP('Données projet'!$B$15,Paramètres!$A$1:$I$89,5,0)</f>
        <v>-9.3464223027694966E-13</v>
      </c>
      <c r="EL199" s="14" t="e">
        <f t="shared" si="179"/>
        <v>#NUM!</v>
      </c>
      <c r="EM199" s="22" t="e">
        <f t="shared" si="180"/>
        <v>#NUM!</v>
      </c>
      <c r="EN199" s="62" t="e">
        <f t="shared" si="198"/>
        <v>#NUM!</v>
      </c>
      <c r="EO199" s="62">
        <f ca="1">AVERAGE(OFFSET($EN$3,0,0,'Données projet'!$E$15+1,1))-AVERAGE(OFFSET($H$3,0,0,'Données projet'!$E$15+1,1))</f>
        <v>487.76433095707876</v>
      </c>
      <c r="EP199" s="62">
        <f t="shared" si="210"/>
        <v>276.24209151398361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-9.6633812063373625E-13</v>
      </c>
      <c r="FF199" s="18">
        <f>FE199*VLOOKUP('Données projet'!$B$16,Paramètres!$A$1:$I$89,3,0)*VLOOKUP('Données projet'!$B$16,Paramètres!$A$1:$I$89,5,0)</f>
        <v>-1.0401663530501537E-12</v>
      </c>
      <c r="FG199" s="14" t="e">
        <f t="shared" si="182"/>
        <v>#NUM!</v>
      </c>
      <c r="FH199" s="22" t="e">
        <f t="shared" si="183"/>
        <v>#NUM!</v>
      </c>
      <c r="FI199" s="62" t="e">
        <f t="shared" si="199"/>
        <v>#NUM!</v>
      </c>
      <c r="FJ199" s="62">
        <f ca="1">AVERAGE(OFFSET($FI$3,0,0,'Données projet'!$E$16+1,1))-AVERAGE(OFFSET($H$3,0,0,'Données projet'!$E$16+1,1))</f>
        <v>534.33392288300456</v>
      </c>
      <c r="FK199" s="62">
        <f t="shared" si="211"/>
        <v>300.93109615735477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-5.6843418860808015E-14</v>
      </c>
      <c r="GA199" s="18">
        <f>FZ199*VLOOKUP('Données projet'!$B$17,Paramètres!$A$1:$I$89,3,0)*VLOOKUP('Données projet'!$B$17,Paramètres!$A$1:$I$89,5,0)</f>
        <v>-3.813056537183002E-14</v>
      </c>
      <c r="GB199" s="14" t="e">
        <f t="shared" si="185"/>
        <v>#NUM!</v>
      </c>
      <c r="GC199" s="22" t="e">
        <f t="shared" si="186"/>
        <v>#NUM!</v>
      </c>
      <c r="GD199" s="62" t="e">
        <f t="shared" si="200"/>
        <v>#NUM!</v>
      </c>
      <c r="GE199" s="62">
        <f ca="1">AVERAGE(OFFSET($GD$3,0,0,'Données projet'!$E$17+1,1))-AVERAGE(OFFSET($H$3,0,0,'Données projet'!$E$17+1,1))</f>
        <v>316.17772895535211</v>
      </c>
      <c r="GF199" s="62">
        <f t="shared" si="212"/>
        <v>251.94445589652992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69.360357919735094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3.95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14.483333333333334</v>
      </c>
      <c r="H200" s="70">
        <f t="shared" si="192"/>
        <v>198.73333333333335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297.99999999999977</v>
      </c>
      <c r="O200" s="14">
        <f>N200*VLOOKUP('Données projet'!$B$9,Paramètres!$A$1:$I$89,3,0)*VLOOKUP('Données projet'!$B$9,Paramètres!$A$1:$I$89,5,0)</f>
        <v>251.0351999999998</v>
      </c>
      <c r="P200" s="14">
        <f t="shared" si="203"/>
        <v>60.807560012183302</v>
      </c>
      <c r="Q200" s="22">
        <f t="shared" si="162"/>
        <v>543.12614035455226</v>
      </c>
      <c r="R200" s="62">
        <f t="shared" si="191"/>
        <v>834.15480604716049</v>
      </c>
      <c r="S200" s="62">
        <f ca="1">AVERAGE(OFFSET($R$3,0,0,'Données projet'!$E$9+1,1))-AVERAGE(OFFSET($H$3,0,0,'Données projet'!$E$9+1,1))</f>
        <v>508.93703669150443</v>
      </c>
      <c r="T200" s="62">
        <f t="shared" si="204"/>
        <v>277.04920840696707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-9.6633812063373625E-13</v>
      </c>
      <c r="AJ200" s="14">
        <f>AI200*VLOOKUP('Données projet'!$B$10,Paramètres!$A$1:$I$89,3,0)*VLOOKUP('Données projet'!$B$10,Paramètres!$A$1:$I$89,5,0)</f>
        <v>-8.7434273154940449E-13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461.10503306101145</v>
      </c>
      <c r="AO200" s="62">
        <f t="shared" si="205"/>
        <v>262.10652147273288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-2.2737367544323206E-13</v>
      </c>
      <c r="BE200" s="14">
        <f>BD200*VLOOKUP('Données projet'!$B$11,Paramètres!$A$1:$I$89,3,0)*VLOOKUP('Données projet'!$B$11,Paramètres!$A$1:$I$89,5,0)</f>
        <v>-1.8089849618263545E-13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389.67854939311752</v>
      </c>
      <c r="BJ200" s="62">
        <f t="shared" si="206"/>
        <v>420.05189970516096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-1.0516032489249483E-12</v>
      </c>
      <c r="BZ200" s="14">
        <f>BY200*VLOOKUP('Données projet'!$B$12,Paramètres!$A$1:$I$89,3,0)*VLOOKUP('Données projet'!$B$12,Paramètres!$A$1:$I$89,5,0)</f>
        <v>-6.0151705838507046E-13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312.16891625633968</v>
      </c>
      <c r="CE200" s="62">
        <f t="shared" si="207"/>
        <v>215.34305815516177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0.11715026139709399</v>
      </c>
      <c r="CM200" s="23">
        <f>EXP(-LN(2)/2)*CM199+(1-EXP(-LN(2)/2))/(LN(2)/2)*CG200*CJ200*VLOOKUP('Données projet'!$B$12,Paramètres!$A$1:$I$89,3,0)*0.475*44/12</f>
        <v>5.9569582684897403E-25</v>
      </c>
      <c r="CN200" s="24">
        <f t="shared" si="172"/>
        <v>0.11715026139709399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3.979039320256561E-13</v>
      </c>
      <c r="CU200" s="18">
        <f>CT200*VLOOKUP('Données projet'!$B$13,Paramètres!$A$1:$I$89,3,0)*VLOOKUP('Données projet'!$B$13,Paramètres!$A$1:$I$89,5,0)</f>
        <v>2.669139576028101E-13</v>
      </c>
      <c r="CV200" s="14">
        <f t="shared" si="173"/>
        <v>3.5767923834585247E-12</v>
      </c>
      <c r="CW200" s="22">
        <f t="shared" si="174"/>
        <v>6.6944552106818241E-12</v>
      </c>
      <c r="CX200" s="62">
        <f t="shared" si="196"/>
        <v>291.02866569261488</v>
      </c>
      <c r="CY200" s="62">
        <f ca="1">AVERAGE(OFFSET($CX$3,0,0,'Données projet'!$E$13+1,1))-AVERAGE(OFFSET($H$3,0,0,'Données projet'!$E$13+1,1))</f>
        <v>369.04754428478793</v>
      </c>
      <c r="CZ200" s="62">
        <f t="shared" si="208"/>
        <v>277.00523259351712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1.1368683772161603E-13</v>
      </c>
      <c r="DP200" s="18">
        <f>DO200*VLOOKUP('Données projet'!$B$14,Paramètres!$A$1:$I$89,3,0)*VLOOKUP('Données projet'!$B$14,Paramètres!$A$1:$I$89,5,0)</f>
        <v>8.8675733422860506E-14</v>
      </c>
      <c r="DQ200" s="14">
        <f t="shared" si="176"/>
        <v>1.3509285393066301E-12</v>
      </c>
      <c r="DR200" s="22">
        <f t="shared" si="177"/>
        <v>2.5073107750038623E-12</v>
      </c>
      <c r="DS200" s="62">
        <f t="shared" si="197"/>
        <v>291.02866569261067</v>
      </c>
      <c r="DT200" s="62">
        <f ca="1">AVERAGE(OFFSET($DS$3,0,0,'Données projet'!$E$14+1,1))-AVERAGE(OFFSET($H$3,0,0,'Données projet'!$E$14+1,1))</f>
        <v>308.39181291575227</v>
      </c>
      <c r="DU200" s="62">
        <f t="shared" si="209"/>
        <v>298.58225298824334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-9.6633812063373625E-13</v>
      </c>
      <c r="EK200" s="18">
        <f>EJ200*VLOOKUP('Données projet'!$B$15,Paramètres!$A$1:$I$89,3,0)*VLOOKUP('Données projet'!$B$15,Paramètres!$A$1:$I$89,5,0)</f>
        <v>-9.3464223027694966E-13</v>
      </c>
      <c r="EL200" s="14" t="e">
        <f t="shared" si="179"/>
        <v>#NUM!</v>
      </c>
      <c r="EM200" s="22" t="e">
        <f t="shared" si="180"/>
        <v>#NUM!</v>
      </c>
      <c r="EN200" s="62" t="e">
        <f t="shared" si="198"/>
        <v>#NUM!</v>
      </c>
      <c r="EO200" s="62">
        <f ca="1">AVERAGE(OFFSET($EN$3,0,0,'Données projet'!$E$15+1,1))-AVERAGE(OFFSET($H$3,0,0,'Données projet'!$E$15+1,1))</f>
        <v>487.76433095707876</v>
      </c>
      <c r="EP200" s="62">
        <f t="shared" si="210"/>
        <v>276.24209151398361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-9.6633812063373625E-13</v>
      </c>
      <c r="FF200" s="18">
        <f>FE200*VLOOKUP('Données projet'!$B$16,Paramètres!$A$1:$I$89,3,0)*VLOOKUP('Données projet'!$B$16,Paramètres!$A$1:$I$89,5,0)</f>
        <v>-1.0401663530501537E-12</v>
      </c>
      <c r="FG200" s="14" t="e">
        <f t="shared" si="182"/>
        <v>#NUM!</v>
      </c>
      <c r="FH200" s="22" t="e">
        <f t="shared" si="183"/>
        <v>#NUM!</v>
      </c>
      <c r="FI200" s="62" t="e">
        <f t="shared" si="199"/>
        <v>#NUM!</v>
      </c>
      <c r="FJ200" s="62">
        <f ca="1">AVERAGE(OFFSET($FI$3,0,0,'Données projet'!$E$16+1,1))-AVERAGE(OFFSET($H$3,0,0,'Données projet'!$E$16+1,1))</f>
        <v>534.33392288300456</v>
      </c>
      <c r="FK200" s="62">
        <f t="shared" si="211"/>
        <v>300.93109615735477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-5.6843418860808015E-14</v>
      </c>
      <c r="GA200" s="18">
        <f>FZ200*VLOOKUP('Données projet'!$B$17,Paramètres!$A$1:$I$89,3,0)*VLOOKUP('Données projet'!$B$17,Paramètres!$A$1:$I$89,5,0)</f>
        <v>-3.813056537183002E-14</v>
      </c>
      <c r="GB200" s="14" t="e">
        <f t="shared" si="185"/>
        <v>#NUM!</v>
      </c>
      <c r="GC200" s="22" t="e">
        <f t="shared" si="186"/>
        <v>#NUM!</v>
      </c>
      <c r="GD200" s="62" t="e">
        <f t="shared" si="200"/>
        <v>#NUM!</v>
      </c>
      <c r="GE200" s="62">
        <f ca="1">AVERAGE(OFFSET($GD$3,0,0,'Données projet'!$E$17+1,1))-AVERAGE(OFFSET($H$3,0,0,'Données projet'!$E$17+1,1))</f>
        <v>316.17772895535211</v>
      </c>
      <c r="GF200" s="62">
        <f t="shared" si="212"/>
        <v>251.94445589652992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69.371454279802222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3.95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14.483333333333334</v>
      </c>
      <c r="H201" s="70">
        <f t="shared" si="192"/>
        <v>198.73333333333335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297.99999999999977</v>
      </c>
      <c r="O201" s="14">
        <f>N201*VLOOKUP('Données projet'!$B$9,Paramètres!$A$1:$I$89,3,0)*VLOOKUP('Données projet'!$B$9,Paramètres!$A$1:$I$89,5,0)</f>
        <v>251.0351999999998</v>
      </c>
      <c r="P201" s="14">
        <f t="shared" si="203"/>
        <v>60.807560012183302</v>
      </c>
      <c r="Q201" s="22">
        <f t="shared" si="162"/>
        <v>543.12614035455226</v>
      </c>
      <c r="R201" s="62">
        <f t="shared" si="191"/>
        <v>834.19478687826199</v>
      </c>
      <c r="S201" s="62">
        <f ca="1">AVERAGE(OFFSET($R$3,0,0,'Données projet'!$E$9+1,1))-AVERAGE(OFFSET($H$3,0,0,'Données projet'!$E$9+1,1))</f>
        <v>508.93703669150443</v>
      </c>
      <c r="T201" s="62">
        <f t="shared" si="204"/>
        <v>277.04920840696707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-9.6633812063373625E-13</v>
      </c>
      <c r="AJ201" s="14">
        <f>AI201*VLOOKUP('Données projet'!$B$10,Paramètres!$A$1:$I$89,3,0)*VLOOKUP('Données projet'!$B$10,Paramètres!$A$1:$I$89,5,0)</f>
        <v>-8.7434273154940449E-13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461.10503306101145</v>
      </c>
      <c r="AO201" s="62">
        <f t="shared" si="205"/>
        <v>262.10652147273288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-2.2737367544323206E-13</v>
      </c>
      <c r="BE201" s="14">
        <f>BD201*VLOOKUP('Données projet'!$B$11,Paramètres!$A$1:$I$89,3,0)*VLOOKUP('Données projet'!$B$11,Paramètres!$A$1:$I$89,5,0)</f>
        <v>-1.8089849618263545E-13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389.67854939311752</v>
      </c>
      <c r="BJ201" s="62">
        <f t="shared" si="206"/>
        <v>420.05189970516096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-1.0516032489249483E-12</v>
      </c>
      <c r="BZ201" s="14">
        <f>BY201*VLOOKUP('Données projet'!$B$12,Paramètres!$A$1:$I$89,3,0)*VLOOKUP('Données projet'!$B$12,Paramètres!$A$1:$I$89,5,0)</f>
        <v>-6.0151705838507046E-13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312.16891625633968</v>
      </c>
      <c r="CE201" s="62">
        <f t="shared" si="207"/>
        <v>215.34305815516177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0.11394678133852595</v>
      </c>
      <c r="CM201" s="23">
        <f>EXP(-LN(2)/2)*CM200+(1-EXP(-LN(2)/2))/(LN(2)/2)*CG201*CJ201*VLOOKUP('Données projet'!$B$12,Paramètres!$A$1:$I$89,3,0)*0.475*44/12</f>
        <v>4.2122055868943698E-25</v>
      </c>
      <c r="CN201" s="24">
        <f t="shared" si="172"/>
        <v>0.11394678133852595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3.979039320256561E-13</v>
      </c>
      <c r="CU201" s="18">
        <f>CT201*VLOOKUP('Données projet'!$B$13,Paramètres!$A$1:$I$89,3,0)*VLOOKUP('Données projet'!$B$13,Paramètres!$A$1:$I$89,5,0)</f>
        <v>2.669139576028101E-13</v>
      </c>
      <c r="CV201" s="14">
        <f t="shared" si="173"/>
        <v>3.5767923834585247E-12</v>
      </c>
      <c r="CW201" s="22">
        <f t="shared" si="174"/>
        <v>6.6944552106818241E-12</v>
      </c>
      <c r="CX201" s="62">
        <f t="shared" si="196"/>
        <v>291.0686465237165</v>
      </c>
      <c r="CY201" s="62">
        <f ca="1">AVERAGE(OFFSET($CX$3,0,0,'Données projet'!$E$13+1,1))-AVERAGE(OFFSET($H$3,0,0,'Données projet'!$E$13+1,1))</f>
        <v>369.04754428478793</v>
      </c>
      <c r="CZ201" s="62">
        <f t="shared" si="208"/>
        <v>277.00523259351712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1.1368683772161603E-13</v>
      </c>
      <c r="DP201" s="18">
        <f>DO201*VLOOKUP('Données projet'!$B$14,Paramètres!$A$1:$I$89,3,0)*VLOOKUP('Données projet'!$B$14,Paramètres!$A$1:$I$89,5,0)</f>
        <v>8.8675733422860506E-14</v>
      </c>
      <c r="DQ201" s="14">
        <f t="shared" si="176"/>
        <v>1.3509285393066301E-12</v>
      </c>
      <c r="DR201" s="22">
        <f t="shared" si="177"/>
        <v>2.5073107750038623E-12</v>
      </c>
      <c r="DS201" s="62">
        <f t="shared" si="197"/>
        <v>291.06864652371229</v>
      </c>
      <c r="DT201" s="62">
        <f ca="1">AVERAGE(OFFSET($DS$3,0,0,'Données projet'!$E$14+1,1))-AVERAGE(OFFSET($H$3,0,0,'Données projet'!$E$14+1,1))</f>
        <v>308.39181291575227</v>
      </c>
      <c r="DU201" s="62">
        <f t="shared" si="209"/>
        <v>298.58225298824334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-9.6633812063373625E-13</v>
      </c>
      <c r="EK201" s="18">
        <f>EJ201*VLOOKUP('Données projet'!$B$15,Paramètres!$A$1:$I$89,3,0)*VLOOKUP('Données projet'!$B$15,Paramètres!$A$1:$I$89,5,0)</f>
        <v>-9.3464223027694966E-13</v>
      </c>
      <c r="EL201" s="14" t="e">
        <f t="shared" si="179"/>
        <v>#NUM!</v>
      </c>
      <c r="EM201" s="22" t="e">
        <f t="shared" si="180"/>
        <v>#NUM!</v>
      </c>
      <c r="EN201" s="62" t="e">
        <f t="shared" si="198"/>
        <v>#NUM!</v>
      </c>
      <c r="EO201" s="62">
        <f ca="1">AVERAGE(OFFSET($EN$3,0,0,'Données projet'!$E$15+1,1))-AVERAGE(OFFSET($H$3,0,0,'Données projet'!$E$15+1,1))</f>
        <v>487.76433095707876</v>
      </c>
      <c r="EP201" s="62">
        <f t="shared" si="210"/>
        <v>276.24209151398361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-9.6633812063373625E-13</v>
      </c>
      <c r="FF201" s="18">
        <f>FE201*VLOOKUP('Données projet'!$B$16,Paramètres!$A$1:$I$89,3,0)*VLOOKUP('Données projet'!$B$16,Paramètres!$A$1:$I$89,5,0)</f>
        <v>-1.0401663530501537E-12</v>
      </c>
      <c r="FG201" s="14" t="e">
        <f t="shared" si="182"/>
        <v>#NUM!</v>
      </c>
      <c r="FH201" s="22" t="e">
        <f t="shared" si="183"/>
        <v>#NUM!</v>
      </c>
      <c r="FI201" s="62" t="e">
        <f t="shared" si="199"/>
        <v>#NUM!</v>
      </c>
      <c r="FJ201" s="62">
        <f ca="1">AVERAGE(OFFSET($FI$3,0,0,'Données projet'!$E$16+1,1))-AVERAGE(OFFSET($H$3,0,0,'Données projet'!$E$16+1,1))</f>
        <v>534.33392288300456</v>
      </c>
      <c r="FK201" s="62">
        <f t="shared" si="211"/>
        <v>300.93109615735477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-5.6843418860808015E-14</v>
      </c>
      <c r="GA201" s="18">
        <f>FZ201*VLOOKUP('Données projet'!$B$17,Paramètres!$A$1:$I$89,3,0)*VLOOKUP('Données projet'!$B$17,Paramètres!$A$1:$I$89,5,0)</f>
        <v>-3.813056537183002E-14</v>
      </c>
      <c r="GB201" s="14" t="e">
        <f t="shared" si="185"/>
        <v>#NUM!</v>
      </c>
      <c r="GC201" s="22" t="e">
        <f t="shared" si="186"/>
        <v>#NUM!</v>
      </c>
      <c r="GD201" s="62" t="e">
        <f t="shared" si="200"/>
        <v>#NUM!</v>
      </c>
      <c r="GE201" s="62">
        <f ca="1">AVERAGE(OFFSET($GD$3,0,0,'Données projet'!$E$17+1,1))-AVERAGE(OFFSET($H$3,0,0,'Données projet'!$E$17+1,1))</f>
        <v>316.17772895535211</v>
      </c>
      <c r="GF201" s="62">
        <f t="shared" si="212"/>
        <v>251.94445589652992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69.382358142829943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3.95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14.483333333333334</v>
      </c>
      <c r="H202" s="70">
        <f t="shared" si="192"/>
        <v>198.73333333333335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297.99999999999977</v>
      </c>
      <c r="O202" s="14">
        <f>N202*VLOOKUP('Données projet'!$B$9,Paramètres!$A$1:$I$89,3,0)*VLOOKUP('Données projet'!$B$9,Paramètres!$A$1:$I$89,5,0)</f>
        <v>251.0351999999998</v>
      </c>
      <c r="P202" s="14">
        <f t="shared" si="203"/>
        <v>60.807560012183302</v>
      </c>
      <c r="Q202" s="22">
        <f t="shared" si="162"/>
        <v>543.12614035455226</v>
      </c>
      <c r="R202" s="62">
        <f t="shared" si="191"/>
        <v>834.23407413132782</v>
      </c>
      <c r="S202" s="62">
        <f ca="1">AVERAGE(OFFSET($R$3,0,0,'Données projet'!$E$9+1,1))-AVERAGE(OFFSET($H$3,0,0,'Données projet'!$E$9+1,1))</f>
        <v>508.93703669150443</v>
      </c>
      <c r="T202" s="62">
        <f t="shared" si="204"/>
        <v>277.04920840696707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-9.6633812063373625E-13</v>
      </c>
      <c r="AJ202" s="14">
        <f>AI202*VLOOKUP('Données projet'!$B$10,Paramètres!$A$1:$I$89,3,0)*VLOOKUP('Données projet'!$B$10,Paramètres!$A$1:$I$89,5,0)</f>
        <v>-8.7434273154940449E-13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461.10503306101145</v>
      </c>
      <c r="AO202" s="62">
        <f t="shared" si="205"/>
        <v>262.10652147273288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-2.2737367544323206E-13</v>
      </c>
      <c r="BE202" s="14">
        <f>BD202*VLOOKUP('Données projet'!$B$11,Paramètres!$A$1:$I$89,3,0)*VLOOKUP('Données projet'!$B$11,Paramètres!$A$1:$I$89,5,0)</f>
        <v>-1.8089849618263545E-13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389.67854939311752</v>
      </c>
      <c r="BJ202" s="62">
        <f t="shared" si="206"/>
        <v>420.05189970516096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-1.0516032489249483E-12</v>
      </c>
      <c r="BZ202" s="14">
        <f>BY202*VLOOKUP('Données projet'!$B$12,Paramètres!$A$1:$I$89,3,0)*VLOOKUP('Données projet'!$B$12,Paramètres!$A$1:$I$89,5,0)</f>
        <v>-6.0151705838507046E-13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312.16891625633968</v>
      </c>
      <c r="CE202" s="62">
        <f t="shared" si="207"/>
        <v>215.34305815516177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0.11083090061062316</v>
      </c>
      <c r="CM202" s="23">
        <f>EXP(-LN(2)/2)*CM201+(1-EXP(-LN(2)/2))/(LN(2)/2)*CG202*CJ202*VLOOKUP('Données projet'!$B$12,Paramètres!$A$1:$I$89,3,0)*0.475*44/12</f>
        <v>2.9784791342448701E-25</v>
      </c>
      <c r="CN202" s="24">
        <f t="shared" si="172"/>
        <v>0.11083090061062316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3.979039320256561E-13</v>
      </c>
      <c r="CU202" s="18">
        <f>CT202*VLOOKUP('Données projet'!$B$13,Paramètres!$A$1:$I$89,3,0)*VLOOKUP('Données projet'!$B$13,Paramètres!$A$1:$I$89,5,0)</f>
        <v>2.669139576028101E-13</v>
      </c>
      <c r="CV202" s="14">
        <f t="shared" si="173"/>
        <v>3.5767923834585247E-12</v>
      </c>
      <c r="CW202" s="22">
        <f t="shared" si="174"/>
        <v>6.6944552106818241E-12</v>
      </c>
      <c r="CX202" s="62">
        <f t="shared" si="196"/>
        <v>291.10793377678226</v>
      </c>
      <c r="CY202" s="62">
        <f ca="1">AVERAGE(OFFSET($CX$3,0,0,'Données projet'!$E$13+1,1))-AVERAGE(OFFSET($H$3,0,0,'Données projet'!$E$13+1,1))</f>
        <v>369.04754428478793</v>
      </c>
      <c r="CZ202" s="62">
        <f t="shared" si="208"/>
        <v>277.00523259351712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1.1368683772161603E-13</v>
      </c>
      <c r="DP202" s="18">
        <f>DO202*VLOOKUP('Données projet'!$B$14,Paramètres!$A$1:$I$89,3,0)*VLOOKUP('Données projet'!$B$14,Paramètres!$A$1:$I$89,5,0)</f>
        <v>8.8675733422860506E-14</v>
      </c>
      <c r="DQ202" s="14">
        <f t="shared" si="176"/>
        <v>1.3509285393066301E-12</v>
      </c>
      <c r="DR202" s="22">
        <f t="shared" si="177"/>
        <v>2.5073107750038623E-12</v>
      </c>
      <c r="DS202" s="62">
        <f t="shared" si="197"/>
        <v>291.10793377677805</v>
      </c>
      <c r="DT202" s="62">
        <f ca="1">AVERAGE(OFFSET($DS$3,0,0,'Données projet'!$E$14+1,1))-AVERAGE(OFFSET($H$3,0,0,'Données projet'!$E$14+1,1))</f>
        <v>308.39181291575227</v>
      </c>
      <c r="DU202" s="62">
        <f t="shared" si="209"/>
        <v>298.58225298824334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-9.6633812063373625E-13</v>
      </c>
      <c r="EK202" s="18">
        <f>EJ202*VLOOKUP('Données projet'!$B$15,Paramètres!$A$1:$I$89,3,0)*VLOOKUP('Données projet'!$B$15,Paramètres!$A$1:$I$89,5,0)</f>
        <v>-9.3464223027694966E-13</v>
      </c>
      <c r="EL202" s="14" t="e">
        <f t="shared" si="179"/>
        <v>#NUM!</v>
      </c>
      <c r="EM202" s="22" t="e">
        <f t="shared" si="180"/>
        <v>#NUM!</v>
      </c>
      <c r="EN202" s="62" t="e">
        <f t="shared" si="198"/>
        <v>#NUM!</v>
      </c>
      <c r="EO202" s="62">
        <f ca="1">AVERAGE(OFFSET($EN$3,0,0,'Données projet'!$E$15+1,1))-AVERAGE(OFFSET($H$3,0,0,'Données projet'!$E$15+1,1))</f>
        <v>487.76433095707876</v>
      </c>
      <c r="EP202" s="62">
        <f t="shared" si="210"/>
        <v>276.24209151398361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-9.6633812063373625E-13</v>
      </c>
      <c r="FF202" s="18">
        <f>FE202*VLOOKUP('Données projet'!$B$16,Paramètres!$A$1:$I$89,3,0)*VLOOKUP('Données projet'!$B$16,Paramètres!$A$1:$I$89,5,0)</f>
        <v>-1.0401663530501537E-12</v>
      </c>
      <c r="FG202" s="14" t="e">
        <f t="shared" si="182"/>
        <v>#NUM!</v>
      </c>
      <c r="FH202" s="22" t="e">
        <f t="shared" si="183"/>
        <v>#NUM!</v>
      </c>
      <c r="FI202" s="62" t="e">
        <f t="shared" si="199"/>
        <v>#NUM!</v>
      </c>
      <c r="FJ202" s="62">
        <f ca="1">AVERAGE(OFFSET($FI$3,0,0,'Données projet'!$E$16+1,1))-AVERAGE(OFFSET($H$3,0,0,'Données projet'!$E$16+1,1))</f>
        <v>534.33392288300456</v>
      </c>
      <c r="FK202" s="62">
        <f t="shared" si="211"/>
        <v>300.93109615735477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-5.6843418860808015E-14</v>
      </c>
      <c r="GA202" s="18">
        <f>FZ202*VLOOKUP('Données projet'!$B$17,Paramètres!$A$1:$I$89,3,0)*VLOOKUP('Données projet'!$B$17,Paramètres!$A$1:$I$89,5,0)</f>
        <v>-3.813056537183002E-14</v>
      </c>
      <c r="GB202" s="14" t="e">
        <f t="shared" si="185"/>
        <v>#NUM!</v>
      </c>
      <c r="GC202" s="22" t="e">
        <f t="shared" si="186"/>
        <v>#NUM!</v>
      </c>
      <c r="GD202" s="62" t="e">
        <f t="shared" si="200"/>
        <v>#NUM!</v>
      </c>
      <c r="GE202" s="62">
        <f ca="1">AVERAGE(OFFSET($GD$3,0,0,'Données projet'!$E$17+1,1))-AVERAGE(OFFSET($H$3,0,0,'Données projet'!$E$17+1,1))</f>
        <v>316.17772895535211</v>
      </c>
      <c r="GF202" s="62">
        <f t="shared" si="212"/>
        <v>251.94445589652992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69.393072848211517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3.95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50.25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14.483333333333334</v>
      </c>
      <c r="H203" s="70">
        <f t="shared" si="192"/>
        <v>198.73333333333335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297.99999999999977</v>
      </c>
      <c r="O203" s="14">
        <f>N203*VLOOKUP('Données projet'!$B$9,Paramètres!$A$1:$I$89,3,0)*VLOOKUP('Données projet'!$B$9,Paramètres!$A$1:$I$89,5,0)</f>
        <v>251.0351999999998</v>
      </c>
      <c r="P203" s="14">
        <f t="shared" si="203"/>
        <v>60.807560012183302</v>
      </c>
      <c r="Q203" s="22">
        <f t="shared" si="162"/>
        <v>543.12614035455226</v>
      </c>
      <c r="R203" s="62">
        <f t="shared" si="191"/>
        <v>834.27267983838601</v>
      </c>
      <c r="S203" s="62">
        <f ca="1">AVERAGE(OFFSET($R$3,0,0,'Données projet'!$E$9+1,1))-AVERAGE(OFFSET($H$3,0,0,'Données projet'!$E$9+1,1))</f>
        <v>508.93703669150443</v>
      </c>
      <c r="T203" s="62">
        <f t="shared" si="204"/>
        <v>277.04920840696707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-9.6633812063373625E-13</v>
      </c>
      <c r="AJ203" s="14">
        <f>AI203*VLOOKUP('Données projet'!$B$10,Paramètres!$A$1:$I$89,3,0)*VLOOKUP('Données projet'!$B$10,Paramètres!$A$1:$I$89,5,0)</f>
        <v>-8.7434273154940449E-13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461.10503306101145</v>
      </c>
      <c r="AO203" s="62">
        <f t="shared" si="205"/>
        <v>262.10652147273288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-2.2737367544323206E-13</v>
      </c>
      <c r="BE203" s="14">
        <f>BD203*VLOOKUP('Données projet'!$B$11,Paramètres!$A$1:$I$89,3,0)*VLOOKUP('Données projet'!$B$11,Paramètres!$A$1:$I$89,5,0)</f>
        <v>-1.8089849618263545E-13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389.67854939311752</v>
      </c>
      <c r="BJ203" s="62">
        <f t="shared" si="206"/>
        <v>420.05189970516096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-1.0516032489249483E-12</v>
      </c>
      <c r="BZ203" s="14">
        <f>BY203*VLOOKUP('Données projet'!$B$12,Paramètres!$A$1:$I$89,3,0)*VLOOKUP('Données projet'!$B$12,Paramètres!$A$1:$I$89,5,0)</f>
        <v>-6.0151705838507046E-13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312.16891625633968</v>
      </c>
      <c r="CE203" s="62">
        <f t="shared" si="207"/>
        <v>215.34305815516177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0.10780022380508192</v>
      </c>
      <c r="CM203" s="23">
        <f>EXP(-LN(2)/2)*CM202+(1-EXP(-LN(2)/2))/(LN(2)/2)*CG203*CJ203*VLOOKUP('Données projet'!$B$12,Paramètres!$A$1:$I$89,3,0)*0.475*44/12</f>
        <v>2.1061027934471849E-25</v>
      </c>
      <c r="CN203" s="24">
        <f t="shared" si="172"/>
        <v>0.10780022380508192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3.979039320256561E-13</v>
      </c>
      <c r="CU203" s="18">
        <f>CT203*VLOOKUP('Données projet'!$B$13,Paramètres!$A$1:$I$89,3,0)*VLOOKUP('Données projet'!$B$13,Paramètres!$A$1:$I$89,5,0)</f>
        <v>2.669139576028101E-13</v>
      </c>
      <c r="CV203" s="14">
        <f t="shared" si="173"/>
        <v>3.5767923834585247E-12</v>
      </c>
      <c r="CW203" s="22">
        <f t="shared" si="174"/>
        <v>6.6944552106818241E-12</v>
      </c>
      <c r="CX203" s="62">
        <f t="shared" si="196"/>
        <v>291.14653948384051</v>
      </c>
      <c r="CY203" s="62">
        <f ca="1">AVERAGE(OFFSET($CX$3,0,0,'Données projet'!$E$13+1,1))-AVERAGE(OFFSET($H$3,0,0,'Données projet'!$E$13+1,1))</f>
        <v>369.04754428478793</v>
      </c>
      <c r="CZ203" s="62">
        <f t="shared" si="208"/>
        <v>277.00523259351712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1.1368683772161603E-13</v>
      </c>
      <c r="DP203" s="18">
        <f>DO203*VLOOKUP('Données projet'!$B$14,Paramètres!$A$1:$I$89,3,0)*VLOOKUP('Données projet'!$B$14,Paramètres!$A$1:$I$89,5,0)</f>
        <v>8.8675733422860506E-14</v>
      </c>
      <c r="DQ203" s="14">
        <f t="shared" si="176"/>
        <v>1.3509285393066301E-12</v>
      </c>
      <c r="DR203" s="22">
        <f t="shared" si="177"/>
        <v>2.5073107750038623E-12</v>
      </c>
      <c r="DS203" s="62">
        <f t="shared" si="197"/>
        <v>291.14653948383631</v>
      </c>
      <c r="DT203" s="62">
        <f ca="1">AVERAGE(OFFSET($DS$3,0,0,'Données projet'!$E$14+1,1))-AVERAGE(OFFSET($H$3,0,0,'Données projet'!$E$14+1,1))</f>
        <v>308.39181291575227</v>
      </c>
      <c r="DU203" s="62">
        <f t="shared" si="209"/>
        <v>298.58225298824334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-9.6633812063373625E-13</v>
      </c>
      <c r="EK203" s="18">
        <f>EJ203*VLOOKUP('Données projet'!$B$15,Paramètres!$A$1:$I$89,3,0)*VLOOKUP('Données projet'!$B$15,Paramètres!$A$1:$I$89,5,0)</f>
        <v>-9.3464223027694966E-13</v>
      </c>
      <c r="EL203" s="14" t="e">
        <f t="shared" si="179"/>
        <v>#NUM!</v>
      </c>
      <c r="EM203" s="22" t="e">
        <f t="shared" si="180"/>
        <v>#NUM!</v>
      </c>
      <c r="EN203" s="62" t="e">
        <f t="shared" si="198"/>
        <v>#NUM!</v>
      </c>
      <c r="EO203" s="62">
        <f ca="1">AVERAGE(OFFSET($EN$3,0,0,'Données projet'!$E$15+1,1))-AVERAGE(OFFSET($H$3,0,0,'Données projet'!$E$15+1,1))</f>
        <v>487.76433095707876</v>
      </c>
      <c r="EP203" s="62">
        <f t="shared" si="210"/>
        <v>276.24209151398361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-9.6633812063373625E-13</v>
      </c>
      <c r="FF203" s="18">
        <f>FE203*VLOOKUP('Données projet'!$B$16,Paramètres!$A$1:$I$89,3,0)*VLOOKUP('Données projet'!$B$16,Paramètres!$A$1:$I$89,5,0)</f>
        <v>-1.0401663530501537E-12</v>
      </c>
      <c r="FG203" s="14" t="e">
        <f t="shared" si="182"/>
        <v>#NUM!</v>
      </c>
      <c r="FH203" s="22" t="e">
        <f t="shared" si="183"/>
        <v>#NUM!</v>
      </c>
      <c r="FI203" s="62" t="e">
        <f t="shared" si="199"/>
        <v>#NUM!</v>
      </c>
      <c r="FJ203" s="62">
        <f ca="1">AVERAGE(OFFSET($FI$3,0,0,'Données projet'!$E$16+1,1))-AVERAGE(OFFSET($H$3,0,0,'Données projet'!$E$16+1,1))</f>
        <v>534.33392288300456</v>
      </c>
      <c r="FK203" s="62">
        <f t="shared" si="211"/>
        <v>300.93109615735477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-5.6843418860808015E-14</v>
      </c>
      <c r="GA203" s="18">
        <f>FZ203*VLOOKUP('Données projet'!$B$17,Paramètres!$A$1:$I$89,3,0)*VLOOKUP('Données projet'!$B$17,Paramètres!$A$1:$I$89,5,0)</f>
        <v>-3.813056537183002E-14</v>
      </c>
      <c r="GB203" s="14" t="e">
        <f t="shared" si="185"/>
        <v>#NUM!</v>
      </c>
      <c r="GC203" s="22" t="e">
        <f t="shared" si="186"/>
        <v>#NUM!</v>
      </c>
      <c r="GD203" s="62" t="e">
        <f t="shared" si="200"/>
        <v>#NUM!</v>
      </c>
      <c r="GE203" s="62">
        <f ca="1">AVERAGE(OFFSET($GD$3,0,0,'Données projet'!$E$17+1,1))-AVERAGE(OFFSET($H$3,0,0,'Données projet'!$E$17+1,1))</f>
        <v>316.17772895535211</v>
      </c>
      <c r="GF203" s="62">
        <f t="shared" si="212"/>
        <v>251.94445589652992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69.403601677409213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1.2392705892426346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1.2054868146447177</v>
      </c>
      <c r="BA205" s="88">
        <f>EXP(LN('Données projet'!B88)/'Données projet'!A88)</f>
        <v>1.2709816152101407</v>
      </c>
      <c r="BV205" s="88">
        <f>EXP(LN('Données projet'!B114)/'Données projet'!A114)</f>
        <v>1.2437711100600062</v>
      </c>
      <c r="CQ205" s="88">
        <f>EXP(LN('Données projet'!B140)/'Données projet'!A140)</f>
        <v>1.3932671119677325</v>
      </c>
      <c r="DL205" s="88">
        <f>EXP(LN('Données projet'!B166)/'Données projet'!A166)</f>
        <v>1.2788040393997409</v>
      </c>
      <c r="EG205" s="88">
        <f>EXP(LN('Données projet'!B192)/'Données projet'!A192)</f>
        <v>1.2054868146447177</v>
      </c>
      <c r="FB205" s="88">
        <f>EXP(LN('Données projet'!B218)/'Données projet'!A218)</f>
        <v>1.2054868146447177</v>
      </c>
      <c r="FW205" s="88">
        <f>EXP(LN('Données projet'!B244)/'Données projet'!A244)</f>
        <v>1.2822890014514785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opLeftCell="A7" zoomScale="90" zoomScaleNormal="90" workbookViewId="0">
      <selection activeCell="F17" sqref="F17:L1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Chêne pédonculé</v>
      </c>
      <c r="B6" s="155">
        <f>'Données projet'!D9</f>
        <v>7.3266</v>
      </c>
      <c r="C6" s="156">
        <f ca="1">IF(OR('Données projet'!B9="",'Données projet'!C9="",'Données projet'!C9=0%),0,Calculateur!S3)</f>
        <v>508.93703669150443</v>
      </c>
      <c r="D6" s="156">
        <f>IF(OR('Données projet'!B9="",'Données projet'!C9="",'Données projet'!C9=0%),0,Calculateur!T3)</f>
        <v>277.04920840696707</v>
      </c>
      <c r="E6" s="156">
        <f ca="1">MIN(C6,D6)</f>
        <v>277.04920840696707</v>
      </c>
      <c r="F6" s="156">
        <f ca="1">E6*B6</f>
        <v>2029.828730314485</v>
      </c>
      <c r="G6" s="156">
        <f ca="1">F6*(100%-'Données projet'!$C$24)*(100%-'Données projet'!$C$25)*(100%-'Données projet'!$C$26)*(100%-'Données projet'!$C$27)</f>
        <v>1826.8458572830366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62.2761</v>
      </c>
      <c r="K6" s="160">
        <f>J6*(100%-'Données projet'!$C$24)*(100%-'Données projet'!$C$25)*(100%-'Données projet'!$C$26)*(100%-'Données projet'!$C$27)</f>
        <v>56.048490000000001</v>
      </c>
      <c r="L6" s="161">
        <f ca="1">G6+I6+K6</f>
        <v>1882.8943472830365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>Chêne sessile</v>
      </c>
      <c r="B7" s="163">
        <f>'Données projet'!D10</f>
        <v>1.160045</v>
      </c>
      <c r="C7" s="156">
        <f ca="1">IF(OR('Données projet'!B10="",'Données projet'!C10="",'Données projet'!C10=0%),0,Calculateur!AN3)</f>
        <v>461.10503306101145</v>
      </c>
      <c r="D7" s="156">
        <f>IF(OR('Données projet'!B10="",'Données projet'!C10="",'Données projet'!C10=0%),0,Calculateur!AO3)</f>
        <v>262.10652147273288</v>
      </c>
      <c r="E7" s="156">
        <f t="shared" ref="E7:E15" ca="1" si="0">MIN(C7,D7)</f>
        <v>262.10652147273288</v>
      </c>
      <c r="F7" s="156">
        <f t="shared" ref="F7:F15" ca="1" si="1">E7*B7</f>
        <v>304.05535970183644</v>
      </c>
      <c r="G7" s="156">
        <f ca="1">F7*(100%-'Données projet'!$C$24)*(100%-'Données projet'!$C$25)*(100%-'Données projet'!$C$26)*(100%-'Données projet'!$C$27)</f>
        <v>273.64982373165282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8.4103262500000007</v>
      </c>
      <c r="K7" s="160">
        <f>J7*(100%-'Données projet'!$C$24)*(100%-'Données projet'!$C$25)*(100%-'Données projet'!$C$26)*(100%-'Données projet'!$C$27)</f>
        <v>7.5692936250000011</v>
      </c>
      <c r="L7" s="161">
        <f t="shared" ref="L7:L15" ca="1" si="2">G7+I7+K7</f>
        <v>281.21911735665282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>Erable sycomore</v>
      </c>
      <c r="B8" s="163">
        <f>'Données projet'!D11</f>
        <v>1.929338</v>
      </c>
      <c r="C8" s="156">
        <f ca="1">IF(OR('Données projet'!B11="",'Données projet'!C11="",'Données projet'!C11=0%),0,Calculateur!BI3)</f>
        <v>389.67854939311752</v>
      </c>
      <c r="D8" s="156">
        <f>IF(OR('Données projet'!B11="",'Données projet'!C11="",'Données projet'!C11=0%),0,Calculateur!BJ3)</f>
        <v>420.05189970516096</v>
      </c>
      <c r="E8" s="156">
        <f t="shared" ca="1" si="0"/>
        <v>389.67854939311752</v>
      </c>
      <c r="F8" s="156">
        <f t="shared" ca="1" si="1"/>
        <v>751.82163312901855</v>
      </c>
      <c r="G8" s="156">
        <f ca="1">F8*(100%-'Données projet'!$C$24)*(100%-'Données projet'!$C$25)*(100%-'Données projet'!$C$26)*(100%-'Données projet'!$C$27)</f>
        <v>676.63946981611673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66.079826499999996</v>
      </c>
      <c r="K8" s="160">
        <f>J8*(100%-'Données projet'!$C$24)*(100%-'Données projet'!$C$25)*(100%-'Données projet'!$C$26)*(100%-'Données projet'!$C$27)</f>
        <v>59.471843849999999</v>
      </c>
      <c r="L8" s="161">
        <f t="shared" ca="1" si="2"/>
        <v>736.11131366611676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>Pin sylvestre</v>
      </c>
      <c r="B9" s="163">
        <f>'Données projet'!D12</f>
        <v>0.56170600000000004</v>
      </c>
      <c r="C9" s="156">
        <f ca="1">IF(OR('Données projet'!B12="",'Données projet'!C12="",'Données projet'!C12=0%),0,Calculateur!CD3)</f>
        <v>312.16891625633968</v>
      </c>
      <c r="D9" s="156">
        <f>IF(OR('Données projet'!B12="",'Données projet'!C12="",'Données projet'!C12=0%),0,Calculateur!CE3)</f>
        <v>215.34305815516177</v>
      </c>
      <c r="E9" s="156">
        <f t="shared" ca="1" si="0"/>
        <v>215.34305815516177</v>
      </c>
      <c r="F9" s="156">
        <f t="shared" ca="1" si="1"/>
        <v>120.95948782410331</v>
      </c>
      <c r="G9" s="156">
        <f ca="1">F9*(100%-'Données projet'!$C$24)*(100%-'Données projet'!$C$25)*(100%-'Données projet'!$C$26)*(100%-'Données projet'!$C$27)</f>
        <v>108.86353904169297</v>
      </c>
      <c r="H9" s="164">
        <f>IF(OR('Données projet'!B12="",'Données projet'!C12="",'Données projet'!C12=0%),0,AVERAGE(Calculateur!$CN$3:$CN$33)*B9)</f>
        <v>2.7193625265048458</v>
      </c>
      <c r="I9" s="158">
        <f>H9*(100%-'Données projet'!$C$24)*(100%-'Données projet'!$C$25)*(100%-'Données projet'!$C$26)*(100%-'Données projet'!$C$27)</f>
        <v>2.4474262738543611</v>
      </c>
      <c r="J9" s="159">
        <f>IF(OR('Données projet'!B12="",'Données projet'!C12="",'Données projet'!C12=0%),0,SUM(Calculateur!$CG$3:$CG$33)*VLOOKUP('Données projet'!$B$12,Paramètres!$A$1:$I$89,9,0)*B9)</f>
        <v>19.687402105800004</v>
      </c>
      <c r="K9" s="160">
        <f>J9*(100%-'Données projet'!$C$24)*(100%-'Données projet'!$C$25)*(100%-'Données projet'!$C$26)*(100%-'Données projet'!$C$27)</f>
        <v>17.718661895220006</v>
      </c>
      <c r="L9" s="161">
        <f t="shared" ca="1" si="2"/>
        <v>129.02962721076733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>Tilleul</v>
      </c>
      <c r="B10" s="163">
        <f>'Données projet'!D13</f>
        <v>0.52507300000000001</v>
      </c>
      <c r="C10" s="156">
        <f ca="1">IF(OR('Données projet'!B13="",'Données projet'!C13="",'Données projet'!C13=0%),0,Calculateur!CY3)</f>
        <v>369.04754428478793</v>
      </c>
      <c r="D10" s="156">
        <f>IF(OR('Données projet'!B13="",'Données projet'!C13="",'Données projet'!C13=0%),0,Calculateur!CZ3)</f>
        <v>277.00523259351712</v>
      </c>
      <c r="E10" s="156">
        <f t="shared" ca="1" si="0"/>
        <v>277.00523259351712</v>
      </c>
      <c r="F10" s="156">
        <f t="shared" ca="1" si="1"/>
        <v>145.44796849357581</v>
      </c>
      <c r="G10" s="156">
        <f ca="1">F10*(100%-'Données projet'!$C$24)*(100%-'Données projet'!$C$25)*(100%-'Données projet'!$C$26)*(100%-'Données projet'!$C$27)</f>
        <v>130.90317164421825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7.0682903846153842</v>
      </c>
      <c r="K10" s="160">
        <f>J10*(100%-'Données projet'!$C$24)*(100%-'Données projet'!$C$25)*(100%-'Données projet'!$C$26)*(100%-'Données projet'!$C$27)</f>
        <v>6.3614613461538463</v>
      </c>
      <c r="L10" s="161">
        <f t="shared" ca="1" si="2"/>
        <v>137.26463299037209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>Merisier</v>
      </c>
      <c r="B11" s="163">
        <f>'Données projet'!D14</f>
        <v>0.39075200000000004</v>
      </c>
      <c r="C11" s="156">
        <f ca="1">IF(OR('Données projet'!B14="",'Données projet'!C14="",'Données projet'!C14=0%),0,Calculateur!DT3)</f>
        <v>308.39181291575227</v>
      </c>
      <c r="D11" s="156">
        <f>IF(OR('Données projet'!B14="",'Données projet'!C14="",'Données projet'!C14=0%),0,Calculateur!DU3)</f>
        <v>298.58225298824334</v>
      </c>
      <c r="E11" s="156">
        <f t="shared" ca="1" si="0"/>
        <v>298.58225298824334</v>
      </c>
      <c r="F11" s="156">
        <f t="shared" ca="1" si="1"/>
        <v>116.67161251966208</v>
      </c>
      <c r="G11" s="156">
        <f ca="1">F11*(100%-'Données projet'!$C$24)*(100%-'Données projet'!$C$25)*(100%-'Données projet'!$C$26)*(100%-'Données projet'!$C$27)</f>
        <v>105.00445126769587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5.3728400000000009</v>
      </c>
      <c r="K11" s="160">
        <f>J11*(100%-'Données projet'!$C$24)*(100%-'Données projet'!$C$25)*(100%-'Données projet'!$C$26)*(100%-'Données projet'!$C$27)</f>
        <v>4.8355560000000013</v>
      </c>
      <c r="L11" s="161">
        <f t="shared" ca="1" si="2"/>
        <v>109.84000726769587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>Alisier torminal</v>
      </c>
      <c r="B12" s="163">
        <f>'Données projet'!D15</f>
        <v>0.109899</v>
      </c>
      <c r="C12" s="156">
        <f ca="1">IF(OR('Données projet'!B15="",'Données projet'!C15="",'Données projet'!C15=0%),0,Calculateur!EO3)</f>
        <v>487.76433095707876</v>
      </c>
      <c r="D12" s="156">
        <f>IF(OR('Données projet'!B15="",'Données projet'!C15="",'Données projet'!C15=0%),0,Calculateur!EP3)</f>
        <v>276.24209151398361</v>
      </c>
      <c r="E12" s="156">
        <f t="shared" ca="1" si="0"/>
        <v>276.24209151398361</v>
      </c>
      <c r="F12" s="156">
        <f t="shared" ca="1" si="1"/>
        <v>30.358729615295285</v>
      </c>
      <c r="G12" s="156">
        <f ca="1">F12*(100%-'Données projet'!$C$24)*(100%-'Données projet'!$C$25)*(100%-'Données projet'!$C$26)*(100%-'Données projet'!$C$27)</f>
        <v>27.322856653765758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0.79676775</v>
      </c>
      <c r="K12" s="160">
        <f>J12*(100%-'Données projet'!$C$24)*(100%-'Données projet'!$C$25)*(100%-'Données projet'!$C$26)*(100%-'Données projet'!$C$27)</f>
        <v>0.71709097499999996</v>
      </c>
      <c r="L12" s="161">
        <f t="shared" ca="1" si="2"/>
        <v>28.039947628765759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>Cormier</v>
      </c>
      <c r="B13" s="163">
        <f>'Données projet'!D16</f>
        <v>4.8844000000000005E-2</v>
      </c>
      <c r="C13" s="156">
        <f ca="1">IF(OR('Données projet'!B16="",'Données projet'!C16="",'Données projet'!C16=0%),0,Calculateur!FJ3)</f>
        <v>534.33392288300456</v>
      </c>
      <c r="D13" s="156">
        <f>IF(OR('Données projet'!B16="",'Données projet'!C16="",'Données projet'!C16=0%),0,Calculateur!FK3)</f>
        <v>300.93109615735477</v>
      </c>
      <c r="E13" s="156">
        <f t="shared" ca="1" si="0"/>
        <v>300.93109615735477</v>
      </c>
      <c r="F13" s="156">
        <f t="shared" ca="1" si="1"/>
        <v>14.698678460709838</v>
      </c>
      <c r="G13" s="156">
        <f ca="1">F13*(100%-'Données projet'!$C$24)*(100%-'Données projet'!$C$25)*(100%-'Données projet'!$C$26)*(100%-'Données projet'!$C$27)</f>
        <v>13.228810614638855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0.35411900000000002</v>
      </c>
      <c r="K13" s="160">
        <f>J13*(100%-'Données projet'!$C$24)*(100%-'Données projet'!$C$25)*(100%-'Données projet'!$C$26)*(100%-'Données projet'!$C$27)</f>
        <v>0.31870710000000002</v>
      </c>
      <c r="L13" s="161">
        <f t="shared" ca="1" si="2"/>
        <v>13.547517714638854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>Tilleul</v>
      </c>
      <c r="B14" s="163">
        <f>'Données projet'!D17</f>
        <v>3.6632999999999999E-2</v>
      </c>
      <c r="C14" s="156">
        <f ca="1">IF(OR('Données projet'!B17="",'Données projet'!C17="",'Données projet'!C17=0%),0,Calculateur!GE3)</f>
        <v>316.17772895535211</v>
      </c>
      <c r="D14" s="156">
        <f>IF(OR('Données projet'!B17="",'Données projet'!C17="",'Données projet'!C17=0%),0,Calculateur!GF3)</f>
        <v>251.94445589652992</v>
      </c>
      <c r="E14" s="156">
        <f t="shared" ca="1" si="0"/>
        <v>251.94445589652992</v>
      </c>
      <c r="F14" s="156">
        <f t="shared" ca="1" si="1"/>
        <v>9.22948125285758</v>
      </c>
      <c r="G14" s="156">
        <f ca="1">F14*(100%-'Données projet'!$C$24)*(100%-'Données projet'!$C$25)*(100%-'Données projet'!$C$26)*(100%-'Données projet'!$C$27)</f>
        <v>8.3065331275718215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0.47552451923076916</v>
      </c>
      <c r="K14" s="160">
        <f>J14*(100%-'Données projet'!$C$24)*(100%-'Données projet'!$C$25)*(100%-'Données projet'!$C$26)*(100%-'Données projet'!$C$27)</f>
        <v>0.42797206730769227</v>
      </c>
      <c r="L14" s="161">
        <f t="shared" ca="1" si="2"/>
        <v>8.7345051948795138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3523.0716813115441</v>
      </c>
      <c r="G16" s="175">
        <f t="shared" ca="1" si="3"/>
        <v>3170.7645131803902</v>
      </c>
      <c r="H16" s="176">
        <f t="shared" si="3"/>
        <v>2.7193625265048458</v>
      </c>
      <c r="I16" s="176">
        <f t="shared" si="3"/>
        <v>2.4474262738543611</v>
      </c>
      <c r="J16" s="177">
        <f t="shared" si="3"/>
        <v>170.5211965096461</v>
      </c>
      <c r="K16" s="177">
        <f t="shared" si="3"/>
        <v>153.46907685868152</v>
      </c>
      <c r="L16" s="178">
        <f t="shared" ca="1" si="3"/>
        <v>3326.6810163129257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Chêne pédonculé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>Chêne sessile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>Erable sycomore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>Pin sylvestre</v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>Tilleul</v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>Merisier</v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>Alisier torminal</v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>Cormier</v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>Tilleul</v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abSelected="1" topLeftCell="H7" zoomScale="80" zoomScaleNormal="80" workbookViewId="0">
      <selection activeCell="H15" sqref="H1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pédonculé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766.91755477065942</v>
      </c>
      <c r="U10" s="190">
        <f>'Données projet'!D9</f>
        <v>7.3266</v>
      </c>
      <c r="V10" s="189">
        <f>U10*T10</f>
        <v>5618.8981567827132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Chêne sessile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622.41805335138281</v>
      </c>
      <c r="U11" s="190">
        <f>'Données projet'!D10</f>
        <v>1.160045</v>
      </c>
      <c r="V11" s="189">
        <f t="shared" ref="V11" si="0">U11*T11</f>
        <v>722.0329507000049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Erable sycomore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1699.4277672067174</v>
      </c>
      <c r="U12" s="190">
        <f>'Données projet'!D11</f>
        <v>1.929338</v>
      </c>
      <c r="V12" s="189">
        <f t="shared" ref="V12:V19" si="1">U12*T12</f>
        <v>3278.7705695270738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>Pin sylvestre</v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1004.3446079364526</v>
      </c>
      <c r="U13" s="190">
        <f>'Données projet'!D12</f>
        <v>0.56170600000000004</v>
      </c>
      <c r="V13" s="189">
        <f t="shared" si="1"/>
        <v>564.14639234555307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Chêne pédonculé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>Tilleul</v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910.18393398556452</v>
      </c>
      <c r="U14" s="190">
        <f>'Données projet'!D13</f>
        <v>0.52507300000000001</v>
      </c>
      <c r="V14" s="189">
        <f t="shared" si="1"/>
        <v>477.91300876960236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>
        <v>0</v>
      </c>
      <c r="I15" s="204">
        <v>0</v>
      </c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>Merisier</v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2125.848774320878</v>
      </c>
      <c r="U15" s="190">
        <f>'Données projet'!D14</f>
        <v>0.39075200000000004</v>
      </c>
      <c r="V15" s="189">
        <f t="shared" si="1"/>
        <v>830.67966026343186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>Alisier torminal</v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622.41805335138281</v>
      </c>
      <c r="U16" s="190">
        <f>'Données projet'!D15</f>
        <v>0.109899</v>
      </c>
      <c r="V16" s="189">
        <f t="shared" si="1"/>
        <v>68.403121645263624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>Cormier</v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622.41805335138281</v>
      </c>
      <c r="U17" s="190">
        <f>'Données projet'!D16</f>
        <v>4.8844000000000005E-2</v>
      </c>
      <c r="V17" s="189">
        <f t="shared" si="1"/>
        <v>30.401387397894947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>Tilleul</v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673.42921737680285</v>
      </c>
      <c r="U18" s="190">
        <f>'Données projet'!D17</f>
        <v>3.6632999999999999E-2</v>
      </c>
      <c r="V18" s="189">
        <f t="shared" si="1"/>
        <v>24.66973252016442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v>9000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20</v>
      </c>
      <c r="B23" s="193">
        <f>'Données projet'!D36</f>
        <v>0</v>
      </c>
      <c r="C23" s="204">
        <v>0</v>
      </c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-98283.085020048296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25</v>
      </c>
      <c r="B24" s="193">
        <f>'Données projet'!D37</f>
        <v>34</v>
      </c>
      <c r="C24" s="206">
        <v>10</v>
      </c>
      <c r="D24" s="194">
        <f t="shared" ref="D24:D42" si="2">B24*C24</f>
        <v>340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58438.679581026168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30</v>
      </c>
      <c r="B25" s="193">
        <f>'Données projet'!D38</f>
        <v>0</v>
      </c>
      <c r="C25" s="206">
        <v>0</v>
      </c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216</v>
      </c>
      <c r="Q25" s="265"/>
      <c r="R25" s="25"/>
      <c r="S25" s="198" t="s">
        <v>266</v>
      </c>
      <c r="T25" s="341">
        <f ca="1">T23-T24</f>
        <v>-156721.76460107445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35</v>
      </c>
      <c r="B26" s="193">
        <f>'Données projet'!D39</f>
        <v>56</v>
      </c>
      <c r="C26" s="206">
        <v>10</v>
      </c>
      <c r="D26" s="194">
        <f t="shared" si="2"/>
        <v>560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40</v>
      </c>
      <c r="B27" s="193">
        <f>'Données projet'!D40</f>
        <v>0</v>
      </c>
      <c r="C27" s="206">
        <v>0</v>
      </c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45</v>
      </c>
      <c r="B28" s="193">
        <f>'Données projet'!D41</f>
        <v>56</v>
      </c>
      <c r="C28" s="206">
        <v>10</v>
      </c>
      <c r="D28" s="194">
        <f t="shared" si="2"/>
        <v>560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50</v>
      </c>
      <c r="B29" s="193">
        <f>'Données projet'!D42</f>
        <v>0</v>
      </c>
      <c r="C29" s="206">
        <v>0</v>
      </c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55</v>
      </c>
      <c r="B30" s="193">
        <f>'Données projet'!D43</f>
        <v>56</v>
      </c>
      <c r="C30" s="206">
        <v>20</v>
      </c>
      <c r="D30" s="194">
        <f t="shared" si="2"/>
        <v>1120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4785.74069126412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60</v>
      </c>
      <c r="B31" s="193">
        <f>'Données projet'!D44</f>
        <v>0</v>
      </c>
      <c r="C31" s="206">
        <v>0</v>
      </c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65</v>
      </c>
      <c r="B32" s="193">
        <f>'Données projet'!D45</f>
        <v>56</v>
      </c>
      <c r="C32" s="206">
        <v>30</v>
      </c>
      <c r="D32" s="194">
        <f t="shared" si="2"/>
        <v>1680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70</v>
      </c>
      <c r="B33" s="193">
        <f>'Données projet'!D46</f>
        <v>0</v>
      </c>
      <c r="C33" s="206">
        <v>0</v>
      </c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216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75</v>
      </c>
      <c r="B34" s="193">
        <f>'Données projet'!D47</f>
        <v>56</v>
      </c>
      <c r="C34" s="206">
        <v>40</v>
      </c>
      <c r="D34" s="194">
        <f t="shared" si="2"/>
        <v>2240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206.69856459330146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80</v>
      </c>
      <c r="B35" s="193">
        <f>'Données projet'!D48</f>
        <v>0</v>
      </c>
      <c r="C35" s="206">
        <v>0</v>
      </c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197.79766946727415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90</v>
      </c>
      <c r="B36" s="193">
        <f>'Données projet'!D49</f>
        <v>56</v>
      </c>
      <c r="C36" s="206">
        <v>50</v>
      </c>
      <c r="D36" s="194">
        <f t="shared" si="2"/>
        <v>2800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189.28006647586042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100</v>
      </c>
      <c r="B37" s="193">
        <f>'Données projet'!D50</f>
        <v>55</v>
      </c>
      <c r="C37" s="206">
        <v>60</v>
      </c>
      <c r="D37" s="194">
        <f t="shared" si="2"/>
        <v>3300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181.12925021613441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110</v>
      </c>
      <c r="B38" s="193">
        <f>'Données projet'!D51</f>
        <v>51</v>
      </c>
      <c r="C38" s="206">
        <v>70</v>
      </c>
      <c r="D38" s="194">
        <f t="shared" si="2"/>
        <v>3570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173.32942604414777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120</v>
      </c>
      <c r="B39" s="193">
        <f>'Données projet'!D52</f>
        <v>47</v>
      </c>
      <c r="C39" s="206">
        <v>80</v>
      </c>
      <c r="D39" s="194">
        <f t="shared" si="2"/>
        <v>3760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165.86547946808403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130</v>
      </c>
      <c r="B40" s="193">
        <f>'Données projet'!D53</f>
        <v>44</v>
      </c>
      <c r="C40" s="206">
        <v>100</v>
      </c>
      <c r="D40" s="194">
        <f t="shared" si="2"/>
        <v>4400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158.72294685941054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140</v>
      </c>
      <c r="B41" s="193">
        <f>'Données projet'!D54</f>
        <v>41</v>
      </c>
      <c r="C41" s="206">
        <v>150</v>
      </c>
      <c r="D41" s="194">
        <f t="shared" si="2"/>
        <v>6150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151.88798742527328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150</v>
      </c>
      <c r="B42" s="193">
        <f>'Données projet'!D55</f>
        <v>37</v>
      </c>
      <c r="C42" s="206">
        <v>200</v>
      </c>
      <c r="D42" s="194">
        <f t="shared" si="2"/>
        <v>7400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145.34735638782135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139.08837931848936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133.09892757750177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>Chêne sessile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127.36739481100651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121.8826744602933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116.63413823951515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111.61161554020588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106.80537372268509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102.20609925615798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97.804879670964596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93.593186288004404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89.562857691870263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20</v>
      </c>
      <c r="B54" s="193">
        <f>'Données projet'!D62</f>
        <v>0</v>
      </c>
      <c r="C54" s="204">
        <v>0</v>
      </c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85.706083915665317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25</v>
      </c>
      <c r="B55" s="193">
        <f>'Données projet'!D63</f>
        <v>0</v>
      </c>
      <c r="C55" s="206">
        <v>0</v>
      </c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82.015391306856785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30</v>
      </c>
      <c r="B56" s="193">
        <f>'Données projet'!D64</f>
        <v>29</v>
      </c>
      <c r="C56" s="206">
        <v>10</v>
      </c>
      <c r="D56" s="191">
        <f t="shared" si="4"/>
        <v>290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78.483628044839023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35</v>
      </c>
      <c r="B57" s="193">
        <f>'Données projet'!D65</f>
        <v>0</v>
      </c>
      <c r="C57" s="206">
        <v>0</v>
      </c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75.10395028214262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40</v>
      </c>
      <c r="B58" s="193">
        <f>'Données projet'!D66</f>
        <v>42</v>
      </c>
      <c r="C58" s="206">
        <v>10</v>
      </c>
      <c r="D58" s="191">
        <f t="shared" si="4"/>
        <v>420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71.869808882433134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45</v>
      </c>
      <c r="B59" s="193">
        <f>'Données projet'!D67</f>
        <v>0</v>
      </c>
      <c r="C59" s="206">
        <v>0</v>
      </c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68.774936729601109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50</v>
      </c>
      <c r="B60" s="193">
        <f>'Données projet'!D68</f>
        <v>42</v>
      </c>
      <c r="C60" s="206">
        <v>15</v>
      </c>
      <c r="D60" s="191">
        <f t="shared" si="4"/>
        <v>630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65.813336583350335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55</v>
      </c>
      <c r="B61" s="193">
        <f>'Données projet'!D69</f>
        <v>0</v>
      </c>
      <c r="C61" s="206">
        <v>0</v>
      </c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62.979269457751535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60</v>
      </c>
      <c r="B62" s="193">
        <f>'Données projet'!D70</f>
        <v>42</v>
      </c>
      <c r="C62" s="206">
        <v>25</v>
      </c>
      <c r="D62" s="191">
        <f t="shared" si="4"/>
        <v>1050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60.267243500240696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65</v>
      </c>
      <c r="B63" s="193">
        <f>'Données projet'!D71</f>
        <v>0</v>
      </c>
      <c r="C63" s="206">
        <v>0</v>
      </c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57.67200334951265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70</v>
      </c>
      <c r="B64" s="193">
        <f>'Données projet'!D72</f>
        <v>42</v>
      </c>
      <c r="C64" s="206">
        <v>35</v>
      </c>
      <c r="D64" s="191">
        <f t="shared" si="4"/>
        <v>1470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55.188519951686736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75</v>
      </c>
      <c r="B65" s="193">
        <f>'Données projet'!D73</f>
        <v>0</v>
      </c>
      <c r="C65" s="206">
        <v>0</v>
      </c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52.81198081501126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80</v>
      </c>
      <c r="B66" s="193">
        <f>'Données projet'!D74</f>
        <v>42</v>
      </c>
      <c r="C66" s="206">
        <v>45</v>
      </c>
      <c r="D66" s="191">
        <f t="shared" si="4"/>
        <v>1890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50.53778068422131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90</v>
      </c>
      <c r="B67" s="193">
        <f>'Données projet'!D75</f>
        <v>42</v>
      </c>
      <c r="C67" s="206">
        <v>50</v>
      </c>
      <c r="D67" s="191">
        <f t="shared" si="4"/>
        <v>2100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48.361512616479722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100</v>
      </c>
      <c r="B68" s="193">
        <f>'Données projet'!D76</f>
        <v>42</v>
      </c>
      <c r="C68" s="206">
        <v>60</v>
      </c>
      <c r="D68" s="191">
        <f t="shared" si="4"/>
        <v>2520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46.278959441607391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110</v>
      </c>
      <c r="B69" s="193">
        <f>'Données projet'!D77</f>
        <v>39</v>
      </c>
      <c r="C69" s="206">
        <v>70</v>
      </c>
      <c r="D69" s="191">
        <f t="shared" si="4"/>
        <v>2730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44.286085590054931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120</v>
      </c>
      <c r="B70" s="193">
        <f>'Données projet'!D78</f>
        <v>35</v>
      </c>
      <c r="C70" s="206">
        <v>80</v>
      </c>
      <c r="D70" s="191">
        <f t="shared" si="4"/>
        <v>2800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42.379029272779839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130</v>
      </c>
      <c r="B71" s="193">
        <f>'Données projet'!D79</f>
        <v>31</v>
      </c>
      <c r="C71" s="206">
        <v>100</v>
      </c>
      <c r="D71" s="191">
        <f t="shared" si="4"/>
        <v>3100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40.554094997875453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140</v>
      </c>
      <c r="B72" s="193">
        <f>'Données projet'!D80</f>
        <v>27</v>
      </c>
      <c r="C72" s="206">
        <v>150</v>
      </c>
      <c r="D72" s="191">
        <f t="shared" si="4"/>
        <v>4050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38.807746409450189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150</v>
      </c>
      <c r="B73" s="193">
        <f>'Données projet'!D81</f>
        <v>293</v>
      </c>
      <c r="C73" s="206">
        <v>200</v>
      </c>
      <c r="D73" s="191">
        <f t="shared" si="4"/>
        <v>58600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37.136599434880573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35.537415727158447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34.007096389625318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>Erable sycomore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32.542675970933317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31.141316718596482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29.800303079996631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28.517036440188171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27.289030086304468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26.113904388808113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24.989382190246996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23.913284392580866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22.883525734527144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10</v>
      </c>
      <c r="B85" s="193">
        <f>'Données projet'!D88</f>
        <v>0</v>
      </c>
      <c r="C85" s="204">
        <v>0</v>
      </c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21.898110750743683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15</v>
      </c>
      <c r="B86" s="193">
        <f>'Données projet'!D89</f>
        <v>0</v>
      </c>
      <c r="C86" s="204">
        <v>0</v>
      </c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20.955129905017877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20</v>
      </c>
      <c r="B87" s="193">
        <f>'Données projet'!D90</f>
        <v>67</v>
      </c>
      <c r="C87" s="204">
        <v>10</v>
      </c>
      <c r="D87" s="191">
        <f t="shared" si="6"/>
        <v>670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20.052755889969269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25</v>
      </c>
      <c r="B88" s="193">
        <f>'Données projet'!D91</f>
        <v>0</v>
      </c>
      <c r="C88" s="206">
        <v>0</v>
      </c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19.189240086094991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30</v>
      </c>
      <c r="B89" s="193">
        <f>'Données projet'!D92</f>
        <v>70</v>
      </c>
      <c r="C89" s="206">
        <v>15</v>
      </c>
      <c r="D89" s="191">
        <f t="shared" si="6"/>
        <v>1050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18.362909173296647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35</v>
      </c>
      <c r="B90" s="193">
        <f>'Données projet'!D93</f>
        <v>0</v>
      </c>
      <c r="C90" s="206">
        <v>0</v>
      </c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17.572161888322153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40</v>
      </c>
      <c r="B91" s="193">
        <f>'Données projet'!D94</f>
        <v>70</v>
      </c>
      <c r="C91" s="206">
        <v>20</v>
      </c>
      <c r="D91" s="191">
        <f t="shared" si="6"/>
        <v>1400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16.815465921839383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45</v>
      </c>
      <c r="B92" s="193">
        <f>'Données projet'!D95</f>
        <v>0</v>
      </c>
      <c r="C92" s="206">
        <v>0</v>
      </c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16.091354949128597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50</v>
      </c>
      <c r="B93" s="193">
        <f>'Données projet'!D96</f>
        <v>43</v>
      </c>
      <c r="C93" s="206">
        <v>30</v>
      </c>
      <c r="D93" s="191">
        <f t="shared" si="6"/>
        <v>1290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15.398425788639807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55</v>
      </c>
      <c r="B94" s="193">
        <f>'Données projet'!D97</f>
        <v>0</v>
      </c>
      <c r="C94" s="206">
        <v>0</v>
      </c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14.735335682908904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60</v>
      </c>
      <c r="B95" s="193">
        <f>'Données projet'!D98</f>
        <v>30</v>
      </c>
      <c r="C95" s="206">
        <v>40</v>
      </c>
      <c r="D95" s="191">
        <f t="shared" si="6"/>
        <v>1200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14.100799696563552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65</v>
      </c>
      <c r="B96" s="193">
        <f>'Données projet'!D99</f>
        <v>0</v>
      </c>
      <c r="C96" s="206">
        <v>0</v>
      </c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13.493588226376602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70</v>
      </c>
      <c r="B97" s="193">
        <f>'Données projet'!D100</f>
        <v>26</v>
      </c>
      <c r="C97" s="206">
        <v>55</v>
      </c>
      <c r="D97" s="191">
        <f t="shared" si="6"/>
        <v>1430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12.912524618542211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75</v>
      </c>
      <c r="B98" s="193">
        <f>'Données projet'!D101</f>
        <v>0</v>
      </c>
      <c r="C98" s="206">
        <v>0</v>
      </c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12.356482888557139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80</v>
      </c>
      <c r="B99" s="193">
        <f>'Données projet'!D102</f>
        <v>342</v>
      </c>
      <c r="C99" s="206">
        <v>60</v>
      </c>
      <c r="D99" s="191">
        <f t="shared" si="6"/>
        <v>20520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11.82438553928913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>
        <v>0</v>
      </c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11.315201473003953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>
        <v>0</v>
      </c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10.827943993305219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>
        <v>0</v>
      </c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10.361668893115043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>
        <v>0</v>
      </c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str">
        <f>IF(O102+1&lt;=MIN('Données projet'!$E$9:$E$18),O102+1,"STOP")</f>
        <v>STOP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>
        <v>0</v>
      </c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>Pin sylvestre</v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22</v>
      </c>
      <c r="B116" s="193">
        <f>'Données projet'!D114</f>
        <v>50.38</v>
      </c>
      <c r="C116" s="204">
        <v>10</v>
      </c>
      <c r="D116" s="191">
        <f>B116*C116</f>
        <v>503.8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29</v>
      </c>
      <c r="B117" s="193">
        <f>'Données projet'!D115</f>
        <v>31.13</v>
      </c>
      <c r="C117" s="204">
        <v>10</v>
      </c>
      <c r="D117" s="191">
        <f t="shared" ref="D117:D135" si="8">B117*C117</f>
        <v>311.3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36</v>
      </c>
      <c r="B118" s="193">
        <f>'Données projet'!D116</f>
        <v>41.46</v>
      </c>
      <c r="C118" s="204">
        <v>15</v>
      </c>
      <c r="D118" s="191">
        <f t="shared" si="8"/>
        <v>621.9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44</v>
      </c>
      <c r="B119" s="193">
        <f>'Données projet'!D117</f>
        <v>42.43</v>
      </c>
      <c r="C119" s="204">
        <v>15</v>
      </c>
      <c r="D119" s="191">
        <f t="shared" si="8"/>
        <v>636.45000000000005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52</v>
      </c>
      <c r="B120" s="193">
        <f>'Données projet'!D118</f>
        <v>46.24</v>
      </c>
      <c r="C120" s="204">
        <v>20</v>
      </c>
      <c r="D120" s="191">
        <f t="shared" si="8"/>
        <v>924.80000000000007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60</v>
      </c>
      <c r="B121" s="193">
        <f>'Données projet'!D119</f>
        <v>41.67</v>
      </c>
      <c r="C121" s="204">
        <v>25</v>
      </c>
      <c r="D121" s="191">
        <f t="shared" si="8"/>
        <v>1041.75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70</v>
      </c>
      <c r="B122" s="193">
        <f>'Données projet'!D120</f>
        <v>50</v>
      </c>
      <c r="C122" s="204">
        <v>30</v>
      </c>
      <c r="D122" s="191">
        <f t="shared" si="8"/>
        <v>1500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80</v>
      </c>
      <c r="B123" s="193">
        <f>'Données projet'!D121</f>
        <v>39.97</v>
      </c>
      <c r="C123" s="204">
        <v>35</v>
      </c>
      <c r="D123" s="191">
        <f t="shared" si="8"/>
        <v>1398.95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90</v>
      </c>
      <c r="B124" s="193">
        <f>'Données projet'!D122</f>
        <v>40.51</v>
      </c>
      <c r="C124" s="204">
        <v>40</v>
      </c>
      <c r="D124" s="191">
        <f t="shared" si="8"/>
        <v>1620.3999999999999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100</v>
      </c>
      <c r="B125" s="193">
        <f>'Données projet'!D123</f>
        <v>219.7</v>
      </c>
      <c r="C125" s="204">
        <v>45</v>
      </c>
      <c r="D125" s="191">
        <f t="shared" si="8"/>
        <v>9886.5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103</v>
      </c>
      <c r="B126" s="193">
        <f>'Données projet'!D124</f>
        <v>158.65</v>
      </c>
      <c r="C126" s="204">
        <v>45</v>
      </c>
      <c r="D126" s="191">
        <f t="shared" si="8"/>
        <v>7139.25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>Tilleul</v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10</v>
      </c>
      <c r="B147" s="187">
        <f>'Données projet'!D140</f>
        <v>0</v>
      </c>
      <c r="C147" s="204">
        <v>0</v>
      </c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15</v>
      </c>
      <c r="B148" s="187">
        <f>'Données projet'!D141</f>
        <v>19.871794871794872</v>
      </c>
      <c r="C148" s="206">
        <v>10</v>
      </c>
      <c r="D148" s="194">
        <f t="shared" ref="D148:D166" si="10">B148*C148</f>
        <v>198.71794871794873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20</v>
      </c>
      <c r="B149" s="187">
        <f>'Données projet'!D142</f>
        <v>0</v>
      </c>
      <c r="C149" s="206">
        <v>0</v>
      </c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25</v>
      </c>
      <c r="B150" s="187">
        <f>'Données projet'!D143</f>
        <v>33.974358974358971</v>
      </c>
      <c r="C150" s="206">
        <v>10</v>
      </c>
      <c r="D150" s="194">
        <f t="shared" si="10"/>
        <v>339.74358974358972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30</v>
      </c>
      <c r="B151" s="187">
        <f>'Données projet'!D144</f>
        <v>0</v>
      </c>
      <c r="C151" s="206">
        <v>0</v>
      </c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35</v>
      </c>
      <c r="B152" s="187">
        <f>'Données projet'!D145</f>
        <v>37.179487179487175</v>
      </c>
      <c r="C152" s="206">
        <v>15</v>
      </c>
      <c r="D152" s="194">
        <f t="shared" si="10"/>
        <v>557.69230769230762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40</v>
      </c>
      <c r="B153" s="187">
        <f>'Données projet'!D146</f>
        <v>0</v>
      </c>
      <c r="C153" s="206">
        <v>0</v>
      </c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45</v>
      </c>
      <c r="B154" s="187">
        <f>'Données projet'!D147</f>
        <v>36.53846153846154</v>
      </c>
      <c r="C154" s="206">
        <v>20</v>
      </c>
      <c r="D154" s="194">
        <f t="shared" si="10"/>
        <v>730.76923076923083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50</v>
      </c>
      <c r="B155" s="187">
        <f>'Données projet'!D148</f>
        <v>0</v>
      </c>
      <c r="C155" s="206">
        <v>0</v>
      </c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55</v>
      </c>
      <c r="B156" s="187">
        <f>'Données projet'!D149</f>
        <v>32.692307692307693</v>
      </c>
      <c r="C156" s="206">
        <v>30</v>
      </c>
      <c r="D156" s="194">
        <f t="shared" si="10"/>
        <v>980.76923076923083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60</v>
      </c>
      <c r="B157" s="187">
        <f>'Données projet'!D150</f>
        <v>0</v>
      </c>
      <c r="C157" s="206">
        <v>0</v>
      </c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65</v>
      </c>
      <c r="B158" s="187">
        <f>'Données projet'!D151</f>
        <v>31.410256410256409</v>
      </c>
      <c r="C158" s="206">
        <v>40</v>
      </c>
      <c r="D158" s="194">
        <f t="shared" si="10"/>
        <v>1256.4102564102564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70</v>
      </c>
      <c r="B159" s="187">
        <f>'Données projet'!D152</f>
        <v>0</v>
      </c>
      <c r="C159" s="206">
        <v>0</v>
      </c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75</v>
      </c>
      <c r="B160" s="187">
        <f>'Données projet'!D153</f>
        <v>28.846153846153847</v>
      </c>
      <c r="C160" s="206">
        <v>50</v>
      </c>
      <c r="D160" s="194">
        <f t="shared" si="10"/>
        <v>1442.3076923076924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80</v>
      </c>
      <c r="B161" s="187">
        <f>'Données projet'!D154</f>
        <v>0</v>
      </c>
      <c r="C161" s="206">
        <v>0</v>
      </c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85</v>
      </c>
      <c r="B162" s="187">
        <f>'Données projet'!D155</f>
        <v>27.564102564102562</v>
      </c>
      <c r="C162" s="206">
        <v>60</v>
      </c>
      <c r="D162" s="194">
        <f t="shared" si="10"/>
        <v>1653.8461538461538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90</v>
      </c>
      <c r="B163" s="187">
        <f>'Données projet'!D156</f>
        <v>0</v>
      </c>
      <c r="C163" s="206">
        <v>0</v>
      </c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95</v>
      </c>
      <c r="B164" s="187">
        <f>'Données projet'!D157</f>
        <v>25</v>
      </c>
      <c r="C164" s="206">
        <v>65</v>
      </c>
      <c r="D164" s="194">
        <f t="shared" si="10"/>
        <v>1625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100</v>
      </c>
      <c r="B165" s="187">
        <f>'Données projet'!D158</f>
        <v>0</v>
      </c>
      <c r="C165" s="206">
        <v>0</v>
      </c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110</v>
      </c>
      <c r="B166" s="187">
        <f>'Données projet'!D159</f>
        <v>358.33333333333331</v>
      </c>
      <c r="C166" s="206">
        <v>70</v>
      </c>
      <c r="D166" s="194">
        <f t="shared" si="10"/>
        <v>25083.333333333332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>Merisier</v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15</v>
      </c>
      <c r="B178" s="193">
        <f>'Données projet'!D166</f>
        <v>0</v>
      </c>
      <c r="C178" s="206">
        <v>0</v>
      </c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20</v>
      </c>
      <c r="B179" s="193">
        <f>'Données projet'!D167</f>
        <v>0</v>
      </c>
      <c r="C179" s="206">
        <v>0</v>
      </c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25</v>
      </c>
      <c r="B180" s="193">
        <f>'Données projet'!D168</f>
        <v>55</v>
      </c>
      <c r="C180" s="204">
        <v>10</v>
      </c>
      <c r="D180" s="191">
        <f t="shared" si="11"/>
        <v>550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31</v>
      </c>
      <c r="B181" s="193">
        <f>'Données projet'!D169</f>
        <v>36</v>
      </c>
      <c r="C181" s="204">
        <v>10</v>
      </c>
      <c r="D181" s="191">
        <f t="shared" si="11"/>
        <v>360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37</v>
      </c>
      <c r="B182" s="193">
        <f>'Données projet'!D170</f>
        <v>36</v>
      </c>
      <c r="C182" s="204">
        <v>15</v>
      </c>
      <c r="D182" s="191">
        <f t="shared" si="11"/>
        <v>540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44</v>
      </c>
      <c r="B183" s="193">
        <f>'Données projet'!D171</f>
        <v>43</v>
      </c>
      <c r="C183" s="204">
        <v>20</v>
      </c>
      <c r="D183" s="191">
        <f t="shared" si="11"/>
        <v>860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52</v>
      </c>
      <c r="B184" s="193">
        <f>'Données projet'!D172</f>
        <v>48</v>
      </c>
      <c r="C184" s="204">
        <v>40</v>
      </c>
      <c r="D184" s="191">
        <f t="shared" si="11"/>
        <v>1920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60</v>
      </c>
      <c r="B185" s="193">
        <f>'Données projet'!D173</f>
        <v>47</v>
      </c>
      <c r="C185" s="204">
        <v>50</v>
      </c>
      <c r="D185" s="191">
        <f t="shared" si="11"/>
        <v>2350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69</v>
      </c>
      <c r="B186" s="193">
        <f>'Données projet'!D174</f>
        <v>328</v>
      </c>
      <c r="C186" s="204">
        <v>80</v>
      </c>
      <c r="D186" s="191">
        <f t="shared" si="11"/>
        <v>26240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4">
        <v>0</v>
      </c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>
        <v>0</v>
      </c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>
        <v>0</v>
      </c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>
        <v>0</v>
      </c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>
        <v>0</v>
      </c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>
        <v>0</v>
      </c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>
        <v>0</v>
      </c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>
        <v>0</v>
      </c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>
        <v>0</v>
      </c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>
        <v>0</v>
      </c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>
        <v>0</v>
      </c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>Alisier torminal</v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20</v>
      </c>
      <c r="B209" s="193">
        <f>'Données projet'!D192</f>
        <v>0</v>
      </c>
      <c r="C209" s="204">
        <v>0</v>
      </c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25</v>
      </c>
      <c r="B210" s="193">
        <f>'Données projet'!D193</f>
        <v>0</v>
      </c>
      <c r="C210" s="206">
        <v>0</v>
      </c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30</v>
      </c>
      <c r="B211" s="193">
        <f>'Données projet'!D194</f>
        <v>29</v>
      </c>
      <c r="C211" s="206">
        <v>10</v>
      </c>
      <c r="D211" s="191">
        <f t="shared" si="12"/>
        <v>290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35</v>
      </c>
      <c r="B212" s="193">
        <f>'Données projet'!D195</f>
        <v>0</v>
      </c>
      <c r="C212" s="206">
        <v>0</v>
      </c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40</v>
      </c>
      <c r="B213" s="193">
        <f>'Données projet'!D196</f>
        <v>42</v>
      </c>
      <c r="C213" s="206">
        <v>10</v>
      </c>
      <c r="D213" s="191">
        <f t="shared" si="12"/>
        <v>420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45</v>
      </c>
      <c r="B214" s="193">
        <f>'Données projet'!D197</f>
        <v>0</v>
      </c>
      <c r="C214" s="206">
        <v>0</v>
      </c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50</v>
      </c>
      <c r="B215" s="193">
        <f>'Données projet'!D198</f>
        <v>42</v>
      </c>
      <c r="C215" s="206">
        <v>15</v>
      </c>
      <c r="D215" s="191">
        <f t="shared" si="12"/>
        <v>630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55</v>
      </c>
      <c r="B216" s="193">
        <f>'Données projet'!D199</f>
        <v>0</v>
      </c>
      <c r="C216" s="206">
        <v>0</v>
      </c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60</v>
      </c>
      <c r="B217" s="193">
        <f>'Données projet'!D200</f>
        <v>42</v>
      </c>
      <c r="C217" s="206">
        <v>25</v>
      </c>
      <c r="D217" s="191">
        <f t="shared" si="12"/>
        <v>1050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65</v>
      </c>
      <c r="B218" s="193">
        <f>'Données projet'!D201</f>
        <v>0</v>
      </c>
      <c r="C218" s="206">
        <v>0</v>
      </c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70</v>
      </c>
      <c r="B219" s="193">
        <f>'Données projet'!D202</f>
        <v>42</v>
      </c>
      <c r="C219" s="206">
        <v>35</v>
      </c>
      <c r="D219" s="191">
        <f t="shared" si="12"/>
        <v>1470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75</v>
      </c>
      <c r="B220" s="193">
        <f>'Données projet'!D203</f>
        <v>0</v>
      </c>
      <c r="C220" s="206">
        <v>0</v>
      </c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80</v>
      </c>
      <c r="B221" s="193">
        <f>'Données projet'!D204</f>
        <v>42</v>
      </c>
      <c r="C221" s="206">
        <v>45</v>
      </c>
      <c r="D221" s="191">
        <f t="shared" si="12"/>
        <v>1890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90</v>
      </c>
      <c r="B222" s="193">
        <f>'Données projet'!D205</f>
        <v>42</v>
      </c>
      <c r="C222" s="206">
        <v>50</v>
      </c>
      <c r="D222" s="191">
        <f t="shared" si="12"/>
        <v>2100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100</v>
      </c>
      <c r="B223" s="193">
        <f>'Données projet'!D206</f>
        <v>42</v>
      </c>
      <c r="C223" s="206">
        <v>60</v>
      </c>
      <c r="D223" s="191">
        <f t="shared" si="12"/>
        <v>2520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110</v>
      </c>
      <c r="B224" s="193">
        <f>'Données projet'!D207</f>
        <v>39</v>
      </c>
      <c r="C224" s="206">
        <v>70</v>
      </c>
      <c r="D224" s="191">
        <f t="shared" si="12"/>
        <v>2730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120</v>
      </c>
      <c r="B225" s="193">
        <f>'Données projet'!D208</f>
        <v>35</v>
      </c>
      <c r="C225" s="206">
        <v>80</v>
      </c>
      <c r="D225" s="191">
        <f t="shared" si="12"/>
        <v>2800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130</v>
      </c>
      <c r="B226" s="193">
        <f>'Données projet'!D209</f>
        <v>31</v>
      </c>
      <c r="C226" s="206">
        <v>100</v>
      </c>
      <c r="D226" s="191">
        <f t="shared" si="12"/>
        <v>3100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140</v>
      </c>
      <c r="B227" s="193">
        <f>'Données projet'!D210</f>
        <v>27</v>
      </c>
      <c r="C227" s="206">
        <v>150</v>
      </c>
      <c r="D227" s="191">
        <f t="shared" si="12"/>
        <v>4050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150</v>
      </c>
      <c r="B228" s="193">
        <f>'Données projet'!D211</f>
        <v>293</v>
      </c>
      <c r="C228" s="206">
        <v>200</v>
      </c>
      <c r="D228" s="191">
        <f t="shared" si="12"/>
        <v>58600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>Cormier</v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20</v>
      </c>
      <c r="B240" s="193">
        <f>'Données projet'!D218</f>
        <v>0</v>
      </c>
      <c r="C240" s="204">
        <v>0</v>
      </c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25</v>
      </c>
      <c r="B241" s="193">
        <f>'Données projet'!D219</f>
        <v>0</v>
      </c>
      <c r="C241" s="206">
        <v>0</v>
      </c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30</v>
      </c>
      <c r="B242" s="193">
        <f>'Données projet'!D220</f>
        <v>29</v>
      </c>
      <c r="C242" s="206">
        <v>10</v>
      </c>
      <c r="D242" s="191">
        <f t="shared" si="13"/>
        <v>290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35</v>
      </c>
      <c r="B243" s="193">
        <f>'Données projet'!D221</f>
        <v>0</v>
      </c>
      <c r="C243" s="206">
        <v>0</v>
      </c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40</v>
      </c>
      <c r="B244" s="193">
        <f>'Données projet'!D222</f>
        <v>42</v>
      </c>
      <c r="C244" s="206">
        <v>10</v>
      </c>
      <c r="D244" s="191">
        <f t="shared" si="13"/>
        <v>420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45</v>
      </c>
      <c r="B245" s="193">
        <f>'Données projet'!D223</f>
        <v>0</v>
      </c>
      <c r="C245" s="206">
        <v>0</v>
      </c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50</v>
      </c>
      <c r="B246" s="193">
        <f>'Données projet'!D224</f>
        <v>42</v>
      </c>
      <c r="C246" s="206">
        <v>15</v>
      </c>
      <c r="D246" s="191">
        <f t="shared" si="13"/>
        <v>630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55</v>
      </c>
      <c r="B247" s="193">
        <f>'Données projet'!D225</f>
        <v>0</v>
      </c>
      <c r="C247" s="206">
        <v>0</v>
      </c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60</v>
      </c>
      <c r="B248" s="193">
        <f>'Données projet'!D226</f>
        <v>42</v>
      </c>
      <c r="C248" s="206">
        <v>25</v>
      </c>
      <c r="D248" s="191">
        <f t="shared" si="13"/>
        <v>1050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65</v>
      </c>
      <c r="B249" s="193">
        <f>'Données projet'!D227</f>
        <v>0</v>
      </c>
      <c r="C249" s="206">
        <v>0</v>
      </c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70</v>
      </c>
      <c r="B250" s="193">
        <f>'Données projet'!D228</f>
        <v>42</v>
      </c>
      <c r="C250" s="206">
        <v>35</v>
      </c>
      <c r="D250" s="191">
        <f t="shared" si="13"/>
        <v>1470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75</v>
      </c>
      <c r="B251" s="193">
        <f>'Données projet'!D229</f>
        <v>0</v>
      </c>
      <c r="C251" s="206">
        <v>0</v>
      </c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80</v>
      </c>
      <c r="B252" s="193">
        <f>'Données projet'!D230</f>
        <v>42</v>
      </c>
      <c r="C252" s="206">
        <v>45</v>
      </c>
      <c r="D252" s="191">
        <f t="shared" si="13"/>
        <v>1890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90</v>
      </c>
      <c r="B253" s="193">
        <f>'Données projet'!D231</f>
        <v>42</v>
      </c>
      <c r="C253" s="206">
        <v>50</v>
      </c>
      <c r="D253" s="191">
        <f t="shared" si="13"/>
        <v>2100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100</v>
      </c>
      <c r="B254" s="193">
        <f>'Données projet'!D232</f>
        <v>42</v>
      </c>
      <c r="C254" s="206">
        <v>60</v>
      </c>
      <c r="D254" s="191">
        <f t="shared" si="13"/>
        <v>2520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110</v>
      </c>
      <c r="B255" s="193">
        <f>'Données projet'!D233</f>
        <v>39</v>
      </c>
      <c r="C255" s="206">
        <v>70</v>
      </c>
      <c r="D255" s="191">
        <f t="shared" si="13"/>
        <v>2730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120</v>
      </c>
      <c r="B256" s="193">
        <f>'Données projet'!D234</f>
        <v>35</v>
      </c>
      <c r="C256" s="206">
        <v>80</v>
      </c>
      <c r="D256" s="191">
        <f t="shared" si="13"/>
        <v>2800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130</v>
      </c>
      <c r="B257" s="193">
        <f>'Données projet'!D235</f>
        <v>31</v>
      </c>
      <c r="C257" s="206">
        <v>100</v>
      </c>
      <c r="D257" s="191">
        <f t="shared" si="13"/>
        <v>3100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140</v>
      </c>
      <c r="B258" s="193">
        <f>'Données projet'!D236</f>
        <v>27</v>
      </c>
      <c r="C258" s="206">
        <v>150</v>
      </c>
      <c r="D258" s="191">
        <f t="shared" si="13"/>
        <v>4050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150</v>
      </c>
      <c r="B259" s="193">
        <f>'Données projet'!D237</f>
        <v>293</v>
      </c>
      <c r="C259" s="206">
        <v>200</v>
      </c>
      <c r="D259" s="191">
        <f t="shared" si="13"/>
        <v>58600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>Tilleul</v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15</v>
      </c>
      <c r="B271" s="193">
        <f>'Données projet'!D244</f>
        <v>0</v>
      </c>
      <c r="C271" s="206">
        <v>0</v>
      </c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20</v>
      </c>
      <c r="B272" s="193">
        <f>'Données projet'!D245</f>
        <v>21.794871794871796</v>
      </c>
      <c r="C272" s="206">
        <v>10</v>
      </c>
      <c r="D272" s="191">
        <f t="shared" ref="D272:D290" si="14">B272*C272</f>
        <v>217.94871794871796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25</v>
      </c>
      <c r="B273" s="193">
        <f>'Données projet'!D246</f>
        <v>0</v>
      </c>
      <c r="C273" s="206">
        <v>0</v>
      </c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30</v>
      </c>
      <c r="B274" s="193">
        <f>'Données projet'!D247</f>
        <v>30.128205128205128</v>
      </c>
      <c r="C274" s="206">
        <v>10</v>
      </c>
      <c r="D274" s="191">
        <f t="shared" si="14"/>
        <v>301.28205128205127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35</v>
      </c>
      <c r="B275" s="193">
        <f>'Données projet'!D248</f>
        <v>0</v>
      </c>
      <c r="C275" s="206">
        <v>0</v>
      </c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40</v>
      </c>
      <c r="B276" s="193">
        <f>'Données projet'!D249</f>
        <v>32.051282051282051</v>
      </c>
      <c r="C276" s="206">
        <v>15</v>
      </c>
      <c r="D276" s="191">
        <f t="shared" si="14"/>
        <v>480.76923076923077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45</v>
      </c>
      <c r="B277" s="193">
        <f>'Données projet'!D250</f>
        <v>0</v>
      </c>
      <c r="C277" s="206">
        <v>0</v>
      </c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50</v>
      </c>
      <c r="B278" s="193">
        <f>'Données projet'!D251</f>
        <v>30.769230769230766</v>
      </c>
      <c r="C278" s="206">
        <v>20</v>
      </c>
      <c r="D278" s="191">
        <f t="shared" si="14"/>
        <v>615.38461538461536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55</v>
      </c>
      <c r="B279" s="193">
        <f>'Données projet'!D252</f>
        <v>0</v>
      </c>
      <c r="C279" s="206">
        <v>0</v>
      </c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60</v>
      </c>
      <c r="B280" s="193">
        <f>'Données projet'!D253</f>
        <v>28.846153846153847</v>
      </c>
      <c r="C280" s="206">
        <v>30</v>
      </c>
      <c r="D280" s="191">
        <f t="shared" si="14"/>
        <v>865.38461538461536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65</v>
      </c>
      <c r="B281" s="193">
        <f>'Données projet'!D254</f>
        <v>0</v>
      </c>
      <c r="C281" s="206">
        <v>0</v>
      </c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70</v>
      </c>
      <c r="B282" s="193">
        <f>'Données projet'!D255</f>
        <v>26.282051282051281</v>
      </c>
      <c r="C282" s="206">
        <v>40</v>
      </c>
      <c r="D282" s="191">
        <f t="shared" si="14"/>
        <v>1051.2820512820513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75</v>
      </c>
      <c r="B283" s="193">
        <f>'Données projet'!D256</f>
        <v>0</v>
      </c>
      <c r="C283" s="206">
        <v>0</v>
      </c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80</v>
      </c>
      <c r="B284" s="193">
        <f>'Données projet'!D257</f>
        <v>23.717948717948715</v>
      </c>
      <c r="C284" s="206">
        <v>50</v>
      </c>
      <c r="D284" s="191">
        <f t="shared" si="14"/>
        <v>1185.8974358974358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85</v>
      </c>
      <c r="B285" s="193">
        <f>'Données projet'!D258</f>
        <v>0</v>
      </c>
      <c r="C285" s="206">
        <v>0</v>
      </c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90</v>
      </c>
      <c r="B286" s="193">
        <f>'Données projet'!D259</f>
        <v>23.076923076923077</v>
      </c>
      <c r="C286" s="206">
        <v>60</v>
      </c>
      <c r="D286" s="191">
        <f t="shared" si="14"/>
        <v>1384.6153846153845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95</v>
      </c>
      <c r="B287" s="193">
        <f>'Données projet'!D260</f>
        <v>0</v>
      </c>
      <c r="C287" s="206">
        <v>0</v>
      </c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100</v>
      </c>
      <c r="B288" s="193">
        <f>'Données projet'!D261</f>
        <v>21.153846153846153</v>
      </c>
      <c r="C288" s="206">
        <v>65</v>
      </c>
      <c r="D288" s="191">
        <f t="shared" si="14"/>
        <v>1375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105</v>
      </c>
      <c r="B289" s="193">
        <f>'Données projet'!D262</f>
        <v>0</v>
      </c>
      <c r="C289" s="206">
        <v>0</v>
      </c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110</v>
      </c>
      <c r="B290" s="193">
        <f>'Données projet'!D263</f>
        <v>296.15384615384613</v>
      </c>
      <c r="C290" s="206">
        <v>70</v>
      </c>
      <c r="D290" s="191">
        <f t="shared" si="14"/>
        <v>20730.76923076923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Geoffroy Rombaut - C+for (CNPF)</cp:lastModifiedBy>
  <dcterms:created xsi:type="dcterms:W3CDTF">2021-02-01T08:22:39Z</dcterms:created>
  <dcterms:modified xsi:type="dcterms:W3CDTF">2024-06-20T16:23:36Z</dcterms:modified>
</cp:coreProperties>
</file>