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Cazouls-lès-Béziers\"/>
    </mc:Choice>
  </mc:AlternateContent>
  <bookViews>
    <workbookView xWindow="0" yWindow="0" windowWidth="20490" windowHeight="77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 l="1"/>
  <c r="D172" i="1"/>
  <c r="B172" i="1"/>
  <c r="B171" i="1"/>
  <c r="D170" i="1"/>
  <c r="B170" i="1"/>
  <c r="B169" i="1"/>
  <c r="B168" i="1"/>
  <c r="D146" i="1"/>
  <c r="B146" i="1"/>
  <c r="B145" i="1"/>
  <c r="D144" i="1"/>
  <c r="B144" i="1"/>
  <c r="B143" i="1"/>
  <c r="B142" i="1"/>
  <c r="D97" i="1" l="1"/>
  <c r="D94" i="1"/>
  <c r="D92" i="1"/>
  <c r="B99" i="1"/>
  <c r="D99" i="1" s="1"/>
  <c r="B98" i="1"/>
  <c r="B97" i="1"/>
  <c r="B96" i="1"/>
  <c r="B95" i="1"/>
  <c r="B94" i="1"/>
  <c r="B93" i="1"/>
  <c r="B92" i="1"/>
  <c r="B91" i="1"/>
  <c r="B90" i="1"/>
  <c r="B89" i="1"/>
  <c r="B88" i="1"/>
  <c r="D48" i="1"/>
  <c r="D46" i="1"/>
  <c r="D44" i="1"/>
  <c r="D42" i="1"/>
  <c r="D40" i="1"/>
  <c r="B50" i="1"/>
  <c r="D50" i="1" s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B116" i="1"/>
  <c r="B115" i="1"/>
  <c r="B114" i="1"/>
  <c r="D12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H156" i="2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H163" i="2"/>
  <c r="HG163" i="2"/>
  <c r="HI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Y202" i="2" s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HJ202" i="2" l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8" i="2" l="1"/>
  <c r="DT186" i="2"/>
  <c r="DT20" i="2"/>
  <c r="DT166" i="2"/>
  <c r="DT121" i="2"/>
  <c r="DT167" i="2"/>
  <c r="DT156" i="2"/>
  <c r="DT93" i="2"/>
  <c r="DT193" i="2"/>
  <c r="DT87" i="2"/>
  <c r="DT73" i="2"/>
  <c r="DT113" i="2"/>
  <c r="DT71" i="2"/>
  <c r="DT11" i="2"/>
  <c r="DT195" i="2"/>
  <c r="DT62" i="2"/>
  <c r="DT94" i="2"/>
  <c r="DT201" i="2"/>
  <c r="DT182" i="2"/>
  <c r="DT108" i="2"/>
  <c r="DT4" i="2"/>
  <c r="DT189" i="2"/>
  <c r="DT163" i="2"/>
  <c r="DT191" i="2"/>
  <c r="DT134" i="2"/>
  <c r="DT97" i="2"/>
  <c r="DT15" i="2"/>
  <c r="DT82" i="2"/>
  <c r="DT43" i="2"/>
  <c r="DT36" i="2"/>
  <c r="DT39" i="2"/>
  <c r="DT150" i="2"/>
  <c r="DT37" i="2"/>
  <c r="DT179" i="2"/>
  <c r="DT32" i="2"/>
  <c r="DT136" i="2"/>
  <c r="DT98" i="2"/>
  <c r="DT100" i="2"/>
  <c r="DT60" i="2"/>
  <c r="DT117" i="2"/>
  <c r="DT188" i="2"/>
  <c r="DT181" i="2"/>
  <c r="DT57" i="2"/>
  <c r="DT104" i="2"/>
  <c r="DT190" i="2"/>
  <c r="DT175" i="2"/>
  <c r="DT96" i="2"/>
  <c r="DT152" i="2"/>
  <c r="DT146" i="2"/>
  <c r="DT154" i="2"/>
  <c r="DT176" i="2"/>
  <c r="DT95" i="2"/>
  <c r="DT125" i="2"/>
  <c r="DT141" i="2"/>
  <c r="DT185" i="2"/>
  <c r="DT24" i="2"/>
  <c r="DT54" i="2"/>
  <c r="DT177" i="2"/>
  <c r="DT79" i="2"/>
  <c r="DT33" i="2"/>
  <c r="DT74" i="2"/>
  <c r="DT169" i="2"/>
  <c r="DT7" i="2"/>
  <c r="DT159" i="2"/>
  <c r="DT63" i="2"/>
  <c r="DT38" i="2"/>
  <c r="DT162" i="2"/>
  <c r="DT50" i="2"/>
  <c r="DT165" i="2"/>
  <c r="DT147" i="2"/>
  <c r="DT132" i="2"/>
  <c r="DT10" i="2"/>
  <c r="DT99" i="2"/>
  <c r="DT101" i="2"/>
  <c r="DT198" i="2"/>
  <c r="DT53" i="2"/>
  <c r="DT76" i="2"/>
  <c r="DT116" i="2"/>
  <c r="DT158" i="2"/>
  <c r="DT144" i="2"/>
  <c r="DT119" i="2"/>
  <c r="DT157" i="2"/>
  <c r="DT86" i="2"/>
  <c r="DT103" i="2"/>
  <c r="DT84" i="2"/>
  <c r="DT16" i="2"/>
  <c r="DT149" i="2"/>
  <c r="DT102" i="2"/>
  <c r="DT42" i="2"/>
  <c r="DT56" i="2"/>
  <c r="DT90" i="2"/>
  <c r="DT184" i="2"/>
  <c r="DT69" i="2"/>
  <c r="DT6" i="2"/>
  <c r="DT51" i="2"/>
  <c r="DT148" i="2"/>
  <c r="DT19" i="2"/>
  <c r="DT64" i="2"/>
  <c r="DT170" i="2"/>
  <c r="DT129" i="2"/>
  <c r="DT55" i="2"/>
  <c r="DT145" i="2"/>
  <c r="DT61" i="2"/>
  <c r="DT85" i="2"/>
  <c r="DT81" i="2"/>
  <c r="DT131" i="2"/>
  <c r="DT26" i="2"/>
  <c r="DT199" i="2"/>
  <c r="DT46" i="2"/>
  <c r="DT183" i="2"/>
  <c r="DT168" i="2"/>
  <c r="DT109" i="2"/>
  <c r="DT171" i="2"/>
  <c r="DT110" i="2"/>
  <c r="DT91" i="2"/>
  <c r="DT45" i="2"/>
  <c r="DT126" i="2"/>
  <c r="DT123" i="2"/>
  <c r="DT58" i="2"/>
  <c r="DT41" i="2"/>
  <c r="DT27" i="2"/>
  <c r="DT22" i="2"/>
  <c r="DT9" i="2"/>
  <c r="DT72" i="2"/>
  <c r="DT5" i="2"/>
  <c r="DT59" i="2"/>
  <c r="DT47" i="2"/>
  <c r="DT174" i="2"/>
  <c r="DT65" i="2"/>
  <c r="DT127" i="2"/>
  <c r="DT139" i="2"/>
  <c r="DT120" i="2"/>
  <c r="DT67" i="2"/>
  <c r="DT122" i="2"/>
  <c r="DT66" i="2"/>
  <c r="DT31" i="2"/>
  <c r="DT164" i="2"/>
  <c r="DT124" i="2"/>
  <c r="DT114" i="2"/>
  <c r="DT52" i="2"/>
  <c r="DT48" i="2"/>
  <c r="DT192" i="2"/>
  <c r="DT14" i="2"/>
  <c r="DT78" i="2"/>
  <c r="DT133" i="2"/>
  <c r="DT40" i="2"/>
  <c r="DT173" i="2"/>
  <c r="DT106" i="2"/>
  <c r="DT172" i="2"/>
  <c r="DT111" i="2"/>
  <c r="DT23" i="2"/>
  <c r="DT25" i="2"/>
  <c r="DT70" i="2"/>
  <c r="DT49" i="2"/>
  <c r="DT197" i="2"/>
  <c r="DT28" i="2"/>
  <c r="DT142" i="2"/>
  <c r="DT83" i="2"/>
  <c r="DT105" i="2"/>
  <c r="DT118" i="2"/>
  <c r="DT180" i="2"/>
  <c r="DT140" i="2"/>
  <c r="DT92" i="2"/>
  <c r="DT35" i="2"/>
  <c r="DT153" i="2"/>
  <c r="DT68" i="2"/>
  <c r="DT130" i="2"/>
  <c r="DT88" i="2"/>
  <c r="DT135" i="2"/>
  <c r="DT160" i="2"/>
  <c r="DT200" i="2"/>
  <c r="DT137" i="2"/>
  <c r="DT203" i="2"/>
  <c r="DT138" i="2"/>
  <c r="DT8" i="2"/>
  <c r="DT13" i="2"/>
  <c r="DT151" i="2"/>
  <c r="DT202" i="2"/>
  <c r="DT196" i="2"/>
  <c r="DT17" i="2"/>
  <c r="DT155" i="2"/>
  <c r="DT115" i="2"/>
  <c r="DT178" i="2"/>
  <c r="DT143" i="2"/>
  <c r="DT18" i="2"/>
  <c r="DT187" i="2"/>
  <c r="DT112" i="2"/>
  <c r="DT44" i="2"/>
  <c r="DT80" i="2"/>
  <c r="DT77" i="2"/>
  <c r="DT30" i="2"/>
  <c r="DT34" i="2"/>
  <c r="DT89" i="2"/>
  <c r="DT21" i="2"/>
  <c r="DT75" i="2"/>
  <c r="DT161" i="2"/>
  <c r="DT194" i="2"/>
  <c r="DT107" i="2"/>
  <c r="DT12" i="2"/>
  <c r="DT3" i="2"/>
  <c r="C11" i="4" s="1"/>
  <c r="E11" i="4" s="1"/>
  <c r="F11" i="4" s="1"/>
  <c r="G11" i="4" s="1"/>
  <c r="L11" i="4" s="1"/>
  <c r="DT29" i="2"/>
  <c r="CD60" i="2"/>
  <c r="CD171" i="2"/>
  <c r="CD16" i="2"/>
  <c r="CD97" i="2"/>
  <c r="CD113" i="2"/>
  <c r="CD184" i="2"/>
  <c r="CD78" i="2"/>
  <c r="CD114" i="2"/>
  <c r="CD23" i="2"/>
  <c r="CD121" i="2"/>
  <c r="CD195" i="2"/>
  <c r="CD163" i="2"/>
  <c r="CD106" i="2"/>
  <c r="CD194" i="2"/>
  <c r="CD158" i="2"/>
  <c r="CD130" i="2"/>
  <c r="CD142" i="2"/>
  <c r="CD94" i="2"/>
  <c r="CD144" i="2"/>
  <c r="CD123" i="2"/>
  <c r="CD61" i="2"/>
  <c r="CD3" i="2"/>
  <c r="C9" i="4" s="1"/>
  <c r="E9" i="4" s="1"/>
  <c r="F9" i="4" s="1"/>
  <c r="G9" i="4" s="1"/>
  <c r="L9" i="4" s="1"/>
  <c r="CD8" i="2"/>
  <c r="CD104" i="2"/>
  <c r="CD90" i="2"/>
  <c r="CD39" i="2"/>
  <c r="CD48" i="2"/>
  <c r="CD56" i="2"/>
  <c r="CD19" i="2"/>
  <c r="CD185" i="2"/>
  <c r="CD188" i="2"/>
  <c r="CD120" i="2"/>
  <c r="CD179" i="2"/>
  <c r="CD132" i="2"/>
  <c r="CD200" i="2"/>
  <c r="CD45" i="2"/>
  <c r="CD172" i="2"/>
  <c r="CD160" i="2"/>
  <c r="CD84" i="2"/>
  <c r="CD110" i="2"/>
  <c r="CD162" i="2"/>
  <c r="CD27" i="2"/>
  <c r="CD118" i="2"/>
  <c r="CD25" i="2"/>
  <c r="CD29" i="2"/>
  <c r="CD133" i="2"/>
  <c r="CD181" i="2"/>
  <c r="CD86" i="2"/>
  <c r="CD7" i="2"/>
  <c r="CD77" i="2"/>
  <c r="CD12" i="2"/>
  <c r="CD157" i="2"/>
  <c r="CD51" i="2"/>
  <c r="CD71" i="2"/>
  <c r="CD196" i="2"/>
  <c r="CD44" i="2"/>
  <c r="CD46" i="2"/>
  <c r="CD82" i="2"/>
  <c r="CD139" i="2"/>
  <c r="CD64" i="2"/>
  <c r="CD129" i="2"/>
  <c r="CD99" i="2"/>
  <c r="CD108" i="2"/>
  <c r="CD55" i="2"/>
  <c r="CD189" i="2"/>
  <c r="CD156" i="2"/>
  <c r="CD140" i="2"/>
  <c r="CD111" i="2"/>
  <c r="CD38" i="2"/>
  <c r="CD54" i="2"/>
  <c r="CD155" i="2"/>
  <c r="CD89" i="2"/>
  <c r="CD93" i="2"/>
  <c r="CD116" i="2"/>
  <c r="CD202" i="2"/>
  <c r="CD187" i="2"/>
  <c r="CD24" i="2"/>
  <c r="CD36" i="2"/>
  <c r="CD59" i="2"/>
  <c r="CD76" i="2"/>
  <c r="CD10" i="2"/>
  <c r="CD119" i="2"/>
  <c r="CD80" i="2"/>
  <c r="CD62" i="2"/>
  <c r="CD186" i="2"/>
  <c r="CD13" i="2"/>
  <c r="CD68" i="2"/>
  <c r="CD83" i="2"/>
  <c r="CD50" i="2"/>
  <c r="CD146" i="2"/>
  <c r="CD145" i="2"/>
  <c r="CD203" i="2"/>
  <c r="CD75" i="2"/>
  <c r="CD11" i="2"/>
  <c r="CD128" i="2"/>
  <c r="CD26" i="2"/>
  <c r="CD18" i="2"/>
  <c r="CD100" i="2"/>
  <c r="CD81" i="2"/>
  <c r="CD63" i="2"/>
  <c r="CD141" i="2"/>
  <c r="CD125" i="2"/>
  <c r="CD28" i="2"/>
  <c r="CD67" i="2"/>
  <c r="CD35" i="2"/>
  <c r="CD69" i="2"/>
  <c r="CD175" i="2"/>
  <c r="CD41" i="2"/>
  <c r="CD112" i="2"/>
  <c r="CD183" i="2"/>
  <c r="CD115" i="2"/>
  <c r="CD191" i="2"/>
  <c r="CD105" i="2"/>
  <c r="CD73" i="2"/>
  <c r="CD153" i="2"/>
  <c r="CD122" i="2"/>
  <c r="CD150" i="2"/>
  <c r="CD143" i="2"/>
  <c r="CD136" i="2"/>
  <c r="CD182" i="2"/>
  <c r="CD135" i="2"/>
  <c r="CD147" i="2"/>
  <c r="CD53" i="2"/>
  <c r="CD161" i="2"/>
  <c r="CD137" i="2"/>
  <c r="CD165" i="2"/>
  <c r="CD151" i="2"/>
  <c r="CD79" i="2"/>
  <c r="CD178" i="2"/>
  <c r="CD47" i="2"/>
  <c r="CD14" i="2"/>
  <c r="CD20" i="2"/>
  <c r="CD166" i="2"/>
  <c r="CD124" i="2"/>
  <c r="CD70" i="2"/>
  <c r="CD87" i="2"/>
  <c r="CD32" i="2"/>
  <c r="CD180" i="2"/>
  <c r="CD49" i="2"/>
  <c r="CD91" i="2"/>
  <c r="CD149" i="2"/>
  <c r="CD95" i="2"/>
  <c r="CD74" i="2"/>
  <c r="CD30" i="2"/>
  <c r="CD109" i="2"/>
  <c r="CD190" i="2"/>
  <c r="CD65" i="2"/>
  <c r="CD127" i="2"/>
  <c r="CD5" i="2"/>
  <c r="CD42" i="2"/>
  <c r="CD131" i="2"/>
  <c r="CD164" i="2"/>
  <c r="CD9" i="2"/>
  <c r="CD152" i="2"/>
  <c r="CD52" i="2"/>
  <c r="CD192" i="2"/>
  <c r="CD117" i="2"/>
  <c r="CD148" i="2"/>
  <c r="CD17" i="2"/>
  <c r="CD22" i="2"/>
  <c r="CD57" i="2"/>
  <c r="CD31" i="2"/>
  <c r="CD88" i="2"/>
  <c r="CD174" i="2"/>
  <c r="CD198" i="2"/>
  <c r="CD167" i="2"/>
  <c r="CD170" i="2"/>
  <c r="CD173" i="2"/>
  <c r="CD107" i="2"/>
  <c r="CD201" i="2"/>
  <c r="CD134" i="2"/>
  <c r="CD85" i="2"/>
  <c r="CD169" i="2"/>
  <c r="CD168" i="2"/>
  <c r="CD4" i="2"/>
  <c r="CD102" i="2"/>
  <c r="CD34" i="2"/>
  <c r="CD199" i="2"/>
  <c r="CD176" i="2"/>
  <c r="CD40" i="2"/>
  <c r="CD96" i="2"/>
  <c r="CD154" i="2"/>
  <c r="CD193" i="2"/>
  <c r="CD43" i="2"/>
  <c r="CD98" i="2"/>
  <c r="CD58" i="2"/>
  <c r="CD138" i="2"/>
  <c r="CD103" i="2"/>
  <c r="CD92" i="2"/>
  <c r="CD37" i="2"/>
  <c r="CD159" i="2"/>
  <c r="CD101" i="2"/>
  <c r="CD197" i="2"/>
  <c r="CD6" i="2"/>
  <c r="CD126" i="2"/>
  <c r="CD72" i="2"/>
  <c r="CD177" i="2"/>
  <c r="CD33" i="2"/>
  <c r="CD21" i="2"/>
  <c r="CD66" i="2"/>
  <c r="CD15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<sst xmlns="http://schemas.openxmlformats.org/spreadsheetml/2006/main" count="1175" uniqueCount="324">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</sst>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1.3950211523524969</c:v>
                </c:pt>
                <c:pt idx="2">
                  <c:v>1.5881532335812458</c:v>
                </c:pt>
                <c:pt idx="3">
                  <c:v>1.8081214140775144</c:v>
                </c:pt>
                <c:pt idx="4">
                  <c:v>2.0586675737991951</c:v>
                </c:pt>
                <c:pt idx="5">
                  <c:v>2.3440570421622735</c:v>
                </c:pt>
                <c:pt idx="6">
                  <c:v>2.6691520460340121</c:v>
                </c:pt>
                <c:pt idx="7">
                  <c:v>3.0394954927152416</c:v>
                </c:pt>
                <c:pt idx="8">
                  <c:v>3.4614065459541714</c:v>
                </c:pt>
                <c:pt idx="9">
                  <c:v>3.9420896592240098</c:v>
                </c:pt>
                <c:pt idx="10">
                  <c:v>4.4897589659087105</c:v>
                </c:pt>
                <c:pt idx="11">
                  <c:v>5.1137801948250576</c:v>
                </c:pt>
                <c:pt idx="12">
                  <c:v>5.8248325864050381</c:v>
                </c:pt>
                <c:pt idx="13">
                  <c:v>6.6350936352846661</c:v>
                </c:pt>
                <c:pt idx="14">
                  <c:v>7.5584498851790762</c:v>
                </c:pt>
                <c:pt idx="15">
                  <c:v>8.6107374588344445</c:v>
                </c:pt>
                <c:pt idx="16">
                  <c:v>9.8100165276065425</c:v>
                </c:pt>
                <c:pt idx="17">
                  <c:v>11.176884521044329</c:v>
                </c:pt>
                <c:pt idx="18">
                  <c:v>12.734833557289173</c:v>
                </c:pt>
                <c:pt idx="19">
                  <c:v>14.510658352170763</c:v>
                </c:pt>
                <c:pt idx="20">
                  <c:v>16.53492175233939</c:v>
                </c:pt>
                <c:pt idx="21">
                  <c:v>18.84248605132959</c:v>
                </c:pt>
                <c:pt idx="22">
                  <c:v>21.473119405050614</c:v>
                </c:pt>
                <c:pt idx="23">
                  <c:v>24.472187985351329</c:v>
                </c:pt>
                <c:pt idx="24">
                  <c:v>27.891446020441389</c:v>
                </c:pt>
                <c:pt idx="25">
                  <c:v>31.789937595839632</c:v>
                </c:pt>
                <c:pt idx="26">
                  <c:v>36.235026059753928</c:v>
                </c:pt>
                <c:pt idx="27">
                  <c:v>41.303569127330512</c:v>
                </c:pt>
                <c:pt idx="28">
                  <c:v>47.083260348985512</c:v>
                </c:pt>
                <c:pt idx="29">
                  <c:v>53.67416054468967</c:v>
                </c:pt>
                <c:pt idx="30">
                  <c:v>61.190446160775572</c:v>
                </c:pt>
                <c:pt idx="31">
                  <c:v>66.439629622180931</c:v>
                </c:pt>
                <c:pt idx="32">
                  <c:v>71.678112031647672</c:v>
                </c:pt>
                <c:pt idx="33">
                  <c:v>76.906788100686228</c:v>
                </c:pt>
                <c:pt idx="34">
                  <c:v>82.126420507469106</c:v>
                </c:pt>
                <c:pt idx="35">
                  <c:v>87.337666735182893</c:v>
                </c:pt>
                <c:pt idx="36">
                  <c:v>92.541099141674138</c:v>
                </c:pt>
                <c:pt idx="37">
                  <c:v>97.737220260727824</c:v>
                </c:pt>
                <c:pt idx="38">
                  <c:v>102.92647466690016</c:v>
                </c:pt>
                <c:pt idx="39">
                  <c:v>108.10925831392218</c:v>
                </c:pt>
                <c:pt idx="40">
                  <c:v>113.28592598267896</c:v>
                </c:pt>
                <c:pt idx="41">
                  <c:v>119.37229273197052</c:v>
                </c:pt>
                <c:pt idx="42">
                  <c:v>125.45109435417721</c:v>
                </c:pt>
                <c:pt idx="43">
                  <c:v>131.52274993124192</c:v>
                </c:pt>
                <c:pt idx="44">
                  <c:v>137.58763660016666</c:v>
                </c:pt>
                <c:pt idx="45">
                  <c:v>143.64609545756613</c:v>
                </c:pt>
                <c:pt idx="46">
                  <c:v>149.69843641347168</c:v>
                </c:pt>
                <c:pt idx="47">
                  <c:v>155.74494221722739</c:v>
                </c:pt>
                <c:pt idx="48">
                  <c:v>161.78587182405676</c:v>
                </c:pt>
                <c:pt idx="49">
                  <c:v>167.82146323140591</c:v>
                </c:pt>
                <c:pt idx="50">
                  <c:v>173.85193588505524</c:v>
                </c:pt>
                <c:pt idx="51">
                  <c:v>180.38220175554599</c:v>
                </c:pt>
                <c:pt idx="52">
                  <c:v>186.90693209292795</c:v>
                </c:pt>
                <c:pt idx="53">
                  <c:v>193.42634773157758</c:v>
                </c:pt>
                <c:pt idx="54">
                  <c:v>199.94065337772145</c:v>
                </c:pt>
                <c:pt idx="55">
                  <c:v>206.45003928630774</c:v>
                </c:pt>
                <c:pt idx="56">
                  <c:v>212.95468271498456</c:v>
                </c:pt>
                <c:pt idx="57">
                  <c:v>219.454749190863</c:v>
                </c:pt>
                <c:pt idx="58">
                  <c:v>225.95039361912177</c:v>
                </c:pt>
                <c:pt idx="59">
                  <c:v>232.44176125727924</c:v>
                </c:pt>
                <c:pt idx="60">
                  <c:v>238.92898857478735</c:v>
                </c:pt>
                <c:pt idx="61">
                  <c:v>245.61623489626166</c:v>
                </c:pt>
                <c:pt idx="62">
                  <c:v>252.29934550656364</c:v>
                </c:pt>
                <c:pt idx="63">
                  <c:v>258.97844556336003</c:v>
                </c:pt>
                <c:pt idx="64">
                  <c:v>265.65365323275489</c:v>
                </c:pt>
                <c:pt idx="65">
                  <c:v>272.32508024966165</c:v>
                </c:pt>
                <c:pt idx="66">
                  <c:v>278.99283242033266</c:v>
                </c:pt>
                <c:pt idx="67">
                  <c:v>285.65701007428441</c:v>
                </c:pt>
                <c:pt idx="68">
                  <c:v>216.90945455403528</c:v>
                </c:pt>
                <c:pt idx="69">
                  <c:v>222.77852146578698</c:v>
                </c:pt>
                <c:pt idx="70">
                  <c:v>228.64404212151408</c:v>
                </c:pt>
                <c:pt idx="71">
                  <c:v>234.5061204846136</c:v>
                </c:pt>
                <c:pt idx="72">
                  <c:v>240.364854887864</c:v>
                </c:pt>
                <c:pt idx="73">
                  <c:v>246.22033847130581</c:v>
                </c:pt>
                <c:pt idx="74">
                  <c:v>252.07265957623341</c:v>
                </c:pt>
                <c:pt idx="75">
                  <c:v>257.93461214775391</c:v>
                </c:pt>
                <c:pt idx="76">
                  <c:v>263.79355303338292</c:v>
                </c:pt>
                <c:pt idx="77">
                  <c:v>269.64955866318752</c:v>
                </c:pt>
                <c:pt idx="78">
                  <c:v>275.50270187165779</c:v>
                </c:pt>
                <c:pt idx="79">
                  <c:v>281.35305214138225</c:v>
                </c:pt>
                <c:pt idx="80">
                  <c:v>287.20067582537393</c:v>
                </c:pt>
                <c:pt idx="81">
                  <c:v>293.04563635032133</c:v>
                </c:pt>
                <c:pt idx="82">
                  <c:v>298.88799440275983</c:v>
                </c:pt>
                <c:pt idx="83">
                  <c:v>227.64947127925367</c:v>
                </c:pt>
                <c:pt idx="84">
                  <c:v>232.74846175438151</c:v>
                </c:pt>
                <c:pt idx="85">
                  <c:v>237.84490108765644</c:v>
                </c:pt>
                <c:pt idx="86">
                  <c:v>242.93885175765274</c:v>
                </c:pt>
                <c:pt idx="87">
                  <c:v>248.03037340428827</c:v>
                </c:pt>
                <c:pt idx="88">
                  <c:v>253.11952301475662</c:v>
                </c:pt>
                <c:pt idx="89">
                  <c:v>258.20635509370419</c:v>
                </c:pt>
                <c:pt idx="90">
                  <c:v>263.29092181927513</c:v>
                </c:pt>
                <c:pt idx="91">
                  <c:v>268.28706612531062</c:v>
                </c:pt>
                <c:pt idx="92">
                  <c:v>273.28111517099973</c:v>
                </c:pt>
                <c:pt idx="93">
                  <c:v>278.27311271278336</c:v>
                </c:pt>
                <c:pt idx="94">
                  <c:v>283.26310080651893</c:v>
                </c:pt>
                <c:pt idx="95">
                  <c:v>288.25111990305203</c:v>
                </c:pt>
                <c:pt idx="96">
                  <c:v>293.23720893681826</c:v>
                </c:pt>
                <c:pt idx="97">
                  <c:v>298.22140540809789</c:v>
                </c:pt>
                <c:pt idx="98">
                  <c:v>303.20374545947607</c:v>
                </c:pt>
                <c:pt idx="99">
                  <c:v>308.18426394701049</c:v>
                </c:pt>
                <c:pt idx="100">
                  <c:v>249.32828610961553</c:v>
                </c:pt>
                <c:pt idx="101">
                  <c:v>253.69032216443929</c:v>
                </c:pt>
                <c:pt idx="102">
                  <c:v>258.05065974908638</c:v>
                </c:pt>
                <c:pt idx="103">
                  <c:v>262.40933166756469</c:v>
                </c:pt>
                <c:pt idx="104">
                  <c:v>266.76636954316899</c:v>
                </c:pt>
                <c:pt idx="105">
                  <c:v>271.12180388001462</c:v>
                </c:pt>
                <c:pt idx="106">
                  <c:v>275.4756641204043</c:v>
                </c:pt>
                <c:pt idx="107">
                  <c:v>279.82797869837424</c:v>
                </c:pt>
                <c:pt idx="108">
                  <c:v>284.1787750897301</c:v>
                </c:pt>
                <c:pt idx="109">
                  <c:v>288.5280798588538</c:v>
                </c:pt>
                <c:pt idx="110">
                  <c:v>292.75248630647104</c:v>
                </c:pt>
                <c:pt idx="111">
                  <c:v>296.97553171894748</c:v>
                </c:pt>
                <c:pt idx="112">
                  <c:v>301.1972382148079</c:v>
                </c:pt>
                <c:pt idx="113">
                  <c:v>305.41762724090285</c:v>
                </c:pt>
                <c:pt idx="114">
                  <c:v>309.63671960201947</c:v>
                </c:pt>
                <c:pt idx="115">
                  <c:v>313.8545354887911</c:v>
                </c:pt>
                <c:pt idx="116">
                  <c:v>318.07109450402692</c:v>
                </c:pt>
                <c:pt idx="117">
                  <c:v>322.28641568757104</c:v>
                </c:pt>
                <c:pt idx="118">
                  <c:v>326.50051753979056</c:v>
                </c:pt>
                <c:pt idx="119">
                  <c:v>330.7134180437875</c:v>
                </c:pt>
                <c:pt idx="120">
                  <c:v>275.0855413550193</c:v>
                </c:pt>
                <c:pt idx="121">
                  <c:v>278.80858520560565</c:v>
                </c:pt>
                <c:pt idx="122">
                  <c:v>282.53051363467443</c:v>
                </c:pt>
                <c:pt idx="123">
                  <c:v>286.25134343805479</c:v>
                </c:pt>
                <c:pt idx="124">
                  <c:v>289.97109093849514</c:v>
                </c:pt>
                <c:pt idx="125">
                  <c:v>293.68977200502701</c:v>
                </c:pt>
                <c:pt idx="126">
                  <c:v>297.40740207129573</c:v>
                </c:pt>
                <c:pt idx="127">
                  <c:v>301.0189509242054</c:v>
                </c:pt>
                <c:pt idx="128">
                  <c:v>304.62953495055257</c:v>
                </c:pt>
                <c:pt idx="129">
                  <c:v>308.23916722029691</c:v>
                </c:pt>
                <c:pt idx="130">
                  <c:v>311.84786047177238</c:v>
                </c:pt>
                <c:pt idx="131">
                  <c:v>315.45562712393013</c:v>
                </c:pt>
                <c:pt idx="132">
                  <c:v>319.06247928799229</c:v>
                </c:pt>
                <c:pt idx="133">
                  <c:v>322.66842877855055</c:v>
                </c:pt>
                <c:pt idx="134">
                  <c:v>326.27348712414147</c:v>
                </c:pt>
                <c:pt idx="135">
                  <c:v>168.93952328329465</c:v>
                </c:pt>
                <c:pt idx="136">
                  <c:v>171.6343411407039</c:v>
                </c:pt>
                <c:pt idx="137">
                  <c:v>174.32816316728199</c:v>
                </c:pt>
                <c:pt idx="138">
                  <c:v>177.02100696988964</c:v>
                </c:pt>
                <c:pt idx="139">
                  <c:v>179.71288957442411</c:v>
                </c:pt>
                <c:pt idx="140">
                  <c:v>182.04508974204199</c:v>
                </c:pt>
                <c:pt idx="141">
                  <c:v>184.37659072604893</c:v>
                </c:pt>
                <c:pt idx="142">
                  <c:v>186.70740264300073</c:v>
                </c:pt>
                <c:pt idx="143">
                  <c:v>189.03753533550375</c:v>
                </c:pt>
                <c:pt idx="144">
                  <c:v>191.36699838300026</c:v>
                </c:pt>
                <c:pt idx="145">
                  <c:v>2.6186856170506036E-12</c:v>
                </c:pt>
                <c:pt idx="146">
                  <c:v>2.6186856170506036E-12</c:v>
                </c:pt>
                <c:pt idx="147">
                  <c:v>2.6186856170506036E-12</c:v>
                </c:pt>
                <c:pt idx="148">
                  <c:v>2.6186856170506036E-12</c:v>
                </c:pt>
                <c:pt idx="149">
                  <c:v>2.6186856170506036E-12</c:v>
                </c:pt>
                <c:pt idx="150">
                  <c:v>2.6186856170506036E-12</c:v>
                </c:pt>
                <c:pt idx="151">
                  <c:v>2.6186856170506036E-12</c:v>
                </c:pt>
                <c:pt idx="152">
                  <c:v>2.6186856170506036E-12</c:v>
                </c:pt>
                <c:pt idx="153">
                  <c:v>2.6186856170506036E-12</c:v>
                </c:pt>
                <c:pt idx="154">
                  <c:v>2.6186856170506036E-12</c:v>
                </c:pt>
                <c:pt idx="155">
                  <c:v>2.6186856170506036E-12</c:v>
                </c:pt>
                <c:pt idx="156">
                  <c:v>2.6186856170506036E-12</c:v>
                </c:pt>
                <c:pt idx="157">
                  <c:v>2.6186856170506036E-12</c:v>
                </c:pt>
                <c:pt idx="158">
                  <c:v>2.6186856170506036E-12</c:v>
                </c:pt>
                <c:pt idx="159">
                  <c:v>2.6186856170506036E-12</c:v>
                </c:pt>
                <c:pt idx="160">
                  <c:v>2.6186856170506036E-12</c:v>
                </c:pt>
                <c:pt idx="161">
                  <c:v>2.6186856170506036E-12</c:v>
                </c:pt>
                <c:pt idx="162">
                  <c:v>2.6186856170506036E-12</c:v>
                </c:pt>
                <c:pt idx="163">
                  <c:v>2.6186856170506036E-12</c:v>
                </c:pt>
                <c:pt idx="164">
                  <c:v>2.6186856170506036E-12</c:v>
                </c:pt>
                <c:pt idx="165">
                  <c:v>2.6186856170506036E-12</c:v>
                </c:pt>
                <c:pt idx="166">
                  <c:v>2.6186856170506036E-12</c:v>
                </c:pt>
                <c:pt idx="167">
                  <c:v>2.6186856170506036E-12</c:v>
                </c:pt>
                <c:pt idx="168">
                  <c:v>2.6186856170506036E-12</c:v>
                </c:pt>
                <c:pt idx="169">
                  <c:v>2.6186856170506036E-12</c:v>
                </c:pt>
                <c:pt idx="170">
                  <c:v>2.6186856170506036E-12</c:v>
                </c:pt>
                <c:pt idx="171">
                  <c:v>2.6186856170506036E-12</c:v>
                </c:pt>
                <c:pt idx="172">
                  <c:v>2.6186856170506036E-12</c:v>
                </c:pt>
                <c:pt idx="173">
                  <c:v>2.6186856170506036E-12</c:v>
                </c:pt>
                <c:pt idx="174">
                  <c:v>2.6186856170506036E-12</c:v>
                </c:pt>
                <c:pt idx="175">
                  <c:v>2.6186856170506036E-12</c:v>
                </c:pt>
                <c:pt idx="176">
                  <c:v>2.6186856170506036E-12</c:v>
                </c:pt>
                <c:pt idx="177">
                  <c:v>2.6186856170506036E-12</c:v>
                </c:pt>
                <c:pt idx="178">
                  <c:v>2.6186856170506036E-12</c:v>
                </c:pt>
                <c:pt idx="179">
                  <c:v>2.6186856170506036E-12</c:v>
                </c:pt>
                <c:pt idx="180">
                  <c:v>2.6186856170506036E-12</c:v>
                </c:pt>
                <c:pt idx="181">
                  <c:v>2.6186856170506036E-12</c:v>
                </c:pt>
                <c:pt idx="182">
                  <c:v>2.6186856170506036E-12</c:v>
                </c:pt>
                <c:pt idx="183">
                  <c:v>2.6186856170506036E-12</c:v>
                </c:pt>
                <c:pt idx="184">
                  <c:v>2.6186856170506036E-12</c:v>
                </c:pt>
                <c:pt idx="185">
                  <c:v>2.6186856170506036E-12</c:v>
                </c:pt>
                <c:pt idx="186">
                  <c:v>2.6186856170506036E-12</c:v>
                </c:pt>
                <c:pt idx="187">
                  <c:v>2.6186856170506036E-12</c:v>
                </c:pt>
                <c:pt idx="188">
                  <c:v>2.6186856170506036E-12</c:v>
                </c:pt>
                <c:pt idx="189">
                  <c:v>2.6186856170506036E-12</c:v>
                </c:pt>
                <c:pt idx="190">
                  <c:v>2.6186856170506036E-12</c:v>
                </c:pt>
                <c:pt idx="191">
                  <c:v>2.6186856170506036E-12</c:v>
                </c:pt>
                <c:pt idx="192">
                  <c:v>2.6186856170506036E-12</c:v>
                </c:pt>
                <c:pt idx="193">
                  <c:v>2.6186856170506036E-12</c:v>
                </c:pt>
                <c:pt idx="194">
                  <c:v>2.6186856170506036E-12</c:v>
                </c:pt>
                <c:pt idx="195">
                  <c:v>2.6186856170506036E-12</c:v>
                </c:pt>
                <c:pt idx="196">
                  <c:v>2.6186856170506036E-12</c:v>
                </c:pt>
                <c:pt idx="197">
                  <c:v>2.6186856170506036E-12</c:v>
                </c:pt>
                <c:pt idx="198">
                  <c:v>2.6186856170506036E-12</c:v>
                </c:pt>
                <c:pt idx="199">
                  <c:v>2.6186856170506036E-12</c:v>
                </c:pt>
                <c:pt idx="200">
                  <c:v>2.6186856170506036E-12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42448"/>
        <c:axId val="-2098341904"/>
      </c:scatterChart>
      <c:valAx>
        <c:axId val="-2098342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41904"/>
        <c:crosses val="autoZero"/>
        <c:crossBetween val="midCat"/>
      </c:valAx>
      <c:valAx>
        <c:axId val="-209834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4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7563680"/>
        <c:axId val="-2037562048"/>
      </c:scatterChart>
      <c:valAx>
        <c:axId val="-203756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7562048"/>
        <c:crosses val="autoZero"/>
        <c:crossBetween val="midCat"/>
      </c:valAx>
      <c:valAx>
        <c:axId val="-203756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756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1.764623946992776</c:v>
                </c:pt>
                <c:pt idx="2">
                  <c:v>2.296820149719109</c:v>
                </c:pt>
                <c:pt idx="3">
                  <c:v>2.9901813361334599</c:v>
                </c:pt>
                <c:pt idx="4">
                  <c:v>3.8937015078679331</c:v>
                </c:pt>
                <c:pt idx="5">
                  <c:v>5.0713224460225206</c:v>
                </c:pt>
                <c:pt idx="6">
                  <c:v>6.6065094082284403</c:v>
                </c:pt>
                <c:pt idx="7">
                  <c:v>8.6082318034868219</c:v>
                </c:pt>
                <c:pt idx="8">
                  <c:v>11.218781457943201</c:v>
                </c:pt>
                <c:pt idx="9">
                  <c:v>14.623994632945491</c:v>
                </c:pt>
                <c:pt idx="10">
                  <c:v>19.066618826697646</c:v>
                </c:pt>
                <c:pt idx="11">
                  <c:v>24.86379439475003</c:v>
                </c:pt>
                <c:pt idx="12">
                  <c:v>32.429920954599254</c:v>
                </c:pt>
                <c:pt idx="13">
                  <c:v>42.306571406283155</c:v>
                </c:pt>
                <c:pt idx="14">
                  <c:v>55.201631057160647</c:v>
                </c:pt>
                <c:pt idx="15">
                  <c:v>72.040513611415278</c:v>
                </c:pt>
                <c:pt idx="16">
                  <c:v>77.773664376116372</c:v>
                </c:pt>
                <c:pt idx="17">
                  <c:v>83.496074849233494</c:v>
                </c:pt>
                <c:pt idx="18">
                  <c:v>89.208586896212196</c:v>
                </c:pt>
                <c:pt idx="19">
                  <c:v>94.911925413388516</c:v>
                </c:pt>
                <c:pt idx="20">
                  <c:v>100.60672079779079</c:v>
                </c:pt>
                <c:pt idx="21">
                  <c:v>106.01963887584141</c:v>
                </c:pt>
                <c:pt idx="22">
                  <c:v>111.42574146198729</c:v>
                </c:pt>
                <c:pt idx="23">
                  <c:v>116.82540670207005</c:v>
                </c:pt>
                <c:pt idx="24">
                  <c:v>122.21897483770141</c:v>
                </c:pt>
                <c:pt idx="25">
                  <c:v>127.60675354961728</c:v>
                </c:pt>
                <c:pt idx="26">
                  <c:v>132.71663076326527</c:v>
                </c:pt>
                <c:pt idx="27">
                  <c:v>137.82176072987758</c:v>
                </c:pt>
                <c:pt idx="28">
                  <c:v>142.92234453232751</c:v>
                </c:pt>
                <c:pt idx="29">
                  <c:v>148.01856769367024</c:v>
                </c:pt>
                <c:pt idx="30">
                  <c:v>153.11060188786209</c:v>
                </c:pt>
                <c:pt idx="31">
                  <c:v>157.88213418449652</c:v>
                </c:pt>
                <c:pt idx="32">
                  <c:v>162.65024524533573</c:v>
                </c:pt>
                <c:pt idx="33">
                  <c:v>167.41504975541088</c:v>
                </c:pt>
                <c:pt idx="34">
                  <c:v>172.17665532326225</c:v>
                </c:pt>
                <c:pt idx="35">
                  <c:v>176.93516310576447</c:v>
                </c:pt>
                <c:pt idx="36">
                  <c:v>181.44282374804376</c:v>
                </c:pt>
                <c:pt idx="37">
                  <c:v>185.9478634358592</c:v>
                </c:pt>
                <c:pt idx="38">
                  <c:v>190.45035477579145</c:v>
                </c:pt>
                <c:pt idx="39">
                  <c:v>194.95036665337292</c:v>
                </c:pt>
                <c:pt idx="40">
                  <c:v>199.44796450728037</c:v>
                </c:pt>
                <c:pt idx="41">
                  <c:v>203.651089871236</c:v>
                </c:pt>
                <c:pt idx="42">
                  <c:v>207.85220779220174</c:v>
                </c:pt>
                <c:pt idx="43">
                  <c:v>212.05136466234376</c:v>
                </c:pt>
                <c:pt idx="44">
                  <c:v>216.24860488245017</c:v>
                </c:pt>
                <c:pt idx="45">
                  <c:v>220.44397098530536</c:v>
                </c:pt>
                <c:pt idx="46">
                  <c:v>224.36845432498728</c:v>
                </c:pt>
                <c:pt idx="47">
                  <c:v>228.29136419539634</c:v>
                </c:pt>
                <c:pt idx="48">
                  <c:v>232.21273151004849</c:v>
                </c:pt>
                <c:pt idx="49">
                  <c:v>236.1325860509443</c:v>
                </c:pt>
                <c:pt idx="50">
                  <c:v>240.05095652852046</c:v>
                </c:pt>
                <c:pt idx="51">
                  <c:v>243.6993281954004</c:v>
                </c:pt>
                <c:pt idx="52">
                  <c:v>247.34645801142526</c:v>
                </c:pt>
                <c:pt idx="53">
                  <c:v>250.9923669113472</c:v>
                </c:pt>
                <c:pt idx="54">
                  <c:v>254.63707517082017</c:v>
                </c:pt>
                <c:pt idx="55">
                  <c:v>258.28060243650765</c:v>
                </c:pt>
                <c:pt idx="56">
                  <c:v>261.63251456340146</c:v>
                </c:pt>
                <c:pt idx="57">
                  <c:v>264.9834571116574</c:v>
                </c:pt>
                <c:pt idx="58">
                  <c:v>268.33344409875974</c:v>
                </c:pt>
                <c:pt idx="59">
                  <c:v>271.6824891629139</c:v>
                </c:pt>
                <c:pt idx="60">
                  <c:v>275.03060557796795</c:v>
                </c:pt>
                <c:pt idx="61">
                  <c:v>278.11006361255676</c:v>
                </c:pt>
                <c:pt idx="62">
                  <c:v>281.18875639212592</c:v>
                </c:pt>
                <c:pt idx="63">
                  <c:v>284.26669349521865</c:v>
                </c:pt>
                <c:pt idx="64">
                  <c:v>287.34388427560884</c:v>
                </c:pt>
                <c:pt idx="65">
                  <c:v>290.42033786998297</c:v>
                </c:pt>
                <c:pt idx="66">
                  <c:v>293.22863751617655</c:v>
                </c:pt>
                <c:pt idx="67">
                  <c:v>296.03633669968633</c:v>
                </c:pt>
                <c:pt idx="68">
                  <c:v>298.84344193087276</c:v>
                </c:pt>
                <c:pt idx="69">
                  <c:v>301.64995958756714</c:v>
                </c:pt>
                <c:pt idx="70">
                  <c:v>304.45589591900688</c:v>
                </c:pt>
                <c:pt idx="71">
                  <c:v>306.9718414631887</c:v>
                </c:pt>
                <c:pt idx="72">
                  <c:v>309.48732871195836</c:v>
                </c:pt>
                <c:pt idx="73">
                  <c:v>312.00236192356948</c:v>
                </c:pt>
                <c:pt idx="74">
                  <c:v>314.51694528188881</c:v>
                </c:pt>
                <c:pt idx="75">
                  <c:v>317.03108289829282</c:v>
                </c:pt>
                <c:pt idx="76">
                  <c:v>319.27785849736955</c:v>
                </c:pt>
                <c:pt idx="77">
                  <c:v>321.52428406625762</c:v>
                </c:pt>
                <c:pt idx="78">
                  <c:v>323.77036240061921</c:v>
                </c:pt>
                <c:pt idx="79">
                  <c:v>326.01609625408747</c:v>
                </c:pt>
                <c:pt idx="80">
                  <c:v>328.26148833919024</c:v>
                </c:pt>
                <c:pt idx="81">
                  <c:v>330.23982002340057</c:v>
                </c:pt>
                <c:pt idx="82">
                  <c:v>332.21789020579178</c:v>
                </c:pt>
                <c:pt idx="83">
                  <c:v>334.19570066624607</c:v>
                </c:pt>
                <c:pt idx="84">
                  <c:v>336.17325316181842</c:v>
                </c:pt>
                <c:pt idx="85">
                  <c:v>338.15054942716534</c:v>
                </c:pt>
                <c:pt idx="86">
                  <c:v>339.86103853173319</c:v>
                </c:pt>
                <c:pt idx="87">
                  <c:v>341.57133822210039</c:v>
                </c:pt>
                <c:pt idx="88">
                  <c:v>343.28144958244587</c:v>
                </c:pt>
                <c:pt idx="89">
                  <c:v>344.99137368524379</c:v>
                </c:pt>
                <c:pt idx="90">
                  <c:v>346.70111159144932</c:v>
                </c:pt>
                <c:pt idx="91">
                  <c:v>348.12205150612652</c:v>
                </c:pt>
                <c:pt idx="92">
                  <c:v>349.54286411058598</c:v>
                </c:pt>
                <c:pt idx="93">
                  <c:v>350.96354999639215</c:v>
                </c:pt>
                <c:pt idx="94">
                  <c:v>352.38410974991922</c:v>
                </c:pt>
                <c:pt idx="95">
                  <c:v>353.80454395241924</c:v>
                </c:pt>
                <c:pt idx="96">
                  <c:v>354.95855469311226</c:v>
                </c:pt>
                <c:pt idx="97">
                  <c:v>356.11248323760998</c:v>
                </c:pt>
                <c:pt idx="98">
                  <c:v>357.26632989038745</c:v>
                </c:pt>
                <c:pt idx="99">
                  <c:v>358.42009495378846</c:v>
                </c:pt>
                <c:pt idx="100">
                  <c:v>359.57377872804733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53328"/>
        <c:axId val="-2098346800"/>
      </c:scatterChart>
      <c:valAx>
        <c:axId val="-2098353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46800"/>
        <c:crosses val="autoZero"/>
        <c:crossBetween val="midCat"/>
      </c:valAx>
      <c:valAx>
        <c:axId val="-209834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53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1.8463208932076591</c:v>
                </c:pt>
                <c:pt idx="2">
                  <c:v>2.2449637221911352</c:v>
                </c:pt>
                <c:pt idx="3">
                  <c:v>2.7300095763503163</c:v>
                </c:pt>
                <c:pt idx="4">
                  <c:v>3.3202536101890168</c:v>
                </c:pt>
                <c:pt idx="5">
                  <c:v>4.0385933350027141</c:v>
                </c:pt>
                <c:pt idx="6">
                  <c:v>4.9129268485794588</c:v>
                </c:pt>
                <c:pt idx="7">
                  <c:v>5.977248308596157</c:v>
                </c:pt>
                <c:pt idx="8">
                  <c:v>7.272984078441648</c:v>
                </c:pt>
                <c:pt idx="9">
                  <c:v>8.8506225595668653</c:v>
                </c:pt>
                <c:pt idx="10">
                  <c:v>10.771702430152191</c:v>
                </c:pt>
                <c:pt idx="11">
                  <c:v>13.111238305856004</c:v>
                </c:pt>
                <c:pt idx="12">
                  <c:v>15.960680298983979</c:v>
                </c:pt>
                <c:pt idx="13">
                  <c:v>19.431525279476187</c:v>
                </c:pt>
                <c:pt idx="14">
                  <c:v>23.659723692470578</c:v>
                </c:pt>
                <c:pt idx="15">
                  <c:v>28.811057611332387</c:v>
                </c:pt>
                <c:pt idx="16">
                  <c:v>32.826307859701934</c:v>
                </c:pt>
                <c:pt idx="17">
                  <c:v>36.827994779392817</c:v>
                </c:pt>
                <c:pt idx="18">
                  <c:v>40.817806972070983</c:v>
                </c:pt>
                <c:pt idx="19">
                  <c:v>44.79707392200919</c:v>
                </c:pt>
                <c:pt idx="20">
                  <c:v>48.766868321352128</c:v>
                </c:pt>
                <c:pt idx="21">
                  <c:v>54.615291695056577</c:v>
                </c:pt>
                <c:pt idx="22">
                  <c:v>60.447243260213298</c:v>
                </c:pt>
                <c:pt idx="23">
                  <c:v>66.264541483471248</c:v>
                </c:pt>
                <c:pt idx="24">
                  <c:v>72.068658057827705</c:v>
                </c:pt>
                <c:pt idx="25">
                  <c:v>77.860807323561289</c:v>
                </c:pt>
                <c:pt idx="26">
                  <c:v>85.131877110508995</c:v>
                </c:pt>
                <c:pt idx="27">
                  <c:v>92.387300937099027</c:v>
                </c:pt>
                <c:pt idx="28">
                  <c:v>99.628483492558303</c:v>
                </c:pt>
                <c:pt idx="29">
                  <c:v>106.85660799258731</c:v>
                </c:pt>
                <c:pt idx="30">
                  <c:v>114.07268406888512</c:v>
                </c:pt>
                <c:pt idx="31">
                  <c:v>122.43833050463235</c:v>
                </c:pt>
                <c:pt idx="32">
                  <c:v>130.79007722376096</c:v>
                </c:pt>
                <c:pt idx="33">
                  <c:v>139.12893836242094</c:v>
                </c:pt>
                <c:pt idx="34">
                  <c:v>147.45579631384916</c:v>
                </c:pt>
                <c:pt idx="35">
                  <c:v>155.77142548420065</c:v>
                </c:pt>
                <c:pt idx="36">
                  <c:v>164.07651069716627</c:v>
                </c:pt>
                <c:pt idx="37">
                  <c:v>127.20829411634475</c:v>
                </c:pt>
                <c:pt idx="38">
                  <c:v>134.81542378123416</c:v>
                </c:pt>
                <c:pt idx="39">
                  <c:v>142.41221295593488</c:v>
                </c:pt>
                <c:pt idx="40">
                  <c:v>149.99929195346505</c:v>
                </c:pt>
                <c:pt idx="41">
                  <c:v>157.57722199222684</c:v>
                </c:pt>
                <c:pt idx="42">
                  <c:v>165.1465058037152</c:v>
                </c:pt>
                <c:pt idx="43">
                  <c:v>172.70759618940016</c:v>
                </c:pt>
                <c:pt idx="44">
                  <c:v>180.2609029976378</c:v>
                </c:pt>
                <c:pt idx="45">
                  <c:v>188.46553650568126</c:v>
                </c:pt>
                <c:pt idx="46">
                  <c:v>196.66184315116777</c:v>
                </c:pt>
                <c:pt idx="47">
                  <c:v>204.85021936559886</c:v>
                </c:pt>
                <c:pt idx="48">
                  <c:v>213.03102725548104</c:v>
                </c:pt>
                <c:pt idx="49">
                  <c:v>221.20459880765301</c:v>
                </c:pt>
                <c:pt idx="50">
                  <c:v>229.37123943966768</c:v>
                </c:pt>
                <c:pt idx="51">
                  <c:v>237.53123101741502</c:v>
                </c:pt>
                <c:pt idx="52">
                  <c:v>245.68483443587479</c:v>
                </c:pt>
                <c:pt idx="53">
                  <c:v>154.42569363475363</c:v>
                </c:pt>
                <c:pt idx="54">
                  <c:v>160.72655611423238</c:v>
                </c:pt>
                <c:pt idx="55">
                  <c:v>167.02156916837251</c:v>
                </c:pt>
                <c:pt idx="56">
                  <c:v>173.31098477855497</c:v>
                </c:pt>
                <c:pt idx="57">
                  <c:v>179.59503510846969</c:v>
                </c:pt>
                <c:pt idx="58">
                  <c:v>185.87393471738528</c:v>
                </c:pt>
                <c:pt idx="59">
                  <c:v>192.14788245815853</c:v>
                </c:pt>
                <c:pt idx="60">
                  <c:v>198.72560532396037</c:v>
                </c:pt>
                <c:pt idx="61">
                  <c:v>205.29827852462654</c:v>
                </c:pt>
                <c:pt idx="62">
                  <c:v>211.86608679668555</c:v>
                </c:pt>
                <c:pt idx="63">
                  <c:v>218.42920246911339</c:v>
                </c:pt>
                <c:pt idx="64">
                  <c:v>224.98778665285246</c:v>
                </c:pt>
                <c:pt idx="65">
                  <c:v>231.54199028417233</c:v>
                </c:pt>
                <c:pt idx="66">
                  <c:v>238.09195504354997</c:v>
                </c:pt>
                <c:pt idx="67">
                  <c:v>244.86309808529651</c:v>
                </c:pt>
                <c:pt idx="68">
                  <c:v>251.62998668146909</c:v>
                </c:pt>
                <c:pt idx="69">
                  <c:v>258.39275154179029</c:v>
                </c:pt>
                <c:pt idx="70">
                  <c:v>265.15151596613208</c:v>
                </c:pt>
                <c:pt idx="71">
                  <c:v>271.90639644698263</c:v>
                </c:pt>
                <c:pt idx="72">
                  <c:v>278.65750320884928</c:v>
                </c:pt>
                <c:pt idx="73">
                  <c:v>285.40494069259944</c:v>
                </c:pt>
                <c:pt idx="74">
                  <c:v>292.14880799155861</c:v>
                </c:pt>
                <c:pt idx="75">
                  <c:v>151.59661212013742</c:v>
                </c:pt>
                <c:pt idx="76">
                  <c:v>156.10979525291137</c:v>
                </c:pt>
                <c:pt idx="77">
                  <c:v>160.6198793705461</c:v>
                </c:pt>
                <c:pt idx="78">
                  <c:v>165.12696398647461</c:v>
                </c:pt>
                <c:pt idx="79">
                  <c:v>169.63114272494099</c:v>
                </c:pt>
                <c:pt idx="80">
                  <c:v>174.13250382029614</c:v>
                </c:pt>
                <c:pt idx="81">
                  <c:v>178.63113056185384</c:v>
                </c:pt>
                <c:pt idx="82">
                  <c:v>183.12710169149531</c:v>
                </c:pt>
                <c:pt idx="83">
                  <c:v>187.79323042854557</c:v>
                </c:pt>
                <c:pt idx="84">
                  <c:v>192.45665483077241</c:v>
                </c:pt>
                <c:pt idx="85">
                  <c:v>197.11744981958063</c:v>
                </c:pt>
                <c:pt idx="86">
                  <c:v>201.77568647644307</c:v>
                </c:pt>
                <c:pt idx="87">
                  <c:v>206.43143232587249</c:v>
                </c:pt>
                <c:pt idx="88">
                  <c:v>211.08475159148273</c:v>
                </c:pt>
                <c:pt idx="89">
                  <c:v>215.73570542824973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57136"/>
        <c:axId val="-2098352784"/>
      </c:scatterChart>
      <c:valAx>
        <c:axId val="-2098357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52784"/>
        <c:crosses val="autoZero"/>
        <c:crossBetween val="midCat"/>
      </c:valAx>
      <c:valAx>
        <c:axId val="-209835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5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3.7940715050318166</c:v>
                </c:pt>
                <c:pt idx="2">
                  <c:v>4.9377274035395011</c:v>
                </c:pt>
                <c:pt idx="3">
                  <c:v>6.4274775055040303</c:v>
                </c:pt>
                <c:pt idx="4">
                  <c:v>8.3684435076636809</c:v>
                </c:pt>
                <c:pt idx="5">
                  <c:v>10.897785858680232</c:v>
                </c:pt>
                <c:pt idx="6">
                  <c:v>14.194499309147433</c:v>
                </c:pt>
                <c:pt idx="7">
                  <c:v>18.492212032390984</c:v>
                </c:pt>
                <c:pt idx="8">
                  <c:v>24.095911719327074</c:v>
                </c:pt>
                <c:pt idx="9">
                  <c:v>31.403806616304621</c:v>
                </c:pt>
                <c:pt idx="10">
                  <c:v>40.935901924486565</c:v>
                </c:pt>
                <c:pt idx="11">
                  <c:v>45.995824937849385</c:v>
                </c:pt>
                <c:pt idx="12">
                  <c:v>51.040864550780604</c:v>
                </c:pt>
                <c:pt idx="13">
                  <c:v>56.072704833394162</c:v>
                </c:pt>
                <c:pt idx="14">
                  <c:v>61.092701422671723</c:v>
                </c:pt>
                <c:pt idx="15">
                  <c:v>66.101967977769291</c:v>
                </c:pt>
                <c:pt idx="16">
                  <c:v>71.101434889641112</c:v>
                </c:pt>
                <c:pt idx="17">
                  <c:v>76.091890520314053</c:v>
                </c:pt>
                <c:pt idx="18">
                  <c:v>81.074011002076816</c:v>
                </c:pt>
                <c:pt idx="19">
                  <c:v>86.048382294364117</c:v>
                </c:pt>
                <c:pt idx="20">
                  <c:v>91.01551685143825</c:v>
                </c:pt>
                <c:pt idx="21">
                  <c:v>96.059293424495877</c:v>
                </c:pt>
                <c:pt idx="22">
                  <c:v>101.09647592120905</c:v>
                </c:pt>
                <c:pt idx="23">
                  <c:v>106.1274401371661</c:v>
                </c:pt>
                <c:pt idx="24">
                  <c:v>111.15252322541839</c:v>
                </c:pt>
                <c:pt idx="25">
                  <c:v>116.17202927831566</c:v>
                </c:pt>
                <c:pt idx="26">
                  <c:v>121.18623389119783</c:v>
                </c:pt>
                <c:pt idx="27">
                  <c:v>126.19538792903876</c:v>
                </c:pt>
                <c:pt idx="28">
                  <c:v>131.19972066206506</c:v>
                </c:pt>
                <c:pt idx="29">
                  <c:v>136.19944239663721</c:v>
                </c:pt>
                <c:pt idx="30">
                  <c:v>141.19474669860062</c:v>
                </c:pt>
                <c:pt idx="31">
                  <c:v>117.41844889935521</c:v>
                </c:pt>
                <c:pt idx="32">
                  <c:v>122.27181352878561</c:v>
                </c:pt>
                <c:pt idx="33">
                  <c:v>127.12049242384775</c:v>
                </c:pt>
                <c:pt idx="34">
                  <c:v>131.96468999042506</c:v>
                </c:pt>
                <c:pt idx="35">
                  <c:v>136.80459436256049</c:v>
                </c:pt>
                <c:pt idx="36">
                  <c:v>141.64037924106523</c:v>
                </c:pt>
                <c:pt idx="37">
                  <c:v>146.47220546726382</c:v>
                </c:pt>
                <c:pt idx="38">
                  <c:v>151.3002223777049</c:v>
                </c:pt>
                <c:pt idx="39">
                  <c:v>156.12456897649591</c:v>
                </c:pt>
                <c:pt idx="40">
                  <c:v>160.94537495481583</c:v>
                </c:pt>
                <c:pt idx="41">
                  <c:v>148.09833122562196</c:v>
                </c:pt>
                <c:pt idx="42">
                  <c:v>152.79144700218751</c:v>
                </c:pt>
                <c:pt idx="43">
                  <c:v>157.48113180902939</c:v>
                </c:pt>
                <c:pt idx="44">
                  <c:v>162.16750248508325</c:v>
                </c:pt>
                <c:pt idx="45">
                  <c:v>166.8506685486885</c:v>
                </c:pt>
                <c:pt idx="46">
                  <c:v>171.53073285365295</c:v>
                </c:pt>
                <c:pt idx="47">
                  <c:v>176.20779216981666</c:v>
                </c:pt>
                <c:pt idx="48">
                  <c:v>180.88193769862167</c:v>
                </c:pt>
                <c:pt idx="49">
                  <c:v>185.55325553249369</c:v>
                </c:pt>
                <c:pt idx="50">
                  <c:v>190.22182706545016</c:v>
                </c:pt>
                <c:pt idx="51">
                  <c:v>175.30550445846984</c:v>
                </c:pt>
                <c:pt idx="52">
                  <c:v>179.7316123866359</c:v>
                </c:pt>
                <c:pt idx="53">
                  <c:v>184.15516689410637</c:v>
                </c:pt>
                <c:pt idx="54">
                  <c:v>188.57623811572486</c:v>
                </c:pt>
                <c:pt idx="55">
                  <c:v>192.99489262176746</c:v>
                </c:pt>
                <c:pt idx="56">
                  <c:v>197.41119367847855</c:v>
                </c:pt>
                <c:pt idx="57">
                  <c:v>201.82520148402705</c:v>
                </c:pt>
                <c:pt idx="58">
                  <c:v>206.23697338270208</c:v>
                </c:pt>
                <c:pt idx="59">
                  <c:v>210.64656405978792</c:v>
                </c:pt>
                <c:pt idx="60">
                  <c:v>215.05402571923696</c:v>
                </c:pt>
                <c:pt idx="61">
                  <c:v>198.6939177176433</c:v>
                </c:pt>
                <c:pt idx="62">
                  <c:v>202.86456278492415</c:v>
                </c:pt>
                <c:pt idx="63">
                  <c:v>207.03322289239085</c:v>
                </c:pt>
                <c:pt idx="64">
                  <c:v>211.1999437388989</c:v>
                </c:pt>
                <c:pt idx="65">
                  <c:v>215.36476906896596</c:v>
                </c:pt>
                <c:pt idx="66">
                  <c:v>219.52774079341077</c:v>
                </c:pt>
                <c:pt idx="67">
                  <c:v>223.68889910034579</c:v>
                </c:pt>
                <c:pt idx="68">
                  <c:v>227.8482825574653</c:v>
                </c:pt>
                <c:pt idx="69">
                  <c:v>232.00592820645954</c:v>
                </c:pt>
                <c:pt idx="70">
                  <c:v>236.16187165029689</c:v>
                </c:pt>
                <c:pt idx="71">
                  <c:v>218.97692512402543</c:v>
                </c:pt>
                <c:pt idx="72">
                  <c:v>222.89820975716569</c:v>
                </c:pt>
                <c:pt idx="73">
                  <c:v>226.81791209882192</c:v>
                </c:pt>
                <c:pt idx="74">
                  <c:v>230.736063412498</c:v>
                </c:pt>
                <c:pt idx="75">
                  <c:v>234.65269381098105</c:v>
                </c:pt>
                <c:pt idx="76">
                  <c:v>238.56783231764553</c:v>
                </c:pt>
                <c:pt idx="77">
                  <c:v>242.48150692351541</c:v>
                </c:pt>
                <c:pt idx="78">
                  <c:v>246.39374464044309</c:v>
                </c:pt>
                <c:pt idx="79">
                  <c:v>250.30457155072909</c:v>
                </c:pt>
                <c:pt idx="80">
                  <c:v>254.21401285347324</c:v>
                </c:pt>
                <c:pt idx="81">
                  <c:v>235.31737948255306</c:v>
                </c:pt>
                <c:pt idx="82">
                  <c:v>239.14443638206026</c:v>
                </c:pt>
                <c:pt idx="83">
                  <c:v>242.97009820492926</c:v>
                </c:pt>
                <c:pt idx="84">
                  <c:v>246.79439006404766</c:v>
                </c:pt>
                <c:pt idx="85">
                  <c:v>250.61733622888337</c:v>
                </c:pt>
                <c:pt idx="86">
                  <c:v>254.43896016654585</c:v>
                </c:pt>
                <c:pt idx="87">
                  <c:v>258.25928458024669</c:v>
                </c:pt>
                <c:pt idx="88">
                  <c:v>262.07833144536136</c:v>
                </c:pt>
                <c:pt idx="89">
                  <c:v>265.89612204327688</c:v>
                </c:pt>
                <c:pt idx="90">
                  <c:v>269.7126769931898</c:v>
                </c:pt>
                <c:pt idx="91">
                  <c:v>250.6328193987205</c:v>
                </c:pt>
                <c:pt idx="92">
                  <c:v>254.24496917314158</c:v>
                </c:pt>
                <c:pt idx="93">
                  <c:v>257.85595699105755</c:v>
                </c:pt>
                <c:pt idx="94">
                  <c:v>261.46580145486388</c:v>
                </c:pt>
                <c:pt idx="95">
                  <c:v>265.07452061034036</c:v>
                </c:pt>
                <c:pt idx="96">
                  <c:v>268.68213197083338</c:v>
                </c:pt>
                <c:pt idx="97">
                  <c:v>272.2886525400715</c:v>
                </c:pt>
                <c:pt idx="98">
                  <c:v>275.89409883370479</c:v>
                </c:pt>
                <c:pt idx="99">
                  <c:v>279.49848689966035</c:v>
                </c:pt>
                <c:pt idx="100">
                  <c:v>283.10183233738871</c:v>
                </c:pt>
                <c:pt idx="101">
                  <c:v>263.96109196677475</c:v>
                </c:pt>
                <c:pt idx="102">
                  <c:v>267.38351841754837</c:v>
                </c:pt>
                <c:pt idx="103">
                  <c:v>270.80495793510266</c:v>
                </c:pt>
                <c:pt idx="104">
                  <c:v>274.2254247741065</c:v>
                </c:pt>
                <c:pt idx="105">
                  <c:v>277.64493280389814</c:v>
                </c:pt>
                <c:pt idx="106">
                  <c:v>281.06349552363093</c:v>
                </c:pt>
                <c:pt idx="107">
                  <c:v>284.48112607664098</c:v>
                </c:pt>
                <c:pt idx="108">
                  <c:v>287.89783726408837</c:v>
                </c:pt>
                <c:pt idx="109">
                  <c:v>291.31364155791516</c:v>
                </c:pt>
                <c:pt idx="110">
                  <c:v>294.72855111316346</c:v>
                </c:pt>
                <c:pt idx="111">
                  <c:v>275.64278221892977</c:v>
                </c:pt>
                <c:pt idx="112">
                  <c:v>278.89302299078042</c:v>
                </c:pt>
                <c:pt idx="113">
                  <c:v>282.14241391291085</c:v>
                </c:pt>
                <c:pt idx="114">
                  <c:v>285.39096617407273</c:v>
                </c:pt>
                <c:pt idx="115">
                  <c:v>288.63869068701268</c:v>
                </c:pt>
                <c:pt idx="116">
                  <c:v>291.88559809838341</c:v>
                </c:pt>
                <c:pt idx="117">
                  <c:v>295.13169879818764</c:v>
                </c:pt>
                <c:pt idx="118">
                  <c:v>298.37700292878753</c:v>
                </c:pt>
                <c:pt idx="119">
                  <c:v>301.6215203934978</c:v>
                </c:pt>
                <c:pt idx="120">
                  <c:v>304.86526086479199</c:v>
                </c:pt>
                <c:pt idx="121">
                  <c:v>286.03934198193417</c:v>
                </c:pt>
                <c:pt idx="122">
                  <c:v>289.1202225994499</c:v>
                </c:pt>
                <c:pt idx="123">
                  <c:v>292.20036925031758</c:v>
                </c:pt>
                <c:pt idx="124">
                  <c:v>295.2797907788534</c:v>
                </c:pt>
                <c:pt idx="125">
                  <c:v>298.35849582949118</c:v>
                </c:pt>
                <c:pt idx="126">
                  <c:v>301.43649285336335</c:v>
                </c:pt>
                <c:pt idx="127">
                  <c:v>304.51379011459977</c:v>
                </c:pt>
                <c:pt idx="128">
                  <c:v>307.59039569635775</c:v>
                </c:pt>
                <c:pt idx="129">
                  <c:v>310.66631750659769</c:v>
                </c:pt>
                <c:pt idx="130">
                  <c:v>313.74156328361835</c:v>
                </c:pt>
                <c:pt idx="131">
                  <c:v>295.19237557407541</c:v>
                </c:pt>
                <c:pt idx="132">
                  <c:v>298.12407035611278</c:v>
                </c:pt>
                <c:pt idx="133">
                  <c:v>301.0551225538257</c:v>
                </c:pt>
                <c:pt idx="134">
                  <c:v>303.98553931871487</c:v>
                </c:pt>
                <c:pt idx="135">
                  <c:v>306.91532765288451</c:v>
                </c:pt>
                <c:pt idx="136">
                  <c:v>309.84449441359243</c:v>
                </c:pt>
                <c:pt idx="137">
                  <c:v>312.77304631762058</c:v>
                </c:pt>
                <c:pt idx="138">
                  <c:v>315.70098994547101</c:v>
                </c:pt>
                <c:pt idx="139">
                  <c:v>318.62833174539895</c:v>
                </c:pt>
                <c:pt idx="140">
                  <c:v>321.55507803729012</c:v>
                </c:pt>
                <c:pt idx="141">
                  <c:v>303.29487711261339</c:v>
                </c:pt>
                <c:pt idx="142">
                  <c:v>306.09225482910631</c:v>
                </c:pt>
                <c:pt idx="143">
                  <c:v>308.88906420647976</c:v>
                </c:pt>
                <c:pt idx="144">
                  <c:v>311.68531112708018</c:v>
                </c:pt>
                <c:pt idx="145">
                  <c:v>314.4810013588949</c:v>
                </c:pt>
                <c:pt idx="146">
                  <c:v>317.2761405587965</c:v>
                </c:pt>
                <c:pt idx="147">
                  <c:v>320.07073427566644</c:v>
                </c:pt>
                <c:pt idx="148">
                  <c:v>322.86478795340321</c:v>
                </c:pt>
                <c:pt idx="149">
                  <c:v>325.65830693382185</c:v>
                </c:pt>
                <c:pt idx="150">
                  <c:v>328.45129645944729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52240"/>
        <c:axId val="-2098350608"/>
      </c:scatterChart>
      <c:valAx>
        <c:axId val="-2098352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50608"/>
        <c:crosses val="autoZero"/>
        <c:crossBetween val="midCat"/>
      </c:valAx>
      <c:valAx>
        <c:axId val="-209835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5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234.34307827690762</c:v>
                </c:pt>
                <c:pt idx="42">
                  <c:v>247.31737533025003</c:v>
                </c:pt>
                <c:pt idx="43">
                  <c:v>260.27622505120576</c:v>
                </c:pt>
                <c:pt idx="44">
                  <c:v>273.220505160855</c:v>
                </c:pt>
                <c:pt idx="45">
                  <c:v>286.15100338127621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299.06843040054582</c:v>
                </c:pt>
                <c:pt idx="52">
                  <c:v>311.97343047900409</c:v>
                </c:pt>
                <c:pt idx="53">
                  <c:v>324.86659020772595</c:v>
                </c:pt>
                <c:pt idx="54">
                  <c:v>337.74844580317352</c:v>
                </c:pt>
                <c:pt idx="55">
                  <c:v>350.61948923031781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360.725163121957</c:v>
                </c:pt>
                <c:pt idx="62">
                  <c:v>373.11914099479742</c:v>
                </c:pt>
                <c:pt idx="63">
                  <c:v>385.5041479951206</c:v>
                </c:pt>
                <c:pt idx="64">
                  <c:v>397.88051297693852</c:v>
                </c:pt>
                <c:pt idx="65">
                  <c:v>410.24854266397227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414.82723721388487</c:v>
                </c:pt>
                <c:pt idx="72">
                  <c:v>426.26923464137008</c:v>
                </c:pt>
                <c:pt idx="73">
                  <c:v>437.70462758915511</c:v>
                </c:pt>
                <c:pt idx="74">
                  <c:v>449.13361294375403</c:v>
                </c:pt>
                <c:pt idx="75">
                  <c:v>460.55637675309475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459.18596767967614</c:v>
                </c:pt>
                <c:pt idx="82">
                  <c:v>469.23362495798051</c:v>
                </c:pt>
                <c:pt idx="83">
                  <c:v>479.27669956446061</c:v>
                </c:pt>
                <c:pt idx="84">
                  <c:v>489.31530108112526</c:v>
                </c:pt>
                <c:pt idx="85">
                  <c:v>499.34953422631753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491.82426491399724</c:v>
                </c:pt>
                <c:pt idx="92">
                  <c:v>500.26152412217425</c:v>
                </c:pt>
                <c:pt idx="93">
                  <c:v>508.69577152211906</c:v>
                </c:pt>
                <c:pt idx="94">
                  <c:v>517.12706410485566</c:v>
                </c:pt>
                <c:pt idx="95">
                  <c:v>525.55545685100515</c:v>
                </c:pt>
                <c:pt idx="96">
                  <c:v>533.98100283350652</c:v>
                </c:pt>
                <c:pt idx="97">
                  <c:v>542.40375331351413</c:v>
                </c:pt>
                <c:pt idx="98">
                  <c:v>550.82375783003135</c:v>
                </c:pt>
                <c:pt idx="99">
                  <c:v>559.24106428377456</c:v>
                </c:pt>
                <c:pt idx="100">
                  <c:v>567.6557190157298</c:v>
                </c:pt>
                <c:pt idx="101">
                  <c:v>479.04849794970505</c:v>
                </c:pt>
                <c:pt idx="102">
                  <c:v>486.12167933752715</c:v>
                </c:pt>
                <c:pt idx="103">
                  <c:v>493.19267614406226</c:v>
                </c:pt>
                <c:pt idx="104">
                  <c:v>500.26152412217419</c:v>
                </c:pt>
                <c:pt idx="105">
                  <c:v>507.32825793146094</c:v>
                </c:pt>
                <c:pt idx="106">
                  <c:v>514.39291118678386</c:v>
                </c:pt>
                <c:pt idx="107">
                  <c:v>521.45551650398738</c:v>
                </c:pt>
                <c:pt idx="108">
                  <c:v>528.51610554301351</c:v>
                </c:pt>
                <c:pt idx="109">
                  <c:v>535.57470904859349</c:v>
                </c:pt>
                <c:pt idx="110">
                  <c:v>542.63135688868022</c:v>
                </c:pt>
                <c:pt idx="111">
                  <c:v>549.00344654997468</c:v>
                </c:pt>
                <c:pt idx="112">
                  <c:v>555.37398526066818</c:v>
                </c:pt>
                <c:pt idx="113">
                  <c:v>561.74299332696876</c:v>
                </c:pt>
                <c:pt idx="114">
                  <c:v>568.11049055690899</c:v>
                </c:pt>
                <c:pt idx="115">
                  <c:v>574.47649627813587</c:v>
                </c:pt>
                <c:pt idx="116">
                  <c:v>580.8410293548709</c:v>
                </c:pt>
                <c:pt idx="117">
                  <c:v>587.20410820409086</c:v>
                </c:pt>
                <c:pt idx="118">
                  <c:v>593.56575081096798</c:v>
                </c:pt>
                <c:pt idx="119">
                  <c:v>599.92597474361492</c:v>
                </c:pt>
                <c:pt idx="120">
                  <c:v>606.28479716717072</c:v>
                </c:pt>
                <c:pt idx="121">
                  <c:v>492.96461320246755</c:v>
                </c:pt>
                <c:pt idx="122">
                  <c:v>497.98148322540993</c:v>
                </c:pt>
                <c:pt idx="123">
                  <c:v>502.99728291379057</c:v>
                </c:pt>
                <c:pt idx="124">
                  <c:v>508.0120244538727</c:v>
                </c:pt>
                <c:pt idx="125">
                  <c:v>513.02571977154412</c:v>
                </c:pt>
                <c:pt idx="126">
                  <c:v>518.03838054042751</c:v>
                </c:pt>
                <c:pt idx="127">
                  <c:v>523.05001818966002</c:v>
                </c:pt>
                <c:pt idx="128">
                  <c:v>528.0606439113601</c:v>
                </c:pt>
                <c:pt idx="129">
                  <c:v>533.0702686677937</c:v>
                </c:pt>
                <c:pt idx="130">
                  <c:v>538.07890319825958</c:v>
                </c:pt>
                <c:pt idx="131">
                  <c:v>541.9485401450678</c:v>
                </c:pt>
                <c:pt idx="132">
                  <c:v>545.81759687725491</c:v>
                </c:pt>
                <c:pt idx="133">
                  <c:v>549.68607809077855</c:v>
                </c:pt>
                <c:pt idx="134">
                  <c:v>553.55398841006343</c:v>
                </c:pt>
                <c:pt idx="135">
                  <c:v>557.42133238959502</c:v>
                </c:pt>
                <c:pt idx="136">
                  <c:v>561.28811451546517</c:v>
                </c:pt>
                <c:pt idx="137">
                  <c:v>565.15433920687485</c:v>
                </c:pt>
                <c:pt idx="138">
                  <c:v>569.02001081759215</c:v>
                </c:pt>
                <c:pt idx="139">
                  <c:v>572.88513363736843</c:v>
                </c:pt>
                <c:pt idx="140">
                  <c:v>576.74971189331586</c:v>
                </c:pt>
                <c:pt idx="141">
                  <c:v>579.93189980305044</c:v>
                </c:pt>
                <c:pt idx="142">
                  <c:v>583.11372351163391</c:v>
                </c:pt>
                <c:pt idx="143">
                  <c:v>586.29518528801691</c:v>
                </c:pt>
                <c:pt idx="144">
                  <c:v>589.47628737450179</c:v>
                </c:pt>
                <c:pt idx="145">
                  <c:v>592.65703198720098</c:v>
                </c:pt>
                <c:pt idx="146">
                  <c:v>595.83742131648444</c:v>
                </c:pt>
                <c:pt idx="147">
                  <c:v>599.01745752741795</c:v>
                </c:pt>
                <c:pt idx="148">
                  <c:v>602.19714276019101</c:v>
                </c:pt>
                <c:pt idx="149">
                  <c:v>605.37647913053593</c:v>
                </c:pt>
                <c:pt idx="150">
                  <c:v>608.55546873013679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50064"/>
        <c:axId val="-2098348976"/>
      </c:scatterChart>
      <c:valAx>
        <c:axId val="-2098350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48976"/>
        <c:crosses val="autoZero"/>
        <c:crossBetween val="midCat"/>
      </c:valAx>
      <c:valAx>
        <c:axId val="-209834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5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2.5027263431926459</c:v>
                </c:pt>
                <c:pt idx="2">
                  <c:v>2.8532341357648008</c:v>
                </c:pt>
                <c:pt idx="3">
                  <c:v>3.2530059345409863</c:v>
                </c:pt>
                <c:pt idx="4">
                  <c:v>3.7089891098827636</c:v>
                </c:pt>
                <c:pt idx="5">
                  <c:v>4.2291138583440571</c:v>
                </c:pt>
                <c:pt idx="6">
                  <c:v>4.822432647797779</c:v>
                </c:pt>
                <c:pt idx="7">
                  <c:v>5.4992795008808173</c:v>
                </c:pt>
                <c:pt idx="8">
                  <c:v>6.2714519461102833</c:v>
                </c:pt>
                <c:pt idx="9">
                  <c:v>7.1524188704681526</c:v>
                </c:pt>
                <c:pt idx="10">
                  <c:v>8.1575579696292042</c:v>
                </c:pt>
                <c:pt idx="11">
                  <c:v>9.3044270206331561</c:v>
                </c:pt>
                <c:pt idx="12">
                  <c:v>10.613073806185014</c:v>
                </c:pt>
                <c:pt idx="13">
                  <c:v>12.106390210785142</c:v>
                </c:pt>
                <c:pt idx="14">
                  <c:v>13.810516798983128</c:v>
                </c:pt>
                <c:pt idx="15">
                  <c:v>15.755305089447759</c:v>
                </c:pt>
                <c:pt idx="16">
                  <c:v>17.974845771527182</c:v>
                </c:pt>
                <c:pt idx="17">
                  <c:v>20.50807229215847</c:v>
                </c:pt>
                <c:pt idx="18">
                  <c:v>23.39945059167437</c:v>
                </c:pt>
                <c:pt idx="19">
                  <c:v>26.699767311612419</c:v>
                </c:pt>
                <c:pt idx="20">
                  <c:v>30.467030563932372</c:v>
                </c:pt>
                <c:pt idx="21">
                  <c:v>34.767499370977937</c:v>
                </c:pt>
                <c:pt idx="22">
                  <c:v>39.676860195559833</c:v>
                </c:pt>
                <c:pt idx="23">
                  <c:v>45.281571622422263</c:v>
                </c:pt>
                <c:pt idx="24">
                  <c:v>51.68040127383123</c:v>
                </c:pt>
                <c:pt idx="25">
                  <c:v>58.986182497719007</c:v>
                </c:pt>
                <c:pt idx="26">
                  <c:v>68.14272452108996</c:v>
                </c:pt>
                <c:pt idx="27">
                  <c:v>77.267566804930865</c:v>
                </c:pt>
                <c:pt idx="28">
                  <c:v>86.364991250702602</c:v>
                </c:pt>
                <c:pt idx="29">
                  <c:v>95.438299847817632</c:v>
                </c:pt>
                <c:pt idx="30">
                  <c:v>104.49011310785191</c:v>
                </c:pt>
                <c:pt idx="31">
                  <c:v>113.89851770873275</c:v>
                </c:pt>
                <c:pt idx="32">
                  <c:v>123.28788824388072</c:v>
                </c:pt>
                <c:pt idx="33">
                  <c:v>132.65988081821206</c:v>
                </c:pt>
                <c:pt idx="34">
                  <c:v>142.01589791538453</c:v>
                </c:pt>
                <c:pt idx="35">
                  <c:v>151.35714176914834</c:v>
                </c:pt>
                <c:pt idx="36">
                  <c:v>137.15268457380023</c:v>
                </c:pt>
                <c:pt idx="37">
                  <c:v>147.24874449981004</c:v>
                </c:pt>
                <c:pt idx="38">
                  <c:v>157.32827153280772</c:v>
                </c:pt>
                <c:pt idx="39">
                  <c:v>167.39247537038261</c:v>
                </c:pt>
                <c:pt idx="40">
                  <c:v>177.44240814111382</c:v>
                </c:pt>
                <c:pt idx="41">
                  <c:v>187.8504728509204</c:v>
                </c:pt>
                <c:pt idx="42">
                  <c:v>198.2450900112641</c:v>
                </c:pt>
                <c:pt idx="43">
                  <c:v>208.62706473142649</c:v>
                </c:pt>
                <c:pt idx="44">
                  <c:v>218.99711535784957</c:v>
                </c:pt>
                <c:pt idx="45">
                  <c:v>229.35588657979119</c:v>
                </c:pt>
                <c:pt idx="46">
                  <c:v>187.85047285092037</c:v>
                </c:pt>
                <c:pt idx="47">
                  <c:v>198.24509001126407</c:v>
                </c:pt>
                <c:pt idx="48">
                  <c:v>208.62706473142649</c:v>
                </c:pt>
                <c:pt idx="49">
                  <c:v>218.99711535784954</c:v>
                </c:pt>
                <c:pt idx="50">
                  <c:v>229.3558865797911</c:v>
                </c:pt>
                <c:pt idx="51">
                  <c:v>239.70396004016996</c:v>
                </c:pt>
                <c:pt idx="52">
                  <c:v>250.04186301596869</c:v>
                </c:pt>
                <c:pt idx="53">
                  <c:v>260.37007558636151</c:v>
                </c:pt>
                <c:pt idx="54">
                  <c:v>270.68903660282001</c:v>
                </c:pt>
                <c:pt idx="55">
                  <c:v>280.9991487004113</c:v>
                </c:pt>
                <c:pt idx="56">
                  <c:v>239.33456410654892</c:v>
                </c:pt>
                <c:pt idx="57">
                  <c:v>249.30376817805214</c:v>
                </c:pt>
                <c:pt idx="58">
                  <c:v>259.26393132726281</c:v>
                </c:pt>
                <c:pt idx="59">
                  <c:v>269.21545011175891</c:v>
                </c:pt>
                <c:pt idx="60">
                  <c:v>279.15868935410379</c:v>
                </c:pt>
                <c:pt idx="61">
                  <c:v>289.09398574595843</c:v>
                </c:pt>
                <c:pt idx="62">
                  <c:v>299.02165093044329</c:v>
                </c:pt>
                <c:pt idx="63">
                  <c:v>308.94197415345985</c:v>
                </c:pt>
                <c:pt idx="64">
                  <c:v>318.85522455644116</c:v>
                </c:pt>
                <c:pt idx="65">
                  <c:v>328.76165316889814</c:v>
                </c:pt>
                <c:pt idx="66">
                  <c:v>286.51891307475512</c:v>
                </c:pt>
                <c:pt idx="67">
                  <c:v>295.71325882522706</c:v>
                </c:pt>
                <c:pt idx="68">
                  <c:v>304.90122958502047</c:v>
                </c:pt>
                <c:pt idx="69">
                  <c:v>314.08304469239323</c:v>
                </c:pt>
                <c:pt idx="70">
                  <c:v>323.25890960508139</c:v>
                </c:pt>
                <c:pt idx="71">
                  <c:v>332.42901715637169</c:v>
                </c:pt>
                <c:pt idx="72">
                  <c:v>341.59354866525354</c:v>
                </c:pt>
                <c:pt idx="73">
                  <c:v>350.75267492114762</c:v>
                </c:pt>
                <c:pt idx="74">
                  <c:v>359.90655706035312</c:v>
                </c:pt>
                <c:pt idx="75">
                  <c:v>369.05534734862982</c:v>
                </c:pt>
                <c:pt idx="76">
                  <c:v>326.19396152047534</c:v>
                </c:pt>
                <c:pt idx="77">
                  <c:v>334.62900664770495</c:v>
                </c:pt>
                <c:pt idx="78">
                  <c:v>343.05936780110716</c:v>
                </c:pt>
                <c:pt idx="79">
                  <c:v>351.48517640410614</c:v>
                </c:pt>
                <c:pt idx="80">
                  <c:v>359.90655706035301</c:v>
                </c:pt>
                <c:pt idx="81">
                  <c:v>367.95775652370889</c:v>
                </c:pt>
                <c:pt idx="82">
                  <c:v>376.00511148333749</c:v>
                </c:pt>
                <c:pt idx="83">
                  <c:v>384.04871588248358</c:v>
                </c:pt>
                <c:pt idx="84">
                  <c:v>392.08865940549913</c:v>
                </c:pt>
                <c:pt idx="85">
                  <c:v>400.12502775620351</c:v>
                </c:pt>
                <c:pt idx="86">
                  <c:v>356.6117538417202</c:v>
                </c:pt>
                <c:pt idx="87">
                  <c:v>364.29860280650678</c:v>
                </c:pt>
                <c:pt idx="88">
                  <c:v>371.98190859178379</c:v>
                </c:pt>
                <c:pt idx="89">
                  <c:v>379.66175476054258</c:v>
                </c:pt>
                <c:pt idx="90">
                  <c:v>387.33822121677048</c:v>
                </c:pt>
                <c:pt idx="91">
                  <c:v>394.09808340150562</c:v>
                </c:pt>
                <c:pt idx="92">
                  <c:v>400.85543227720649</c:v>
                </c:pt>
                <c:pt idx="93">
                  <c:v>407.61031622210515</c:v>
                </c:pt>
                <c:pt idx="94">
                  <c:v>414.36278187892225</c:v>
                </c:pt>
                <c:pt idx="95">
                  <c:v>421.11287424502046</c:v>
                </c:pt>
                <c:pt idx="96">
                  <c:v>427.86063675647239</c:v>
                </c:pt>
                <c:pt idx="97">
                  <c:v>434.6061113665466</c:v>
                </c:pt>
                <c:pt idx="98">
                  <c:v>441.3493386190641</c:v>
                </c:pt>
                <c:pt idx="99">
                  <c:v>448.09035771703617</c:v>
                </c:pt>
                <c:pt idx="100">
                  <c:v>454.82920658695576</c:v>
                </c:pt>
                <c:pt idx="101">
                  <c:v>383.86594767887163</c:v>
                </c:pt>
                <c:pt idx="102">
                  <c:v>389.53088736788686</c:v>
                </c:pt>
                <c:pt idx="103">
                  <c:v>395.19403914701911</c:v>
                </c:pt>
                <c:pt idx="104">
                  <c:v>400.85543227720632</c:v>
                </c:pt>
                <c:pt idx="105">
                  <c:v>406.51509512463468</c:v>
                </c:pt>
                <c:pt idx="106">
                  <c:v>412.17305520045352</c:v>
                </c:pt>
                <c:pt idx="107">
                  <c:v>417.82933919819453</c:v>
                </c:pt>
                <c:pt idx="108">
                  <c:v>423.48397302905846</c:v>
                </c:pt>
                <c:pt idx="109">
                  <c:v>429.13698185521656</c:v>
                </c:pt>
                <c:pt idx="110">
                  <c:v>434.78839012126537</c:v>
                </c:pt>
                <c:pt idx="111">
                  <c:v>439.89153196853999</c:v>
                </c:pt>
                <c:pt idx="112">
                  <c:v>444.99340448336892</c:v>
                </c:pt>
                <c:pt idx="113">
                  <c:v>450.09402428480439</c:v>
                </c:pt>
                <c:pt idx="114">
                  <c:v>455.19340758418042</c:v>
                </c:pt>
                <c:pt idx="115">
                  <c:v>460.29157019967266</c:v>
                </c:pt>
                <c:pt idx="116">
                  <c:v>465.38852757017963</c:v>
                </c:pt>
                <c:pt idx="117">
                  <c:v>470.4842947685645</c:v>
                </c:pt>
                <c:pt idx="118">
                  <c:v>475.57888651429198</c:v>
                </c:pt>
                <c:pt idx="119">
                  <c:v>480.67231718549561</c:v>
                </c:pt>
                <c:pt idx="120">
                  <c:v>485.76460083050711</c:v>
                </c:pt>
                <c:pt idx="121">
                  <c:v>395.01138443660426</c:v>
                </c:pt>
                <c:pt idx="122">
                  <c:v>399.02936683023967</c:v>
                </c:pt>
                <c:pt idx="123">
                  <c:v>403.04647323827902</c:v>
                </c:pt>
                <c:pt idx="124">
                  <c:v>407.06271363423065</c:v>
                </c:pt>
                <c:pt idx="125">
                  <c:v>411.07809777850639</c:v>
                </c:pt>
                <c:pt idx="126">
                  <c:v>415.09263522505876</c:v>
                </c:pt>
                <c:pt idx="127">
                  <c:v>419.10633532774733</c:v>
                </c:pt>
                <c:pt idx="128">
                  <c:v>423.1192072464508</c:v>
                </c:pt>
                <c:pt idx="129">
                  <c:v>427.13125995293109</c:v>
                </c:pt>
                <c:pt idx="130">
                  <c:v>431.14250223646906</c:v>
                </c:pt>
                <c:pt idx="131">
                  <c:v>434.24154893175</c:v>
                </c:pt>
                <c:pt idx="132">
                  <c:v>437.3401207664885</c:v>
                </c:pt>
                <c:pt idx="133">
                  <c:v>440.43822158396023</c:v>
                </c:pt>
                <c:pt idx="134">
                  <c:v>443.53585516889751</c:v>
                </c:pt>
                <c:pt idx="135">
                  <c:v>446.63302524879219</c:v>
                </c:pt>
                <c:pt idx="136">
                  <c:v>449.72973549516183</c:v>
                </c:pt>
                <c:pt idx="137">
                  <c:v>452.82598952477866</c:v>
                </c:pt>
                <c:pt idx="138">
                  <c:v>455.92179090086324</c:v>
                </c:pt>
                <c:pt idx="139">
                  <c:v>459.01714313424355</c:v>
                </c:pt>
                <c:pt idx="140">
                  <c:v>462.11204968448175</c:v>
                </c:pt>
                <c:pt idx="141">
                  <c:v>464.66046401831437</c:v>
                </c:pt>
                <c:pt idx="142">
                  <c:v>467.20858028182965</c:v>
                </c:pt>
                <c:pt idx="143">
                  <c:v>469.75640033198715</c:v>
                </c:pt>
                <c:pt idx="144">
                  <c:v>472.30392600393719</c:v>
                </c:pt>
                <c:pt idx="145">
                  <c:v>474.85115911139502</c:v>
                </c:pt>
                <c:pt idx="146">
                  <c:v>477.39810144700851</c:v>
                </c:pt>
                <c:pt idx="147">
                  <c:v>479.94475478271539</c:v>
                </c:pt>
                <c:pt idx="148">
                  <c:v>482.49112087009439</c:v>
                </c:pt>
                <c:pt idx="149">
                  <c:v>485.0372014407078</c:v>
                </c:pt>
                <c:pt idx="150">
                  <c:v>487.58299820643629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47888"/>
        <c:axId val="-229717616"/>
      </c:scatterChart>
      <c:valAx>
        <c:axId val="-2098347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29717616"/>
        <c:crosses val="autoZero"/>
        <c:crossBetween val="midCat"/>
      </c:valAx>
      <c:valAx>
        <c:axId val="-22971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47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29712176"/>
        <c:axId val="-229710544"/>
      </c:scatterChart>
      <c:valAx>
        <c:axId val="-229712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29710544"/>
        <c:crosses val="autoZero"/>
        <c:crossBetween val="midCat"/>
      </c:valAx>
      <c:valAx>
        <c:axId val="-22971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29712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0746432"/>
        <c:axId val="-230751872"/>
      </c:scatterChart>
      <c:valAx>
        <c:axId val="-23074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0751872"/>
        <c:crosses val="autoZero"/>
        <c:crossBetween val="midCat"/>
      </c:valAx>
      <c:valAx>
        <c:axId val="-2307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074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7560416"/>
        <c:axId val="-2037562592"/>
      </c:scatterChart>
      <c:valAx>
        <c:axId val="-2037560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7562592"/>
        <c:crosses val="autoZero"/>
        <c:crossBetween val="midCat"/>
      </c:valAx>
      <c:valAx>
        <c:axId val="-20375625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7560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5" zoomScaleNormal="85" workbookViewId="0">
      <selection activeCell="F85" sqref="F8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2.2000000000000002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0.25</v>
      </c>
      <c r="D9" s="36">
        <f t="shared" ref="D9:D18" si="0">C9*$C$5</f>
        <v>0.55000000000000004</v>
      </c>
      <c r="E9" s="37">
        <v>144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17</v>
      </c>
      <c r="C10" s="35">
        <v>0.2</v>
      </c>
      <c r="D10" s="36">
        <f t="shared" si="0"/>
        <v>0.44000000000000006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90</v>
      </c>
      <c r="C11" s="35">
        <v>0.2</v>
      </c>
      <c r="D11" s="36">
        <f t="shared" si="0"/>
        <v>0.44000000000000006</v>
      </c>
      <c r="E11" s="37">
        <v>89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39</v>
      </c>
      <c r="C12" s="35">
        <v>0.15</v>
      </c>
      <c r="D12" s="36">
        <f t="shared" si="0"/>
        <v>0.33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52</v>
      </c>
      <c r="C13" s="35">
        <v>0.1</v>
      </c>
      <c r="D13" s="36">
        <f t="shared" si="0"/>
        <v>0.22000000000000003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102</v>
      </c>
      <c r="C14" s="35">
        <v>7.0000000000000007E-2</v>
      </c>
      <c r="D14" s="36">
        <f t="shared" si="0"/>
        <v>0.15400000000000003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0.97</v>
      </c>
      <c r="D19" s="41">
        <f>SUM(D9:D18)</f>
        <v>2.1340000000000003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1">
        <f>74.25/1.3</f>
        <v>57.115384615384613</v>
      </c>
      <c r="C36" s="61"/>
      <c r="D36" s="61"/>
      <c r="E36" s="54"/>
      <c r="F36" s="54"/>
      <c r="G36" s="54"/>
      <c r="H36" s="54"/>
      <c r="I36" s="52">
        <f>IFERROR(B36/A36,"")</f>
        <v>1.9038461538461537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40</v>
      </c>
      <c r="B37" s="61">
        <f>139.84/1.3</f>
        <v>107.56923076923077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5.0453846153846156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50</v>
      </c>
      <c r="B38" s="61">
        <f>217.05/1.3</f>
        <v>166.96153846153845</v>
      </c>
      <c r="C38" s="61"/>
      <c r="D38" s="61"/>
      <c r="E38" s="54"/>
      <c r="F38" s="54"/>
      <c r="G38" s="54"/>
      <c r="H38" s="54"/>
      <c r="I38" s="56">
        <f t="shared" si="1"/>
        <v>5.9392307692307682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60</v>
      </c>
      <c r="B39" s="61">
        <f>300.73/1.3</f>
        <v>231.33076923076925</v>
      </c>
      <c r="C39" s="61"/>
      <c r="D39" s="61"/>
      <c r="E39" s="54"/>
      <c r="F39" s="54"/>
      <c r="G39" s="54"/>
      <c r="H39" s="54"/>
      <c r="I39" s="52">
        <f t="shared" si="1"/>
        <v>6.4369230769230796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67</v>
      </c>
      <c r="B40" s="61">
        <f>361.15/1.3</f>
        <v>277.80769230769226</v>
      </c>
      <c r="C40" s="61">
        <v>1</v>
      </c>
      <c r="D40" s="61">
        <f>96.36/1.3</f>
        <v>74.123076923076923</v>
      </c>
      <c r="E40" s="54"/>
      <c r="F40" s="54"/>
      <c r="G40" s="54"/>
      <c r="H40" s="54"/>
      <c r="I40" s="52">
        <f t="shared" si="1"/>
        <v>6.6395604395604311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74</v>
      </c>
      <c r="B41" s="61">
        <f>317.7/1.3</f>
        <v>244.38461538461536</v>
      </c>
      <c r="C41" s="61"/>
      <c r="D41" s="61"/>
      <c r="E41" s="54"/>
      <c r="F41" s="54"/>
      <c r="G41" s="54"/>
      <c r="H41" s="54"/>
      <c r="I41" s="56">
        <f t="shared" si="1"/>
        <v>5.8142857142857167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82</v>
      </c>
      <c r="B42" s="61">
        <f>378.3/1.3</f>
        <v>291</v>
      </c>
      <c r="C42" s="61">
        <v>2</v>
      </c>
      <c r="D42" s="61">
        <f>98.69/1.3</f>
        <v>75.91538461538461</v>
      </c>
      <c r="E42" s="54"/>
      <c r="F42" s="54"/>
      <c r="G42" s="54"/>
      <c r="H42" s="54"/>
      <c r="I42" s="56">
        <f t="shared" si="1"/>
        <v>5.8269230769230802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90</v>
      </c>
      <c r="B43" s="61">
        <f>332.2/1.3</f>
        <v>255.53846153846152</v>
      </c>
      <c r="C43" s="61"/>
      <c r="D43" s="61"/>
      <c r="E43" s="54"/>
      <c r="F43" s="54"/>
      <c r="G43" s="54"/>
      <c r="H43" s="54"/>
      <c r="I43" s="52">
        <f t="shared" si="1"/>
        <v>5.0567307692307644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99</v>
      </c>
      <c r="B44" s="61">
        <f>390.36/1.3</f>
        <v>300.27692307692308</v>
      </c>
      <c r="C44" s="61">
        <v>3</v>
      </c>
      <c r="D44" s="61">
        <f>81.84/1.3</f>
        <v>62.953846153846158</v>
      </c>
      <c r="E44" s="54"/>
      <c r="F44" s="54"/>
      <c r="G44" s="54"/>
      <c r="H44" s="54"/>
      <c r="I44" s="52">
        <f t="shared" si="1"/>
        <v>4.9709401709401737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109</v>
      </c>
      <c r="B45" s="61">
        <f>364.87/1.3</f>
        <v>280.66923076923075</v>
      </c>
      <c r="C45" s="61"/>
      <c r="D45" s="61"/>
      <c r="E45" s="54"/>
      <c r="F45" s="54"/>
      <c r="G45" s="54"/>
      <c r="H45" s="54"/>
      <c r="I45" s="52">
        <f t="shared" si="1"/>
        <v>4.3346153846153808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119</v>
      </c>
      <c r="B46" s="61">
        <f>419.62/1.3</f>
        <v>322.78461538461539</v>
      </c>
      <c r="C46" s="61">
        <v>4</v>
      </c>
      <c r="D46" s="61">
        <f>76.98/1.3</f>
        <v>59.215384615384615</v>
      </c>
      <c r="E46" s="54"/>
      <c r="F46" s="54"/>
      <c r="G46" s="54"/>
      <c r="H46" s="54"/>
      <c r="I46" s="52">
        <f t="shared" si="1"/>
        <v>4.2115384615384643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126</v>
      </c>
      <c r="B47" s="61">
        <f>376.38/1.3</f>
        <v>289.52307692307693</v>
      </c>
      <c r="C47" s="61"/>
      <c r="D47" s="61"/>
      <c r="E47" s="54"/>
      <c r="F47" s="54"/>
      <c r="G47" s="54"/>
      <c r="H47" s="54"/>
      <c r="I47" s="52">
        <f t="shared" si="1"/>
        <v>3.7076923076923061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134</v>
      </c>
      <c r="B48" s="61">
        <f>413.85/1.3</f>
        <v>318.34615384615387</v>
      </c>
      <c r="C48" s="61">
        <v>5</v>
      </c>
      <c r="D48" s="61">
        <f>206.54/1.3</f>
        <v>158.87692307692308</v>
      </c>
      <c r="E48" s="54"/>
      <c r="F48" s="54"/>
      <c r="G48" s="54"/>
      <c r="H48" s="54"/>
      <c r="I48" s="52">
        <f t="shared" si="1"/>
        <v>3.6028846153846175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139</v>
      </c>
      <c r="B49" s="61">
        <f>224.56/1.3</f>
        <v>172.73846153846154</v>
      </c>
      <c r="C49" s="61"/>
      <c r="D49" s="61"/>
      <c r="E49" s="54"/>
      <c r="F49" s="54"/>
      <c r="G49" s="54"/>
      <c r="H49" s="54"/>
      <c r="I49" s="52">
        <f t="shared" si="1"/>
        <v>2.6538461538461489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144</v>
      </c>
      <c r="B50" s="53">
        <f>239.51/1.3</f>
        <v>184.23846153846154</v>
      </c>
      <c r="C50" s="53">
        <v>6</v>
      </c>
      <c r="D50" s="53">
        <f>B50</f>
        <v>184.23846153846154</v>
      </c>
      <c r="E50" s="54"/>
      <c r="F50" s="54"/>
      <c r="G50" s="54"/>
      <c r="H50" s="54"/>
      <c r="I50" s="52">
        <f t="shared" si="1"/>
        <v>2.2999999999999998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Cyprès de Provence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v>60.8</v>
      </c>
      <c r="C62" s="61"/>
      <c r="D62" s="61"/>
      <c r="E62" s="54"/>
      <c r="F62" s="54"/>
      <c r="G62" s="54"/>
      <c r="H62" s="91"/>
      <c r="I62" s="56">
        <f>IFERROR(B62/A62,"")</f>
        <v>4.0533333333333328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v>85.7</v>
      </c>
      <c r="C63" s="61"/>
      <c r="D63" s="61"/>
      <c r="E63" s="54"/>
      <c r="F63" s="54"/>
      <c r="G63" s="54"/>
      <c r="H63" s="91"/>
      <c r="I63" s="52">
        <f>IF(A63&lt;&gt;0,(B63-(B62-D62))/(A63-A62),"")</f>
        <v>4.9800000000000013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v>109.4</v>
      </c>
      <c r="C64" s="61"/>
      <c r="D64" s="61"/>
      <c r="E64" s="91"/>
      <c r="F64" s="91"/>
      <c r="G64" s="91"/>
      <c r="H64" s="91"/>
      <c r="I64" s="52">
        <f>IF(A64&lt;&gt;0,(B64-(B63-D63))/(A64-A63),"")</f>
        <v>4.74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v>131.9</v>
      </c>
      <c r="C65" s="61"/>
      <c r="D65" s="61"/>
      <c r="E65" s="91"/>
      <c r="F65" s="91"/>
      <c r="G65" s="91"/>
      <c r="H65" s="91"/>
      <c r="I65" s="52">
        <f>IF(A65&lt;&gt;0,(B65-(B64-D64))/(A65-A64),"")</f>
        <v>4.5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v>153</v>
      </c>
      <c r="C66" s="61"/>
      <c r="D66" s="61"/>
      <c r="E66" s="91"/>
      <c r="F66" s="91"/>
      <c r="G66" s="91"/>
      <c r="H66" s="91"/>
      <c r="I66" s="52">
        <f t="shared" ref="I66:I81" si="2">IF(A66&lt;&gt;0,(B66-(B65-D65))/(A66-A65),"")</f>
        <v>4.2199999999999989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v>173</v>
      </c>
      <c r="C67" s="61"/>
      <c r="D67" s="61"/>
      <c r="E67" s="91"/>
      <c r="F67" s="91"/>
      <c r="G67" s="91"/>
      <c r="H67" s="91"/>
      <c r="I67" s="52">
        <f t="shared" si="2"/>
        <v>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1">
        <v>191.7</v>
      </c>
      <c r="C68" s="61"/>
      <c r="D68" s="61"/>
      <c r="E68" s="91"/>
      <c r="F68" s="91"/>
      <c r="G68" s="91"/>
      <c r="H68" s="91"/>
      <c r="I68" s="52">
        <f t="shared" si="2"/>
        <v>3.7399999999999975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1">
        <v>50</v>
      </c>
      <c r="B69" s="61">
        <v>209.2</v>
      </c>
      <c r="C69" s="61"/>
      <c r="D69" s="61"/>
      <c r="E69" s="91"/>
      <c r="F69" s="91"/>
      <c r="G69" s="91"/>
      <c r="H69" s="91"/>
      <c r="I69" s="52">
        <f t="shared" si="2"/>
        <v>3.5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1">
        <v>55</v>
      </c>
      <c r="B70" s="61">
        <v>225.5</v>
      </c>
      <c r="C70" s="61"/>
      <c r="D70" s="61"/>
      <c r="E70" s="91"/>
      <c r="F70" s="91"/>
      <c r="G70" s="91"/>
      <c r="H70" s="91"/>
      <c r="I70" s="52">
        <f t="shared" si="2"/>
        <v>3.2600000000000025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1">
        <v>60</v>
      </c>
      <c r="B71" s="61">
        <v>240.5</v>
      </c>
      <c r="C71" s="61"/>
      <c r="D71" s="61"/>
      <c r="E71" s="91"/>
      <c r="F71" s="91"/>
      <c r="G71" s="91"/>
      <c r="H71" s="91"/>
      <c r="I71" s="52">
        <f t="shared" si="2"/>
        <v>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1">
        <v>65</v>
      </c>
      <c r="B72" s="61">
        <v>254.3</v>
      </c>
      <c r="C72" s="61"/>
      <c r="D72" s="61"/>
      <c r="E72" s="91"/>
      <c r="F72" s="91"/>
      <c r="G72" s="91"/>
      <c r="H72" s="91"/>
      <c r="I72" s="52">
        <f t="shared" si="2"/>
        <v>2.7600000000000025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1">
        <v>70</v>
      </c>
      <c r="B73" s="61">
        <v>266.89999999999998</v>
      </c>
      <c r="C73" s="61"/>
      <c r="D73" s="61"/>
      <c r="E73" s="91"/>
      <c r="F73" s="91"/>
      <c r="G73" s="91"/>
      <c r="H73" s="91"/>
      <c r="I73" s="52">
        <f t="shared" si="2"/>
        <v>2.5199999999999934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1">
        <v>75</v>
      </c>
      <c r="B74" s="61">
        <v>278.2</v>
      </c>
      <c r="C74" s="61"/>
      <c r="D74" s="61"/>
      <c r="E74" s="66"/>
      <c r="F74" s="66"/>
      <c r="G74" s="66"/>
      <c r="H74" s="66"/>
      <c r="I74" s="52">
        <f t="shared" si="2"/>
        <v>2.2600000000000025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1">
        <v>80</v>
      </c>
      <c r="B75" s="61">
        <v>288.3</v>
      </c>
      <c r="C75" s="61"/>
      <c r="D75" s="61"/>
      <c r="E75" s="66"/>
      <c r="F75" s="66"/>
      <c r="G75" s="66"/>
      <c r="H75" s="66"/>
      <c r="I75" s="52">
        <f t="shared" si="2"/>
        <v>2.0200000000000045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1">
        <v>85</v>
      </c>
      <c r="B76" s="53">
        <v>297.2</v>
      </c>
      <c r="C76" s="61"/>
      <c r="D76" s="53"/>
      <c r="E76" s="57"/>
      <c r="F76" s="57"/>
      <c r="G76" s="57"/>
      <c r="H76" s="57"/>
      <c r="I76" s="52">
        <f t="shared" si="2"/>
        <v>1.7799999999999954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90</v>
      </c>
      <c r="B77" s="53">
        <v>304.89999999999998</v>
      </c>
      <c r="C77" s="53"/>
      <c r="D77" s="53"/>
      <c r="E77" s="54"/>
      <c r="F77" s="54"/>
      <c r="G77" s="54"/>
      <c r="H77" s="54"/>
      <c r="I77" s="52">
        <f t="shared" si="2"/>
        <v>1.5399999999999978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95</v>
      </c>
      <c r="B78" s="53">
        <v>311.3</v>
      </c>
      <c r="C78" s="53"/>
      <c r="D78" s="53"/>
      <c r="E78" s="54"/>
      <c r="F78" s="54"/>
      <c r="G78" s="54"/>
      <c r="H78" s="54"/>
      <c r="I78" s="52">
        <f t="shared" si="2"/>
        <v>1.2800000000000069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100</v>
      </c>
      <c r="B79" s="53">
        <v>316.5</v>
      </c>
      <c r="C79" s="53">
        <v>1</v>
      </c>
      <c r="D79" s="53">
        <f>B79</f>
        <v>316.5</v>
      </c>
      <c r="E79" s="54"/>
      <c r="F79" s="54"/>
      <c r="G79" s="54"/>
      <c r="H79" s="54"/>
      <c r="I79" s="52">
        <f t="shared" si="2"/>
        <v>1.0399999999999978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d'Alep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27.35/1.3</f>
        <v>21.03846153846154</v>
      </c>
      <c r="C88" s="61"/>
      <c r="D88" s="61"/>
      <c r="E88" s="54"/>
      <c r="F88" s="54"/>
      <c r="G88" s="54"/>
      <c r="H88" s="54"/>
      <c r="I88" s="56">
        <f>IFERROR(B88/A88,"")</f>
        <v>1.4025641025641027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47.03/1.3</f>
        <v>36.176923076923075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3.0276923076923068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76.1/1.3</f>
        <v>58.538461538461533</v>
      </c>
      <c r="C90" s="61"/>
      <c r="D90" s="61"/>
      <c r="E90" s="54"/>
      <c r="F90" s="54"/>
      <c r="G90" s="54"/>
      <c r="H90" s="54"/>
      <c r="I90" s="56">
        <f t="shared" si="3"/>
        <v>4.4723076923076919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112.67/1.3</f>
        <v>86.669230769230765</v>
      </c>
      <c r="C91" s="61"/>
      <c r="D91" s="61"/>
      <c r="E91" s="54"/>
      <c r="F91" s="54"/>
      <c r="G91" s="54"/>
      <c r="H91" s="54"/>
      <c r="I91" s="56">
        <f t="shared" si="3"/>
        <v>5.6261538461538461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36</v>
      </c>
      <c r="B92" s="61">
        <f>163.63/1.3</f>
        <v>125.86923076923077</v>
      </c>
      <c r="C92" s="61">
        <v>1</v>
      </c>
      <c r="D92" s="61">
        <f>45.36/1.3</f>
        <v>34.892307692307689</v>
      </c>
      <c r="E92" s="54"/>
      <c r="F92" s="54"/>
      <c r="G92" s="54"/>
      <c r="H92" s="54"/>
      <c r="I92" s="56">
        <f t="shared" si="3"/>
        <v>6.5333333333333341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44</v>
      </c>
      <c r="B93" s="61">
        <f>180.21/1.3</f>
        <v>138.62307692307692</v>
      </c>
      <c r="C93" s="61"/>
      <c r="D93" s="61"/>
      <c r="E93" s="54"/>
      <c r="F93" s="54"/>
      <c r="G93" s="54"/>
      <c r="H93" s="54"/>
      <c r="I93" s="56">
        <f t="shared" si="3"/>
        <v>5.9557692307692314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52</v>
      </c>
      <c r="B94" s="61">
        <f>247.56/1.3</f>
        <v>190.43076923076922</v>
      </c>
      <c r="C94" s="61">
        <v>2</v>
      </c>
      <c r="D94" s="61">
        <f>100.24/1.3</f>
        <v>77.107692307692304</v>
      </c>
      <c r="E94" s="54"/>
      <c r="F94" s="54"/>
      <c r="G94" s="54"/>
      <c r="H94" s="54"/>
      <c r="I94" s="56">
        <f t="shared" si="3"/>
        <v>6.4759615384615365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59</v>
      </c>
      <c r="B95" s="61">
        <f>192.41/1.3</f>
        <v>148.00769230769231</v>
      </c>
      <c r="C95" s="61"/>
      <c r="D95" s="61"/>
      <c r="E95" s="54"/>
      <c r="F95" s="54"/>
      <c r="G95" s="54"/>
      <c r="H95" s="54"/>
      <c r="I95" s="56">
        <f t="shared" si="3"/>
        <v>4.9549450549450569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66</v>
      </c>
      <c r="B96" s="61">
        <f>239.72/1.3</f>
        <v>184.4</v>
      </c>
      <c r="C96" s="61"/>
      <c r="D96" s="61"/>
      <c r="E96" s="54"/>
      <c r="F96" s="54"/>
      <c r="G96" s="54"/>
      <c r="H96" s="54"/>
      <c r="I96" s="56">
        <f t="shared" si="3"/>
        <v>5.1989010989010991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74</v>
      </c>
      <c r="B97" s="61">
        <f>295.65/1.3</f>
        <v>227.42307692307691</v>
      </c>
      <c r="C97" s="61">
        <v>3</v>
      </c>
      <c r="D97" s="61">
        <f>149.39/1.3</f>
        <v>114.9153846153846</v>
      </c>
      <c r="E97" s="54"/>
      <c r="F97" s="54"/>
      <c r="G97" s="54"/>
      <c r="H97" s="54"/>
      <c r="I97" s="56">
        <f t="shared" si="3"/>
        <v>5.3778846153846125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82</v>
      </c>
      <c r="B98" s="61">
        <f>183.15/1.3</f>
        <v>140.88461538461539</v>
      </c>
      <c r="C98" s="61"/>
      <c r="D98" s="61"/>
      <c r="E98" s="54"/>
      <c r="F98" s="54"/>
      <c r="G98" s="54"/>
      <c r="H98" s="54"/>
      <c r="I98" s="56">
        <f t="shared" si="3"/>
        <v>3.5471153846153847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89</v>
      </c>
      <c r="B99" s="61">
        <f>216.67/1.3</f>
        <v>166.66923076923075</v>
      </c>
      <c r="C99" s="61">
        <v>4</v>
      </c>
      <c r="D99" s="61">
        <f>B99</f>
        <v>166.66923076923075</v>
      </c>
      <c r="E99" s="54"/>
      <c r="F99" s="54"/>
      <c r="G99" s="54"/>
      <c r="H99" s="54"/>
      <c r="I99" s="56">
        <f t="shared" si="3"/>
        <v>3.6835164835164806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/>
      <c r="B100" s="61"/>
      <c r="C100" s="61"/>
      <c r="D100" s="61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/>
      <c r="B101" s="61"/>
      <c r="C101" s="61"/>
      <c r="D101" s="61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pignon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1">
        <f>36.82/2.4</f>
        <v>15.341666666666667</v>
      </c>
      <c r="C114" s="61"/>
      <c r="D114" s="61"/>
      <c r="E114" s="54"/>
      <c r="F114" s="54"/>
      <c r="G114" s="54"/>
      <c r="H114" s="54"/>
      <c r="I114" s="56">
        <f>IFERROR(B114/A114,"")</f>
        <v>1.5341666666666667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(79.16+4.6)/2.4</f>
        <v>34.9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1.9558333333333331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(117.39+4.6+9.5)/2.4</f>
        <v>54.787500000000009</v>
      </c>
      <c r="C116" s="61">
        <v>1</v>
      </c>
      <c r="D116" s="61">
        <f>(4.6+9.5+13.2)/2.4</f>
        <v>11.375</v>
      </c>
      <c r="E116" s="54"/>
      <c r="F116" s="54"/>
      <c r="G116" s="54"/>
      <c r="H116" s="54">
        <v>1</v>
      </c>
      <c r="I116" s="56">
        <f t="shared" si="4"/>
        <v>1.9887500000000009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1">
        <f>150.4/2.4</f>
        <v>62.666666666666671</v>
      </c>
      <c r="C117" s="61">
        <v>2</v>
      </c>
      <c r="D117" s="61">
        <f>16.8/2.4</f>
        <v>7.0000000000000009</v>
      </c>
      <c r="E117" s="54"/>
      <c r="F117" s="54"/>
      <c r="G117" s="54"/>
      <c r="H117" s="54"/>
      <c r="I117" s="56">
        <f t="shared" si="4"/>
        <v>1.9254166666666663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50</v>
      </c>
      <c r="B118" s="61">
        <f>178.53/2.4</f>
        <v>74.387500000000003</v>
      </c>
      <c r="C118" s="61">
        <v>3</v>
      </c>
      <c r="D118" s="61">
        <f>18.6/2.4</f>
        <v>7.7500000000000009</v>
      </c>
      <c r="E118" s="54"/>
      <c r="F118" s="54"/>
      <c r="G118" s="54"/>
      <c r="H118" s="54"/>
      <c r="I118" s="56">
        <f t="shared" si="4"/>
        <v>1.8720833333333331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60</v>
      </c>
      <c r="B119" s="61">
        <f>202.47/2.4</f>
        <v>84.362499999999997</v>
      </c>
      <c r="C119" s="61">
        <v>4</v>
      </c>
      <c r="D119" s="61">
        <f>19.8/2.4</f>
        <v>8.25</v>
      </c>
      <c r="E119" s="54"/>
      <c r="F119" s="54"/>
      <c r="G119" s="54"/>
      <c r="H119" s="54"/>
      <c r="I119" s="56">
        <f t="shared" si="4"/>
        <v>1.7724999999999995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70</v>
      </c>
      <c r="B120" s="61">
        <f>222.87/2.4</f>
        <v>92.862500000000011</v>
      </c>
      <c r="C120" s="61">
        <v>5</v>
      </c>
      <c r="D120" s="61">
        <f>20.4/2.4</f>
        <v>8.5</v>
      </c>
      <c r="E120" s="54"/>
      <c r="F120" s="54"/>
      <c r="G120" s="54"/>
      <c r="H120" s="54"/>
      <c r="I120" s="56">
        <f t="shared" si="4"/>
        <v>1.6750000000000014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80</v>
      </c>
      <c r="B121" s="53">
        <f>240.35/2.4</f>
        <v>100.14583333333333</v>
      </c>
      <c r="C121" s="53">
        <v>6</v>
      </c>
      <c r="D121" s="53">
        <f>22/2.4</f>
        <v>9.1666666666666679</v>
      </c>
      <c r="E121" s="54"/>
      <c r="F121" s="54"/>
      <c r="G121" s="54"/>
      <c r="H121" s="54"/>
      <c r="I121" s="56">
        <f t="shared" si="4"/>
        <v>1.5783333333333318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90</v>
      </c>
      <c r="B122" s="53">
        <f>255.38/2.4</f>
        <v>106.40833333333333</v>
      </c>
      <c r="C122" s="53">
        <v>7</v>
      </c>
      <c r="D122" s="53">
        <f>22/2.4</f>
        <v>9.1666666666666679</v>
      </c>
      <c r="E122" s="54"/>
      <c r="F122" s="54"/>
      <c r="G122" s="54"/>
      <c r="H122" s="54"/>
      <c r="I122" s="56">
        <f t="shared" si="4"/>
        <v>1.5429166666666674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100</v>
      </c>
      <c r="B123" s="53">
        <f>268.38/2.4</f>
        <v>111.825</v>
      </c>
      <c r="C123" s="53">
        <v>8</v>
      </c>
      <c r="D123" s="53">
        <f>21.9/2.4</f>
        <v>9.125</v>
      </c>
      <c r="E123" s="54"/>
      <c r="F123" s="54"/>
      <c r="G123" s="54"/>
      <c r="H123" s="54"/>
      <c r="I123" s="56">
        <f t="shared" si="4"/>
        <v>1.4583333333333344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110</v>
      </c>
      <c r="B124" s="53">
        <f>279.68/2.4</f>
        <v>116.53333333333335</v>
      </c>
      <c r="C124" s="53">
        <v>9</v>
      </c>
      <c r="D124" s="53">
        <f>21.7/2.4</f>
        <v>9.0416666666666661</v>
      </c>
      <c r="E124" s="54"/>
      <c r="F124" s="54"/>
      <c r="G124" s="54"/>
      <c r="H124" s="54"/>
      <c r="I124" s="56">
        <f t="shared" si="4"/>
        <v>1.3833333333333342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120</v>
      </c>
      <c r="B125" s="53">
        <f>289.54/2.4</f>
        <v>120.64166666666668</v>
      </c>
      <c r="C125" s="53">
        <v>10</v>
      </c>
      <c r="D125" s="53">
        <f>21.3/2.4</f>
        <v>8.875</v>
      </c>
      <c r="E125" s="54"/>
      <c r="F125" s="54"/>
      <c r="G125" s="54"/>
      <c r="H125" s="54"/>
      <c r="I125" s="56">
        <f t="shared" si="4"/>
        <v>1.3150000000000006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130</v>
      </c>
      <c r="B126" s="53">
        <f>298.18/2.4</f>
        <v>124.24166666666667</v>
      </c>
      <c r="C126" s="53">
        <v>11</v>
      </c>
      <c r="D126" s="53">
        <f>20.9/2.4</f>
        <v>8.7083333333333339</v>
      </c>
      <c r="E126" s="54"/>
      <c r="F126" s="54"/>
      <c r="G126" s="54"/>
      <c r="H126" s="54"/>
      <c r="I126" s="56">
        <f t="shared" si="4"/>
        <v>1.2474999999999994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140</v>
      </c>
      <c r="B127" s="53">
        <f>305.79/2.4</f>
        <v>127.41250000000001</v>
      </c>
      <c r="C127" s="53">
        <v>12</v>
      </c>
      <c r="D127" s="53">
        <f>20.5/2.4</f>
        <v>8.5416666666666679</v>
      </c>
      <c r="E127" s="54"/>
      <c r="F127" s="54"/>
      <c r="G127" s="54"/>
      <c r="H127" s="54"/>
      <c r="I127" s="56">
        <f t="shared" si="4"/>
        <v>1.1879166666666663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150</v>
      </c>
      <c r="B128" s="53">
        <f>312.51/2.4</f>
        <v>130.21250000000001</v>
      </c>
      <c r="C128" s="53">
        <v>13</v>
      </c>
      <c r="D128" s="53">
        <f>B128</f>
        <v>130.21250000000001</v>
      </c>
      <c r="E128" s="54"/>
      <c r="F128" s="54"/>
      <c r="G128" s="54"/>
      <c r="H128" s="54"/>
      <c r="I128" s="56">
        <f t="shared" si="4"/>
        <v>1.1341666666666668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Cormier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1">
        <v>30</v>
      </c>
      <c r="C140" s="61"/>
      <c r="D140" s="61"/>
      <c r="E140" s="54"/>
      <c r="F140" s="54"/>
      <c r="G140" s="54"/>
      <c r="H140" s="54"/>
      <c r="I140" s="59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1">
        <v>54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1">
        <f>66+13</f>
        <v>79</v>
      </c>
      <c r="C142" s="61">
        <v>1</v>
      </c>
      <c r="D142" s="61">
        <v>13</v>
      </c>
      <c r="E142" s="54"/>
      <c r="F142" s="54"/>
      <c r="G142" s="54"/>
      <c r="H142" s="54"/>
      <c r="I142" s="59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1">
        <f>79+14</f>
        <v>93</v>
      </c>
      <c r="C143" s="61"/>
      <c r="D143" s="61"/>
      <c r="E143" s="54"/>
      <c r="F143" s="54"/>
      <c r="G143" s="54"/>
      <c r="H143" s="54"/>
      <c r="I143" s="59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1">
        <f>93+14+14</f>
        <v>121</v>
      </c>
      <c r="C144" s="61">
        <v>2</v>
      </c>
      <c r="D144" s="61">
        <f>14+14</f>
        <v>28</v>
      </c>
      <c r="E144" s="54"/>
      <c r="F144" s="54"/>
      <c r="G144" s="54"/>
      <c r="H144" s="54"/>
      <c r="I144" s="59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1">
        <f>107+14</f>
        <v>121</v>
      </c>
      <c r="C145" s="61"/>
      <c r="D145" s="61"/>
      <c r="E145" s="54"/>
      <c r="F145" s="54"/>
      <c r="G145" s="54"/>
      <c r="H145" s="54"/>
      <c r="I145" s="59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1">
        <f>121+14+14</f>
        <v>149</v>
      </c>
      <c r="C146" s="61">
        <v>3</v>
      </c>
      <c r="D146" s="61">
        <f>14+14</f>
        <v>28</v>
      </c>
      <c r="E146" s="54"/>
      <c r="F146" s="54"/>
      <c r="G146" s="54"/>
      <c r="H146" s="54"/>
      <c r="I146" s="59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53">
        <v>148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53">
        <v>175</v>
      </c>
      <c r="C148" s="53">
        <v>4</v>
      </c>
      <c r="D148" s="53">
        <v>28</v>
      </c>
      <c r="E148" s="54"/>
      <c r="F148" s="54"/>
      <c r="G148" s="54"/>
      <c r="H148" s="54"/>
      <c r="I148" s="59">
        <f t="shared" si="5"/>
        <v>5.4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53">
        <v>172</v>
      </c>
      <c r="C149" s="53"/>
      <c r="D149" s="53"/>
      <c r="E149" s="54"/>
      <c r="F149" s="54"/>
      <c r="G149" s="54"/>
      <c r="H149" s="54"/>
      <c r="I149" s="59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53">
        <v>197</v>
      </c>
      <c r="C150" s="53">
        <v>5</v>
      </c>
      <c r="D150" s="53">
        <v>28</v>
      </c>
      <c r="E150" s="54"/>
      <c r="F150" s="54"/>
      <c r="G150" s="54"/>
      <c r="H150" s="54"/>
      <c r="I150" s="59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53">
        <v>192</v>
      </c>
      <c r="C151" s="53"/>
      <c r="D151" s="53"/>
      <c r="E151" s="54"/>
      <c r="F151" s="54"/>
      <c r="G151" s="54"/>
      <c r="H151" s="54"/>
      <c r="I151" s="59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53">
        <v>214</v>
      </c>
      <c r="C152" s="53">
        <v>6</v>
      </c>
      <c r="D152" s="53">
        <v>28</v>
      </c>
      <c r="E152" s="54"/>
      <c r="F152" s="54"/>
      <c r="G152" s="54"/>
      <c r="H152" s="54"/>
      <c r="I152" s="59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207</v>
      </c>
      <c r="C153" s="53"/>
      <c r="D153" s="53"/>
      <c r="E153" s="54"/>
      <c r="F153" s="54"/>
      <c r="G153" s="54"/>
      <c r="H153" s="54"/>
      <c r="I153" s="59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244</v>
      </c>
      <c r="C154" s="53">
        <v>7</v>
      </c>
      <c r="D154" s="53">
        <v>42</v>
      </c>
      <c r="E154" s="54"/>
      <c r="F154" s="54"/>
      <c r="G154" s="54"/>
      <c r="H154" s="54"/>
      <c r="I154" s="59">
        <f t="shared" si="5"/>
        <v>3.7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233</v>
      </c>
      <c r="C155" s="53"/>
      <c r="D155" s="53"/>
      <c r="E155" s="54"/>
      <c r="F155" s="54"/>
      <c r="G155" s="54"/>
      <c r="H155" s="54"/>
      <c r="I155" s="59">
        <f t="shared" si="5"/>
        <v>3.1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261</v>
      </c>
      <c r="C156" s="53">
        <v>8</v>
      </c>
      <c r="D156" s="53">
        <v>52</v>
      </c>
      <c r="E156" s="54"/>
      <c r="F156" s="54"/>
      <c r="G156" s="54"/>
      <c r="H156" s="54"/>
      <c r="I156" s="59">
        <f t="shared" si="5"/>
        <v>2.8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231</v>
      </c>
      <c r="C157" s="53"/>
      <c r="D157" s="53"/>
      <c r="E157" s="54"/>
      <c r="F157" s="54"/>
      <c r="G157" s="54"/>
      <c r="H157" s="54"/>
      <c r="I157" s="59">
        <f t="shared" si="5"/>
        <v>2.2000000000000002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248</v>
      </c>
      <c r="C158" s="53"/>
      <c r="D158" s="53"/>
      <c r="E158" s="54"/>
      <c r="F158" s="54"/>
      <c r="G158" s="54"/>
      <c r="H158" s="54"/>
      <c r="I158" s="59">
        <f t="shared" si="5"/>
        <v>1.7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262</v>
      </c>
      <c r="C159" s="53">
        <v>9</v>
      </c>
      <c r="D159" s="53">
        <v>262</v>
      </c>
      <c r="E159" s="54"/>
      <c r="F159" s="54"/>
      <c r="G159" s="54"/>
      <c r="H159" s="54"/>
      <c r="I159" s="59">
        <f t="shared" si="5"/>
        <v>1.4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Micocoulier de Provence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1">
        <v>30</v>
      </c>
      <c r="C166" s="61"/>
      <c r="D166" s="61"/>
      <c r="E166" s="54"/>
      <c r="F166" s="54"/>
      <c r="G166" s="54"/>
      <c r="H166" s="54"/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1">
        <v>54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4.8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1">
        <f>66+13</f>
        <v>79</v>
      </c>
      <c r="C168" s="61">
        <v>1</v>
      </c>
      <c r="D168" s="61">
        <v>13</v>
      </c>
      <c r="E168" s="54"/>
      <c r="F168" s="54"/>
      <c r="G168" s="54"/>
      <c r="H168" s="54"/>
      <c r="I168" s="52">
        <f t="shared" si="6"/>
        <v>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1">
        <f>79+14</f>
        <v>93</v>
      </c>
      <c r="C169" s="61"/>
      <c r="D169" s="61"/>
      <c r="E169" s="54"/>
      <c r="F169" s="54"/>
      <c r="G169" s="54"/>
      <c r="H169" s="54"/>
      <c r="I169" s="52">
        <f t="shared" si="6"/>
        <v>5.4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1">
        <f>93+14+14</f>
        <v>121</v>
      </c>
      <c r="C170" s="61">
        <v>2</v>
      </c>
      <c r="D170" s="61">
        <f>14+14</f>
        <v>28</v>
      </c>
      <c r="E170" s="54"/>
      <c r="F170" s="54"/>
      <c r="G170" s="54"/>
      <c r="H170" s="54"/>
      <c r="I170" s="52">
        <f t="shared" si="6"/>
        <v>5.6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1">
        <f>107+14</f>
        <v>121</v>
      </c>
      <c r="C171" s="61"/>
      <c r="D171" s="61"/>
      <c r="E171" s="54"/>
      <c r="F171" s="54"/>
      <c r="G171" s="54"/>
      <c r="H171" s="54"/>
      <c r="I171" s="52">
        <f t="shared" si="6"/>
        <v>5.6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1">
        <f>121+14+14</f>
        <v>149</v>
      </c>
      <c r="C172" s="61">
        <v>3</v>
      </c>
      <c r="D172" s="61">
        <f>14+14</f>
        <v>28</v>
      </c>
      <c r="E172" s="54"/>
      <c r="F172" s="54"/>
      <c r="G172" s="54"/>
      <c r="H172" s="54"/>
      <c r="I172" s="52">
        <f t="shared" si="6"/>
        <v>5.6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148</v>
      </c>
      <c r="C173" s="53"/>
      <c r="D173" s="53"/>
      <c r="E173" s="54"/>
      <c r="F173" s="54"/>
      <c r="G173" s="54"/>
      <c r="H173" s="54"/>
      <c r="I173" s="52">
        <f t="shared" si="6"/>
        <v>5.4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175</v>
      </c>
      <c r="C174" s="53">
        <v>4</v>
      </c>
      <c r="D174" s="53">
        <v>28</v>
      </c>
      <c r="E174" s="54"/>
      <c r="F174" s="54"/>
      <c r="G174" s="54"/>
      <c r="H174" s="54"/>
      <c r="I174" s="52">
        <f t="shared" si="6"/>
        <v>5.4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172</v>
      </c>
      <c r="C175" s="53"/>
      <c r="D175" s="53"/>
      <c r="E175" s="54"/>
      <c r="F175" s="54"/>
      <c r="G175" s="54"/>
      <c r="H175" s="54"/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197</v>
      </c>
      <c r="C176" s="53">
        <v>5</v>
      </c>
      <c r="D176" s="53">
        <v>28</v>
      </c>
      <c r="E176" s="54"/>
      <c r="F176" s="54"/>
      <c r="G176" s="54"/>
      <c r="H176" s="54"/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192</v>
      </c>
      <c r="C177" s="53"/>
      <c r="D177" s="53"/>
      <c r="E177" s="54"/>
      <c r="F177" s="54"/>
      <c r="G177" s="54"/>
      <c r="H177" s="54"/>
      <c r="I177" s="52">
        <f t="shared" si="6"/>
        <v>4.5999999999999996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214</v>
      </c>
      <c r="C178" s="53">
        <v>6</v>
      </c>
      <c r="D178" s="53">
        <v>28</v>
      </c>
      <c r="E178" s="54"/>
      <c r="F178" s="54"/>
      <c r="G178" s="54"/>
      <c r="H178" s="54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207</v>
      </c>
      <c r="C179" s="53"/>
      <c r="D179" s="53"/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244</v>
      </c>
      <c r="C180" s="53">
        <v>7</v>
      </c>
      <c r="D180" s="53">
        <v>42</v>
      </c>
      <c r="E180" s="54"/>
      <c r="F180" s="54"/>
      <c r="G180" s="54"/>
      <c r="H180" s="54"/>
      <c r="I180" s="52">
        <f t="shared" si="6"/>
        <v>3.7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233</v>
      </c>
      <c r="C181" s="53"/>
      <c r="D181" s="53"/>
      <c r="E181" s="54"/>
      <c r="F181" s="54"/>
      <c r="G181" s="54"/>
      <c r="H181" s="54"/>
      <c r="I181" s="52">
        <f t="shared" si="6"/>
        <v>3.1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261</v>
      </c>
      <c r="C182" s="53">
        <v>8</v>
      </c>
      <c r="D182" s="53">
        <v>52</v>
      </c>
      <c r="E182" s="54"/>
      <c r="F182" s="54"/>
      <c r="G182" s="54"/>
      <c r="H182" s="54"/>
      <c r="I182" s="52">
        <f t="shared" si="6"/>
        <v>2.8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231</v>
      </c>
      <c r="C183" s="53"/>
      <c r="D183" s="53"/>
      <c r="E183" s="54"/>
      <c r="F183" s="54"/>
      <c r="G183" s="54"/>
      <c r="H183" s="54"/>
      <c r="I183" s="52">
        <f t="shared" si="6"/>
        <v>2.2000000000000002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248</v>
      </c>
      <c r="C184" s="53"/>
      <c r="D184" s="53"/>
      <c r="E184" s="54"/>
      <c r="F184" s="54"/>
      <c r="G184" s="54"/>
      <c r="H184" s="54"/>
      <c r="I184" s="52">
        <f t="shared" si="6"/>
        <v>1.7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262</v>
      </c>
      <c r="C185" s="53">
        <v>9</v>
      </c>
      <c r="D185" s="53">
        <v>262</v>
      </c>
      <c r="E185" s="54"/>
      <c r="F185" s="54"/>
      <c r="G185" s="54"/>
      <c r="H185" s="54"/>
      <c r="I185" s="52">
        <f t="shared" si="6"/>
        <v>1.4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53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53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53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53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53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53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53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61"/>
      <c r="C199" s="53"/>
      <c r="D199" s="61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61"/>
      <c r="C200" s="53"/>
      <c r="D200" s="61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61"/>
      <c r="C201" s="53"/>
      <c r="D201" s="61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61"/>
      <c r="C202" s="53"/>
      <c r="D202" s="61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61"/>
      <c r="C203" s="53"/>
      <c r="D203" s="61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61"/>
      <c r="C204" s="53"/>
      <c r="D204" s="61"/>
      <c r="E204" s="57"/>
      <c r="F204" s="57"/>
      <c r="G204" s="57"/>
      <c r="H204" s="5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1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281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281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281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281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281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281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281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281"/>
      <c r="B232" s="53"/>
      <c r="C232" s="53"/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281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281"/>
      <c r="B234" s="53"/>
      <c r="C234" s="53"/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281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281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281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/>
      <c r="B251" s="53"/>
      <c r="C251" s="53"/>
      <c r="D251" s="53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/>
      <c r="B252" s="53"/>
      <c r="C252" s="53"/>
      <c r="D252" s="5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281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281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281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281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281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281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281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281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281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281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281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281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281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9" sqref="B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1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Cèdre de l'Atlas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Cyprès de Provence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Pin d'Alep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Pin pignon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Cormier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Micocoulier de Provence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135.66666666666666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117.33333333333333</v>
      </c>
      <c r="S3" s="60">
        <f ca="1">AVERAGE(OFFSET($R$3,0,0,'Données projet'!$E$9+1,1))-AVERAGE(OFFSET($H$3,0,0,'Données projet'!$E$9+1,1))</f>
        <v>291.44524568678776</v>
      </c>
      <c r="T3" s="60">
        <f>IF('Données projet'!E9&gt;30,$R$33-$H$33,LOOKUP('Données projet'!$E$9,$A$3:$A$203,R3:R203)-LOOKUP('Données projet'!$E$9,$A$3:$A$203,$H$3:$H$203))</f>
        <v>136.43373205899937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117.33333333333333</v>
      </c>
      <c r="AN3" s="60">
        <f ca="1">AVERAGE(OFFSET($AM$3,0,0,'Données projet'!$E$10+1,1))-AVERAGE(OFFSET($H$3,0,0,'Données projet'!$E$10+1,1))</f>
        <v>300.72820267660154</v>
      </c>
      <c r="AO3" s="60">
        <f>IF('Données projet'!E10&gt;30,$AM$33-$H$33,LOOKUP('Données projet'!$E$10,$A$3:$A$203,AM3:AM203)-LOOKUP('Données projet'!$E$10,$A$3:$A$203,$H$3:$H$203))</f>
        <v>228.35388778608589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117.33333333333333</v>
      </c>
      <c r="BI3" s="60">
        <f ca="1">AVERAGE(OFFSET($BH$3,0,0,'Données projet'!$E$11+1,1))-AVERAGE(OFFSET($H$3,0,0,'Données projet'!$E$11+1,1))</f>
        <v>221.18884567967481</v>
      </c>
      <c r="BJ3" s="60">
        <f>IF('Données projet'!E11&gt;30,$BH$33-$H$33,LOOKUP('Données projet'!$E$11,$A$3:$A$203,BH3:BH203)-LOOKUP('Données projet'!$E$11,$A$3:$A$203,$H$3:$H$203))</f>
        <v>189.31596996710888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117.33333333333333</v>
      </c>
      <c r="CD3" s="60">
        <f ca="1">AVERAGE(OFFSET($CC$3,0,0,'Données projet'!$E$12+1,1))-AVERAGE(OFFSET($H$3,0,0,'Données projet'!$E$12+1,1))</f>
        <v>314.72063458462026</v>
      </c>
      <c r="CE3" s="60">
        <f>IF('Données projet'!E12&gt;30,$CC$33-$H$33,LOOKUP('Données projet'!$E$12,$A$3:$A$203,CC3:CC203)-LOOKUP('Données projet'!$E$12,$A$3:$A$203,$H$3:$H$203))</f>
        <v>216.4380325968244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117.33333333333333</v>
      </c>
      <c r="CY3" s="60">
        <f ca="1">AVERAGE(OFFSET($CX$3,0,0,'Données projet'!$E$13+1,1))-AVERAGE(OFFSET($H$3,0,0,'Données projet'!$E$13+1,1))</f>
        <v>465.51503238626822</v>
      </c>
      <c r="CZ3" s="60">
        <f>IF('Données projet'!E13&gt;30,$CX$33-$H$33,LOOKUP('Données projet'!$E$13,$A$3:$A$203,CX3:CX203)-LOOKUP('Données projet'!$E$13,$A$3:$A$203,$H$3:$H$203))</f>
        <v>205.55320107663496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117.33333333333333</v>
      </c>
      <c r="DT3" s="60">
        <f ca="1">AVERAGE(OFFSET($DS$3,0,0,'Données projet'!$E$14+1,1))-AVERAGE(OFFSET($H$3,0,0,'Données projet'!$E$14+1,1))</f>
        <v>393.79546872270964</v>
      </c>
      <c r="DU3" s="60">
        <f>IF('Données projet'!E14&gt;30,$DS$33-$H$33,LOOKUP('Données projet'!$E$14,$A$3:$A$203,DS3:DS203)-LOOKUP('Données projet'!$E$14,$A$3:$A$203,$H$3:$H$203))</f>
        <v>179.7333990060757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135.66666666666666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1.9038461538461537</v>
      </c>
      <c r="N4" s="14">
        <f>IF('Données projet'!$A$36&gt;35,N3+M4-V3,IF(A4&lt;'Données projet'!$A$36,$K$205^A4,IF(A4='Données projet'!$A$36,'Données projet'!$B$36,N3+M4-V3)))</f>
        <v>1.1443488482713908</v>
      </c>
      <c r="O4" s="14">
        <f>N4*VLOOKUP('Données projet'!$B$9,Paramètres!$A$1:$I$89,3,0)*VLOOKUP('Données projet'!$B$9,Paramètres!$A$1:$I$89,5,0)</f>
        <v>0.53555526099101092</v>
      </c>
      <c r="P4" s="14">
        <f>EXP(-1.0587+0.8836*LN(O4)+0.284)</f>
        <v>0.26541382169941813</v>
      </c>
      <c r="Q4" s="22">
        <f t="shared" ref="Q4:Q34" si="2">(O4+P4)*0.475*44/12</f>
        <v>1.3950211523524969</v>
      </c>
      <c r="R4" s="60">
        <f t="shared" si="0"/>
        <v>122.36769853857453</v>
      </c>
      <c r="S4" s="60">
        <f ca="1">AVERAGE(OFFSET($R$3,0,0,'Données projet'!$E$9+1,1))-AVERAGE(OFFSET($H$3,0,0,'Données projet'!$E$9+1,1))</f>
        <v>291.44524568678776</v>
      </c>
      <c r="T4" s="60">
        <f>$T$3</f>
        <v>136.43373205899937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4.0533333333333328</v>
      </c>
      <c r="AI4" s="14">
        <f>IF('Données projet'!$A$62&gt;35,AI3+AH4-AQ3,IF(A4&lt;'Données projet'!$A$62,$AF$205^A4,IF(A4='Données projet'!$A$62,'Données projet'!$B$62,AI3+AH4-AQ3)))</f>
        <v>1.3150034895347604</v>
      </c>
      <c r="AJ4" s="14">
        <f>AI4*VLOOKUP('Données projet'!$B$10,Paramètres!$A$1:$I$89,3,0)*VLOOKUP('Données projet'!$B$10,Paramètres!$A$1:$I$89,5,0)</f>
        <v>0.68380181455807543</v>
      </c>
      <c r="AK4" s="14">
        <f>EXP(-1.0587+0.8836*LN(AJ4)+0.284)</f>
        <v>0.32937939902629387</v>
      </c>
      <c r="AL4" s="22">
        <f t="shared" ref="AL4:AL67" si="4">(AJ4+AK4)*0.475*44/12</f>
        <v>1.764623946992776</v>
      </c>
      <c r="AM4" s="60">
        <f t="shared" ref="AM4:AM67" si="5">AL4+(AD4+AE4)*44/12</f>
        <v>122.7373013332148</v>
      </c>
      <c r="AN4" s="60">
        <f ca="1">AVERAGE(OFFSET($AM$3,0,0,'Données projet'!$E$10+1,1))-AVERAGE(OFFSET($H$3,0,0,'Données projet'!$E$10+1,1))</f>
        <v>300.72820267660154</v>
      </c>
      <c r="AO4" s="60">
        <f>$AO$3</f>
        <v>228.35388778608589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1.4025641025641027</v>
      </c>
      <c r="BD4" s="13">
        <f>IF('Données projet'!$A$88&gt;35,BD3+BC4-BL3,IF(A4&lt;'Données projet'!$A$88,$BA$205^A4,IF(A4='Données projet'!$A$88,'Données projet'!$B$88,BD3+BC4-BL3)))</f>
        <v>1.2251829146849735</v>
      </c>
      <c r="BE4" s="14">
        <f>BD4*VLOOKUP('Données projet'!$B$11,Paramètres!$A$1:$I$89,3,0)*VLOOKUP('Données projet'!$B$11,Paramètres!$A$1:$I$89,5,0)</f>
        <v>0.71673200509070967</v>
      </c>
      <c r="BF4" s="14">
        <f>EXP(-1.0587+0.8836*LN(BE4)+0.284)</f>
        <v>0.34335654603330507</v>
      </c>
      <c r="BG4" s="22">
        <f t="shared" ref="BG4:BG67" si="7">(BE4+BF4)*0.475*44/12</f>
        <v>1.8463208932076591</v>
      </c>
      <c r="BH4" s="60">
        <f t="shared" ref="BH4:BH67" si="8">BG4+(AY4+AZ4)*44/12</f>
        <v>122.81899827942969</v>
      </c>
      <c r="BI4" s="60">
        <f ca="1">AVERAGE(OFFSET($BH$3,0,0,'Données projet'!$E$11+1,1))-AVERAGE(OFFSET($H$3,0,0,'Données projet'!$E$11+1,1))</f>
        <v>221.18884567967481</v>
      </c>
      <c r="BJ4" s="60">
        <f>$BJ$3</f>
        <v>189.31596996710888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1.5341666666666667</v>
      </c>
      <c r="BY4" s="13">
        <f>IF('Données projet'!$A$114&gt;35,BY3+BX4-CG3,IF(A4&lt;'Données projet'!$A$114,$BV$205^A4,IF(A4='Données projet'!$A$114,'Données projet'!$B$114,BY3+BX4-CG3)))</f>
        <v>1.3139754596796083</v>
      </c>
      <c r="BZ4" s="14">
        <f>BY4*VLOOKUP('Données projet'!$B$12,Paramètres!$A$1:$I$89,3,0)*VLOOKUP('Données projet'!$B$12,Paramètres!$A$1:$I$89,5,0)</f>
        <v>1.5136997295509085</v>
      </c>
      <c r="CA4" s="14">
        <f>EXP(-1.0587+0.8836*LN(BZ4)+0.284)</f>
        <v>0.66471453171137918</v>
      </c>
      <c r="CB4" s="22">
        <f t="shared" ref="CB4:CB67" si="10">(BZ4+CA4)*0.475*44/12</f>
        <v>3.7940715050318166</v>
      </c>
      <c r="CC4" s="60">
        <f t="shared" ref="CC4:CC67" si="11">CB4+(BT4+BU4)*44/12</f>
        <v>124.76674889125385</v>
      </c>
      <c r="CD4" s="60">
        <f ca="1">AVERAGE(OFFSET($CC$3,0,0,'Données projet'!$E$12+1,1))-AVERAGE(OFFSET($H$3,0,0,'Données projet'!$E$12+1,1))</f>
        <v>314.72063458462026</v>
      </c>
      <c r="CE4" s="60">
        <f>$CE$3</f>
        <v>216.4380325968244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1.233271056696907</v>
      </c>
      <c r="CV4" s="14">
        <f>EXP(-1.0587+0.8836*LN(CU4)+0.284)</f>
        <v>0.55464025923604754</v>
      </c>
      <c r="CW4" s="22">
        <f t="shared" ref="CW4:CW67" si="13">(CU4+CV4)*0.475*44/12</f>
        <v>3.113945541916562</v>
      </c>
      <c r="CX4" s="60">
        <f t="shared" ref="CX4:CX67" si="14">CW4+(CO4+CP4)*44/12</f>
        <v>124.0866229281386</v>
      </c>
      <c r="CY4" s="60">
        <f ca="1">AVERAGE(OFFSET($CX$3,0,0,'Données projet'!$E$13+1,1))-AVERAGE(OFFSET($H$3,0,0,'Données projet'!$E$13+1,1))</f>
        <v>465.51503238626822</v>
      </c>
      <c r="CZ4" s="60">
        <f>$CZ$3</f>
        <v>205.55320107663496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1.1457367676485573</v>
      </c>
      <c r="DP4" s="18">
        <f>DO4*VLOOKUP('Données projet'!$B$14,Paramètres!$A$1:$I$89,3,0)*VLOOKUP('Données projet'!$B$14,Paramètres!$A$1:$I$89,5,0)</f>
        <v>0.98304214664246214</v>
      </c>
      <c r="DQ4" s="14">
        <f>EXP(-1.0587+0.8836*LN(DP4)+0.284)</f>
        <v>0.45392991643465513</v>
      </c>
      <c r="DR4" s="22">
        <f t="shared" ref="DR4:DR67" si="16">(DP4+DQ4)*0.475*44/12</f>
        <v>2.5027263431926459</v>
      </c>
      <c r="DS4" s="60">
        <f t="shared" ref="DS4:DS67" si="17">DR4+(DJ4+DK4)*44/12</f>
        <v>123.47540372941468</v>
      </c>
      <c r="DT4" s="60">
        <f ca="1">AVERAGE(OFFSET($DS$3,0,0,'Données projet'!$E$14+1,1))-AVERAGE(OFFSET($H$3,0,0,'Données projet'!$E$14+1,1))</f>
        <v>393.79546872270964</v>
      </c>
      <c r="DU4" s="60">
        <f>$DU$3</f>
        <v>179.7333990060757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135.66666666666666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1.9038461538461537</v>
      </c>
      <c r="N5" s="14">
        <f>IF('Données projet'!$A$36&gt;35,N4+M5-V4,IF(A5&lt;'Données projet'!$A$36,$K$205^A5,IF(A5='Données projet'!$A$36,'Données projet'!$B$36,N4+M5-V4)))</f>
        <v>1.3095342865400588</v>
      </c>
      <c r="O5" s="14">
        <f>N5*VLOOKUP('Données projet'!$B$9,Paramètres!$A$1:$I$89,3,0)*VLOOKUP('Données projet'!$B$9,Paramètres!$A$1:$I$89,5,0)</f>
        <v>0.61286204610074746</v>
      </c>
      <c r="P5" s="14">
        <f t="shared" ref="P5:P68" si="33">EXP(-1.0587+0.8836*LN(O5)+0.284)</f>
        <v>0.29899626983106842</v>
      </c>
      <c r="Q5" s="22">
        <f t="shared" si="2"/>
        <v>1.5881532335812458</v>
      </c>
      <c r="R5" s="60">
        <f t="shared" si="0"/>
        <v>126.15824301280477</v>
      </c>
      <c r="S5" s="60">
        <f ca="1">AVERAGE(OFFSET($R$3,0,0,'Données projet'!$E$9+1,1))-AVERAGE(OFFSET($H$3,0,0,'Données projet'!$E$9+1,1))</f>
        <v>291.44524568678776</v>
      </c>
      <c r="T5" s="60">
        <f t="shared" ref="T5:T68" si="34">$T$3</f>
        <v>136.43373205899937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4.0533333333333328</v>
      </c>
      <c r="AI5" s="14">
        <f>IF('Données projet'!$A$62&gt;35,AI4+AH5-AQ4,IF(A5&lt;'Données projet'!$A$62,$AF$205^A5,IF(A5='Données projet'!$A$62,'Données projet'!$B$62,AI4+AH5-AQ4)))</f>
        <v>1.7292341774885969</v>
      </c>
      <c r="AJ5" s="14">
        <f>AI5*VLOOKUP('Données projet'!$B$10,Paramètres!$A$1:$I$89,3,0)*VLOOKUP('Données projet'!$B$10,Paramètres!$A$1:$I$89,5,0)</f>
        <v>0.89920177229407039</v>
      </c>
      <c r="AK5" s="14">
        <f t="shared" ref="AK5:AK68" si="35">EXP(-1.0587+0.8836*LN(AJ5)+0.284)</f>
        <v>0.41954663902790629</v>
      </c>
      <c r="AL5" s="22">
        <f t="shared" si="4"/>
        <v>2.296820149719109</v>
      </c>
      <c r="AM5" s="60">
        <f t="shared" si="5"/>
        <v>126.86690992894263</v>
      </c>
      <c r="AN5" s="60">
        <f ca="1">AVERAGE(OFFSET($AM$3,0,0,'Données projet'!$E$10+1,1))-AVERAGE(OFFSET($H$3,0,0,'Données projet'!$E$10+1,1))</f>
        <v>300.72820267660154</v>
      </c>
      <c r="AO5" s="60">
        <f t="shared" ref="AO5:AO68" si="36">$AO$3</f>
        <v>228.35388778608589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1.4025641025641027</v>
      </c>
      <c r="BD5" s="13">
        <f>IF('Données projet'!$A$88&gt;35,BD4+BC5-BL4,IF(A5&lt;'Données projet'!$A$88,$BA$205^A5,IF(A5='Données projet'!$A$88,'Données projet'!$B$88,BD4+BC5-BL4)))</f>
        <v>1.5010731744359671</v>
      </c>
      <c r="BE5" s="14">
        <f>BD5*VLOOKUP('Données projet'!$B$11,Paramètres!$A$1:$I$89,3,0)*VLOOKUP('Données projet'!$B$11,Paramètres!$A$1:$I$89,5,0)</f>
        <v>0.87812780704504079</v>
      </c>
      <c r="BF5" s="14">
        <f t="shared" ref="BF5:BF68" si="37">EXP(-1.0587+0.8836*LN(BE5)+0.284)</f>
        <v>0.41084657890202247</v>
      </c>
      <c r="BG5" s="22">
        <f t="shared" si="7"/>
        <v>2.2449637221911352</v>
      </c>
      <c r="BH5" s="60">
        <f t="shared" si="8"/>
        <v>126.81505350141465</v>
      </c>
      <c r="BI5" s="60">
        <f ca="1">AVERAGE(OFFSET($BH$3,0,0,'Données projet'!$E$11+1,1))-AVERAGE(OFFSET($H$3,0,0,'Données projet'!$E$11+1,1))</f>
        <v>221.18884567967481</v>
      </c>
      <c r="BJ5" s="60">
        <f t="shared" ref="BJ5:BJ68" si="38">$BJ$3</f>
        <v>189.31596996710888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1.5341666666666667</v>
      </c>
      <c r="BY5" s="13">
        <f>IF('Données projet'!$A$114&gt;35,BY4+BX5-CG4,IF(A5&lt;'Données projet'!$A$114,$BV$205^A5,IF(A5='Données projet'!$A$114,'Données projet'!$B$114,BY4+BX5-CG4)))</f>
        <v>1.726531508640238</v>
      </c>
      <c r="BZ5" s="14">
        <f>BY5*VLOOKUP('Données projet'!$B$12,Paramètres!$A$1:$I$89,3,0)*VLOOKUP('Données projet'!$B$12,Paramètres!$A$1:$I$89,5,0)</f>
        <v>1.988964297953554</v>
      </c>
      <c r="CA5" s="14">
        <f t="shared" ref="CA5:CA68" si="39">EXP(-1.0587+0.8836*LN(BZ5)+0.284)</f>
        <v>0.84609449833706862</v>
      </c>
      <c r="CB5" s="22">
        <f t="shared" si="10"/>
        <v>4.9377274035395011</v>
      </c>
      <c r="CC5" s="60">
        <f t="shared" si="11"/>
        <v>129.50781718276303</v>
      </c>
      <c r="CD5" s="60">
        <f ca="1">AVERAGE(OFFSET($CC$3,0,0,'Données projet'!$E$12+1,1))-AVERAGE(OFFSET($H$3,0,0,'Données projet'!$E$12+1,1))</f>
        <v>314.72063458462026</v>
      </c>
      <c r="CE5" s="60">
        <f t="shared" ref="CE5:CE68" si="40">$CE$3</f>
        <v>216.4380325968244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1.4130039941344348</v>
      </c>
      <c r="CV5" s="14">
        <f t="shared" ref="CV5:CV68" si="41">EXP(-1.0587+0.8836*LN(CU5)+0.284)</f>
        <v>0.62548768551477418</v>
      </c>
      <c r="CW5" s="22">
        <f t="shared" si="13"/>
        <v>3.5503730087223722</v>
      </c>
      <c r="CX5" s="60">
        <f t="shared" si="14"/>
        <v>128.12046278794588</v>
      </c>
      <c r="CY5" s="60">
        <f ca="1">AVERAGE(OFFSET($CX$3,0,0,'Données projet'!$E$13+1,1))-AVERAGE(OFFSET($H$3,0,0,'Données projet'!$E$13+1,1))</f>
        <v>465.51503238626822</v>
      </c>
      <c r="CZ5" s="60">
        <f t="shared" ref="CZ5:CZ68" si="42">$CZ$3</f>
        <v>205.55320107663496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1.312712740741764</v>
      </c>
      <c r="DP5" s="18">
        <f>DO5*VLOOKUP('Données projet'!$B$14,Paramètres!$A$1:$I$89,3,0)*VLOOKUP('Données projet'!$B$14,Paramètres!$A$1:$I$89,5,0)</f>
        <v>1.1263075315564337</v>
      </c>
      <c r="DQ5" s="14">
        <f t="shared" ref="DQ5:DQ68" si="43">EXP(-1.0587+0.8836*LN(DP5)+0.284)</f>
        <v>0.51191302486354773</v>
      </c>
      <c r="DR5" s="22">
        <f t="shared" si="16"/>
        <v>2.8532341357648008</v>
      </c>
      <c r="DS5" s="60">
        <f t="shared" si="17"/>
        <v>127.42332391498832</v>
      </c>
      <c r="DT5" s="60">
        <f ca="1">AVERAGE(OFFSET($DS$3,0,0,'Données projet'!$E$14+1,1))-AVERAGE(OFFSET($H$3,0,0,'Données projet'!$E$14+1,1))</f>
        <v>393.79546872270964</v>
      </c>
      <c r="DU5" s="60">
        <f t="shared" ref="DU5:DU68" si="44">$DU$3</f>
        <v>179.7333990060757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135.66666666666666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1.9038461538461537</v>
      </c>
      <c r="N6" s="14">
        <f>IF('Données projet'!$A$36&gt;35,N5+M6-V5,IF(A6&lt;'Données projet'!$A$36,$K$205^A6,IF(A6='Données projet'!$A$36,'Données projet'!$B$36,N5+M6-V5)))</f>
        <v>1.4985640525740138</v>
      </c>
      <c r="O6" s="14">
        <f>N6*VLOOKUP('Données projet'!$B$9,Paramètres!$A$1:$I$89,3,0)*VLOOKUP('Données projet'!$B$9,Paramètres!$A$1:$I$89,5,0)</f>
        <v>0.70132797660463841</v>
      </c>
      <c r="P6" s="14">
        <f t="shared" si="33"/>
        <v>0.33682785922934122</v>
      </c>
      <c r="Q6" s="22">
        <f t="shared" si="2"/>
        <v>1.8081214140775144</v>
      </c>
      <c r="R6" s="60">
        <f t="shared" si="0"/>
        <v>129.93441934696921</v>
      </c>
      <c r="S6" s="60">
        <f ca="1">AVERAGE(OFFSET($R$3,0,0,'Données projet'!$E$9+1,1))-AVERAGE(OFFSET($H$3,0,0,'Données projet'!$E$9+1,1))</f>
        <v>291.44524568678776</v>
      </c>
      <c r="T6" s="60">
        <f t="shared" si="34"/>
        <v>136.43373205899937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4.0533333333333328</v>
      </c>
      <c r="AI6" s="14">
        <f>IF('Données projet'!$A$62&gt;35,AI5+AH6-AQ5,IF(A6&lt;'Données projet'!$A$62,$AF$205^A6,IF(A6='Données projet'!$A$62,'Données projet'!$B$62,AI5+AH6-AQ5)))</f>
        <v>2.2739489776202761</v>
      </c>
      <c r="AJ6" s="14">
        <f>AI6*VLOOKUP('Données projet'!$B$10,Paramètres!$A$1:$I$89,3,0)*VLOOKUP('Données projet'!$B$10,Paramètres!$A$1:$I$89,5,0)</f>
        <v>1.1824534683625436</v>
      </c>
      <c r="AK6" s="14">
        <f t="shared" si="35"/>
        <v>0.53439705956097427</v>
      </c>
      <c r="AL6" s="22">
        <f t="shared" si="4"/>
        <v>2.9901813361334599</v>
      </c>
      <c r="AM6" s="60">
        <f t="shared" si="5"/>
        <v>131.11647926902515</v>
      </c>
      <c r="AN6" s="60">
        <f ca="1">AVERAGE(OFFSET($AM$3,0,0,'Données projet'!$E$10+1,1))-AVERAGE(OFFSET($H$3,0,0,'Données projet'!$E$10+1,1))</f>
        <v>300.72820267660154</v>
      </c>
      <c r="AO6" s="60">
        <f t="shared" si="36"/>
        <v>228.35388778608589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1.4025641025641027</v>
      </c>
      <c r="BD6" s="13">
        <f>IF('Données projet'!$A$88&gt;35,BD5+BC6-BL5,IF(A6&lt;'Données projet'!$A$88,$BA$205^A6,IF(A6='Données projet'!$A$88,'Données projet'!$B$88,BD5+BC6-BL5)))</f>
        <v>1.839089207010884</v>
      </c>
      <c r="BE6" s="14">
        <f>BD6*VLOOKUP('Données projet'!$B$11,Paramètres!$A$1:$I$89,3,0)*VLOOKUP('Données projet'!$B$11,Paramètres!$A$1:$I$89,5,0)</f>
        <v>1.0758671861013671</v>
      </c>
      <c r="BF6" s="14">
        <f t="shared" si="37"/>
        <v>0.49160242711412572</v>
      </c>
      <c r="BG6" s="22">
        <f t="shared" si="7"/>
        <v>2.7300095763503163</v>
      </c>
      <c r="BH6" s="60">
        <f t="shared" si="8"/>
        <v>130.85630750924201</v>
      </c>
      <c r="BI6" s="60">
        <f ca="1">AVERAGE(OFFSET($BH$3,0,0,'Données projet'!$E$11+1,1))-AVERAGE(OFFSET($H$3,0,0,'Données projet'!$E$11+1,1))</f>
        <v>221.18884567967481</v>
      </c>
      <c r="BJ6" s="60">
        <f t="shared" si="38"/>
        <v>189.31596996710888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1.5341666666666667</v>
      </c>
      <c r="BY6" s="13">
        <f>IF('Données projet'!$A$114&gt;35,BY5+BX6-CG5,IF(A6&lt;'Données projet'!$A$114,$BV$205^A6,IF(A6='Données projet'!$A$114,'Données projet'!$B$114,BY5+BX6-CG5)))</f>
        <v>2.2686200327168842</v>
      </c>
      <c r="BZ6" s="14">
        <f>BY6*VLOOKUP('Données projet'!$B$12,Paramètres!$A$1:$I$89,3,0)*VLOOKUP('Données projet'!$B$12,Paramètres!$A$1:$I$89,5,0)</f>
        <v>2.6134502776898505</v>
      </c>
      <c r="CA6" s="14">
        <f t="shared" si="39"/>
        <v>1.0769674288196409</v>
      </c>
      <c r="CB6" s="22">
        <f t="shared" si="10"/>
        <v>6.4274775055040303</v>
      </c>
      <c r="CC6" s="60">
        <f t="shared" si="11"/>
        <v>134.55377543839575</v>
      </c>
      <c r="CD6" s="60">
        <f ca="1">AVERAGE(OFFSET($CC$3,0,0,'Données projet'!$E$12+1,1))-AVERAGE(OFFSET($H$3,0,0,'Données projet'!$E$12+1,1))</f>
        <v>314.72063458462026</v>
      </c>
      <c r="CE6" s="60">
        <f t="shared" si="40"/>
        <v>216.4380325968244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1.6189306289140883</v>
      </c>
      <c r="CV6" s="14">
        <f t="shared" si="41"/>
        <v>0.70538486562354785</v>
      </c>
      <c r="CW6" s="22">
        <f t="shared" si="13"/>
        <v>4.0481828196530492</v>
      </c>
      <c r="CX6" s="60">
        <f t="shared" si="14"/>
        <v>132.17448075254475</v>
      </c>
      <c r="CY6" s="60">
        <f ca="1">AVERAGE(OFFSET($CX$3,0,0,'Données projet'!$E$13+1,1))-AVERAGE(OFFSET($H$3,0,0,'Données projet'!$E$13+1,1))</f>
        <v>465.51503238626822</v>
      </c>
      <c r="CZ6" s="60">
        <f t="shared" si="42"/>
        <v>205.55320107663496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1.5040232524285473</v>
      </c>
      <c r="DP6" s="18">
        <f>DO6*VLOOKUP('Données projet'!$B$14,Paramètres!$A$1:$I$89,3,0)*VLOOKUP('Données projet'!$B$14,Paramètres!$A$1:$I$89,5,0)</f>
        <v>1.2904519505836938</v>
      </c>
      <c r="DQ6" s="14">
        <f t="shared" si="43"/>
        <v>0.57730265298050909</v>
      </c>
      <c r="DR6" s="22">
        <f t="shared" si="16"/>
        <v>3.2530059345409863</v>
      </c>
      <c r="DS6" s="60">
        <f t="shared" si="17"/>
        <v>131.3793038674327</v>
      </c>
      <c r="DT6" s="60">
        <f ca="1">AVERAGE(OFFSET($DS$3,0,0,'Données projet'!$E$14+1,1))-AVERAGE(OFFSET($H$3,0,0,'Données projet'!$E$14+1,1))</f>
        <v>393.79546872270964</v>
      </c>
      <c r="DU6" s="60">
        <f t="shared" si="44"/>
        <v>179.7333990060757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135.66666666666666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1.9038461538461537</v>
      </c>
      <c r="N7" s="14">
        <f>IF('Données projet'!$A$36&gt;35,N6+M7-V6,IF(A7&lt;'Données projet'!$A$36,$K$205^A7,IF(A7='Données projet'!$A$36,'Données projet'!$B$36,N6+M7-V6)))</f>
        <v>1.7148800476239807</v>
      </c>
      <c r="O7" s="14">
        <f>N7*VLOOKUP('Données projet'!$B$9,Paramètres!$A$1:$I$89,3,0)*VLOOKUP('Données projet'!$B$9,Paramètres!$A$1:$I$89,5,0)</f>
        <v>0.80256386228802301</v>
      </c>
      <c r="P7" s="14">
        <f t="shared" si="33"/>
        <v>0.37944622793161059</v>
      </c>
      <c r="Q7" s="22">
        <f t="shared" si="2"/>
        <v>2.0586675737991951</v>
      </c>
      <c r="R7" s="60">
        <f t="shared" si="0"/>
        <v>133.7006842224593</v>
      </c>
      <c r="S7" s="60">
        <f ca="1">AVERAGE(OFFSET($R$3,0,0,'Données projet'!$E$9+1,1))-AVERAGE(OFFSET($H$3,0,0,'Données projet'!$E$9+1,1))</f>
        <v>291.44524568678776</v>
      </c>
      <c r="T7" s="60">
        <f t="shared" si="34"/>
        <v>136.43373205899937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4.0533333333333328</v>
      </c>
      <c r="AI7" s="14">
        <f>IF('Données projet'!$A$62&gt;35,AI6+AH7-AQ6,IF(A7&lt;'Données projet'!$A$62,$AF$205^A7,IF(A7='Données projet'!$A$62,'Données projet'!$B$62,AI6+AH7-AQ6)))</f>
        <v>2.9902508405946642</v>
      </c>
      <c r="AJ7" s="14">
        <f>AI7*VLOOKUP('Données projet'!$B$10,Paramètres!$A$1:$I$89,3,0)*VLOOKUP('Données projet'!$B$10,Paramètres!$A$1:$I$89,5,0)</f>
        <v>1.5549304371092254</v>
      </c>
      <c r="AK7" s="14">
        <f t="shared" si="35"/>
        <v>0.68068765353265059</v>
      </c>
      <c r="AL7" s="22">
        <f t="shared" si="4"/>
        <v>3.8937015078679331</v>
      </c>
      <c r="AM7" s="60">
        <f t="shared" si="5"/>
        <v>135.53571815652805</v>
      </c>
      <c r="AN7" s="60">
        <f ca="1">AVERAGE(OFFSET($AM$3,0,0,'Données projet'!$E$10+1,1))-AVERAGE(OFFSET($H$3,0,0,'Données projet'!$E$10+1,1))</f>
        <v>300.72820267660154</v>
      </c>
      <c r="AO7" s="60">
        <f t="shared" si="36"/>
        <v>228.35388778608589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1.4025641025641027</v>
      </c>
      <c r="BD7" s="13">
        <f>IF('Données projet'!$A$88&gt;35,BD6+BC7-BL6,IF(A7&lt;'Données projet'!$A$88,$BA$205^A7,IF(A7='Données projet'!$A$88,'Données projet'!$B$88,BD6+BC7-BL6)))</f>
        <v>2.2532206750112715</v>
      </c>
      <c r="BE7" s="14">
        <f>BD7*VLOOKUP('Données projet'!$B$11,Paramètres!$A$1:$I$89,3,0)*VLOOKUP('Données projet'!$B$11,Paramètres!$A$1:$I$89,5,0)</f>
        <v>1.3181340948815938</v>
      </c>
      <c r="BF7" s="14">
        <f t="shared" si="37"/>
        <v>0.58823161431784188</v>
      </c>
      <c r="BG7" s="22">
        <f t="shared" si="7"/>
        <v>3.3202536101890168</v>
      </c>
      <c r="BH7" s="60">
        <f t="shared" si="8"/>
        <v>134.96227025884912</v>
      </c>
      <c r="BI7" s="60">
        <f ca="1">AVERAGE(OFFSET($BH$3,0,0,'Données projet'!$E$11+1,1))-AVERAGE(OFFSET($H$3,0,0,'Données projet'!$E$11+1,1))</f>
        <v>221.18884567967481</v>
      </c>
      <c r="BJ7" s="60">
        <f t="shared" si="38"/>
        <v>189.31596996710888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1.5341666666666667</v>
      </c>
      <c r="BY7" s="13">
        <f>IF('Données projet'!$A$114&gt;35,BY6+BX7-CG6,IF(A7&lt;'Données projet'!$A$114,$BV$205^A7,IF(A7='Données projet'!$A$114,'Données projet'!$B$114,BY6+BX7-CG6)))</f>
        <v>2.9809110503275362</v>
      </c>
      <c r="BZ7" s="14">
        <f>BY7*VLOOKUP('Données projet'!$B$12,Paramètres!$A$1:$I$89,3,0)*VLOOKUP('Données projet'!$B$12,Paramètres!$A$1:$I$89,5,0)</f>
        <v>3.4340095299773217</v>
      </c>
      <c r="CA7" s="14">
        <f t="shared" si="39"/>
        <v>1.3708384170066097</v>
      </c>
      <c r="CB7" s="22">
        <f t="shared" si="10"/>
        <v>8.3684435076636809</v>
      </c>
      <c r="CC7" s="60">
        <f t="shared" si="11"/>
        <v>140.01046015632377</v>
      </c>
      <c r="CD7" s="60">
        <f ca="1">AVERAGE(OFFSET($CC$3,0,0,'Données projet'!$E$12+1,1))-AVERAGE(OFFSET($H$3,0,0,'Données projet'!$E$12+1,1))</f>
        <v>314.72063458462026</v>
      </c>
      <c r="CE7" s="60">
        <f t="shared" si="40"/>
        <v>216.4380325968244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1.8548683458192732</v>
      </c>
      <c r="CV7" s="14">
        <f t="shared" si="41"/>
        <v>0.79548777725536501</v>
      </c>
      <c r="CW7" s="22">
        <f t="shared" si="13"/>
        <v>4.6160369143549937</v>
      </c>
      <c r="CX7" s="60">
        <f t="shared" si="14"/>
        <v>136.2580535630151</v>
      </c>
      <c r="CY7" s="60">
        <f ca="1">AVERAGE(OFFSET($CX$3,0,0,'Données projet'!$E$13+1,1))-AVERAGE(OFFSET($H$3,0,0,'Données projet'!$E$13+1,1))</f>
        <v>465.51503238626822</v>
      </c>
      <c r="CZ7" s="60">
        <f t="shared" si="42"/>
        <v>205.55320107663496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1.7232147397057538</v>
      </c>
      <c r="DP7" s="18">
        <f>DO7*VLOOKUP('Données projet'!$B$14,Paramètres!$A$1:$I$89,3,0)*VLOOKUP('Données projet'!$B$14,Paramètres!$A$1:$I$89,5,0)</f>
        <v>1.4785182466675371</v>
      </c>
      <c r="DQ7" s="14">
        <f t="shared" si="43"/>
        <v>0.65104487862400184</v>
      </c>
      <c r="DR7" s="22">
        <f t="shared" si="16"/>
        <v>3.7089891098827636</v>
      </c>
      <c r="DS7" s="60">
        <f t="shared" si="17"/>
        <v>135.35100575854287</v>
      </c>
      <c r="DT7" s="60">
        <f ca="1">AVERAGE(OFFSET($DS$3,0,0,'Données projet'!$E$14+1,1))-AVERAGE(OFFSET($H$3,0,0,'Données projet'!$E$14+1,1))</f>
        <v>393.79546872270964</v>
      </c>
      <c r="DU7" s="60">
        <f t="shared" si="44"/>
        <v>179.7333990060757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135.66666666666666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1.9038461538461537</v>
      </c>
      <c r="N8" s="14">
        <f>IF('Données projet'!$A$36&gt;35,N7+M8-V7,IF(A8&lt;'Données projet'!$A$36,$K$205^A8,IF(A8='Données projet'!$A$36,'Données projet'!$B$36,N7+M8-V7)))</f>
        <v>1.9624210074220902</v>
      </c>
      <c r="O8" s="14">
        <f>N8*VLOOKUP('Données projet'!$B$9,Paramètres!$A$1:$I$89,3,0)*VLOOKUP('Données projet'!$B$9,Paramètres!$A$1:$I$89,5,0)</f>
        <v>0.91841303147353814</v>
      </c>
      <c r="P8" s="14">
        <f t="shared" si="33"/>
        <v>0.42745704058135581</v>
      </c>
      <c r="Q8" s="22">
        <f t="shared" si="2"/>
        <v>2.3440570421622735</v>
      </c>
      <c r="R8" s="60">
        <f t="shared" si="0"/>
        <v>137.46200536991776</v>
      </c>
      <c r="S8" s="60">
        <f ca="1">AVERAGE(OFFSET($R$3,0,0,'Données projet'!$E$9+1,1))-AVERAGE(OFFSET($H$3,0,0,'Données projet'!$E$9+1,1))</f>
        <v>291.44524568678776</v>
      </c>
      <c r="T8" s="60">
        <f t="shared" si="34"/>
        <v>136.43373205899937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4.0533333333333328</v>
      </c>
      <c r="AI8" s="14">
        <f>IF('Données projet'!$A$62&gt;35,AI7+AH8-AQ7,IF(A8&lt;'Données projet'!$A$62,$AF$205^A8,IF(A8='Données projet'!$A$62,'Données projet'!$B$62,AI7+AH8-AQ7)))</f>
        <v>3.932190289966234</v>
      </c>
      <c r="AJ8" s="14">
        <f>AI8*VLOOKUP('Données projet'!$B$10,Paramètres!$A$1:$I$89,3,0)*VLOOKUP('Données projet'!$B$10,Paramètres!$A$1:$I$89,5,0)</f>
        <v>2.0447389507824418</v>
      </c>
      <c r="AK8" s="14">
        <f t="shared" si="35"/>
        <v>0.86702513305823981</v>
      </c>
      <c r="AL8" s="22">
        <f t="shared" si="4"/>
        <v>5.0713224460225206</v>
      </c>
      <c r="AM8" s="60">
        <f t="shared" si="5"/>
        <v>140.18927077377802</v>
      </c>
      <c r="AN8" s="60">
        <f ca="1">AVERAGE(OFFSET($AM$3,0,0,'Données projet'!$E$10+1,1))-AVERAGE(OFFSET($H$3,0,0,'Données projet'!$E$10+1,1))</f>
        <v>300.72820267660154</v>
      </c>
      <c r="AO8" s="60">
        <f t="shared" si="36"/>
        <v>228.35388778608589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1.4025641025641027</v>
      </c>
      <c r="BD8" s="13">
        <f>IF('Données projet'!$A$88&gt;35,BD7+BC8-BL7,IF(A8&lt;'Données projet'!$A$88,$BA$205^A8,IF(A8='Données projet'!$A$88,'Données projet'!$B$88,BD7+BC8-BL7)))</f>
        <v>2.7606074740387534</v>
      </c>
      <c r="BE8" s="14">
        <f>BD8*VLOOKUP('Données projet'!$B$11,Paramètres!$A$1:$I$89,3,0)*VLOOKUP('Données projet'!$B$11,Paramètres!$A$1:$I$89,5,0)</f>
        <v>1.6149553723126708</v>
      </c>
      <c r="BF8" s="14">
        <f t="shared" si="37"/>
        <v>0.70385419802381588</v>
      </c>
      <c r="BG8" s="22">
        <f t="shared" si="7"/>
        <v>4.0385933350027141</v>
      </c>
      <c r="BH8" s="60">
        <f t="shared" si="8"/>
        <v>139.1565416627582</v>
      </c>
      <c r="BI8" s="60">
        <f ca="1">AVERAGE(OFFSET($BH$3,0,0,'Données projet'!$E$11+1,1))-AVERAGE(OFFSET($H$3,0,0,'Données projet'!$E$11+1,1))</f>
        <v>221.18884567967481</v>
      </c>
      <c r="BJ8" s="60">
        <f t="shared" si="38"/>
        <v>189.31596996710888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1.5341666666666667</v>
      </c>
      <c r="BY8" s="13">
        <f>IF('Données projet'!$A$114&gt;35,BY7+BX8-CG7,IF(A8&lt;'Données projet'!$A$114,$BV$205^A8,IF(A8='Données projet'!$A$114,'Données projet'!$B$114,BY7+BX8-CG7)))</f>
        <v>3.9168439676181483</v>
      </c>
      <c r="BZ8" s="14">
        <f>BY8*VLOOKUP('Données projet'!$B$12,Paramètres!$A$1:$I$89,3,0)*VLOOKUP('Données projet'!$B$12,Paramètres!$A$1:$I$89,5,0)</f>
        <v>4.5122042506961062</v>
      </c>
      <c r="CA8" s="14">
        <f t="shared" si="39"/>
        <v>1.7448976777327356</v>
      </c>
      <c r="CB8" s="22">
        <f t="shared" si="10"/>
        <v>10.897785858680232</v>
      </c>
      <c r="CC8" s="60">
        <f t="shared" si="11"/>
        <v>146.01573418643574</v>
      </c>
      <c r="CD8" s="60">
        <f ca="1">AVERAGE(OFFSET($CC$3,0,0,'Données projet'!$E$12+1,1))-AVERAGE(OFFSET($H$3,0,0,'Données projet'!$E$12+1,1))</f>
        <v>314.72063458462026</v>
      </c>
      <c r="CE8" s="60">
        <f t="shared" si="40"/>
        <v>216.4380325968244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2.1251908629526004</v>
      </c>
      <c r="CV8" s="14">
        <f t="shared" si="41"/>
        <v>0.89710005785748825</v>
      </c>
      <c r="CW8" s="22">
        <f t="shared" si="13"/>
        <v>5.2638233537442369</v>
      </c>
      <c r="CX8" s="60">
        <f t="shared" si="14"/>
        <v>140.38177168149974</v>
      </c>
      <c r="CY8" s="60">
        <f ca="1">AVERAGE(OFFSET($CX$3,0,0,'Données projet'!$E$13+1,1))-AVERAGE(OFFSET($H$3,0,0,'Données projet'!$E$13+1,1))</f>
        <v>465.51503238626822</v>
      </c>
      <c r="CZ8" s="60">
        <f t="shared" si="42"/>
        <v>205.55320107663496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1.9743504858348202</v>
      </c>
      <c r="DP8" s="18">
        <f>DO8*VLOOKUP('Données projet'!$B$14,Paramètres!$A$1:$I$89,3,0)*VLOOKUP('Données projet'!$B$14,Paramètres!$A$1:$I$89,5,0)</f>
        <v>1.6939927168462758</v>
      </c>
      <c r="DQ8" s="14">
        <f t="shared" si="43"/>
        <v>0.73420662765748912</v>
      </c>
      <c r="DR8" s="22">
        <f t="shared" si="16"/>
        <v>4.2291138583440571</v>
      </c>
      <c r="DS8" s="60">
        <f t="shared" si="17"/>
        <v>139.34706218609955</v>
      </c>
      <c r="DT8" s="60">
        <f ca="1">AVERAGE(OFFSET($DS$3,0,0,'Données projet'!$E$14+1,1))-AVERAGE(OFFSET($H$3,0,0,'Données projet'!$E$14+1,1))</f>
        <v>393.79546872270964</v>
      </c>
      <c r="DU8" s="60">
        <f t="shared" si="44"/>
        <v>179.7333990060757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135.66666666666666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1.9038461538461537</v>
      </c>
      <c r="N9" s="14">
        <f>IF('Données projet'!$A$36&gt;35,N8+M9-V8,IF(A9&lt;'Données projet'!$A$36,$K$205^A9,IF(A9='Données projet'!$A$36,'Données projet'!$B$36,N8+M9-V8)))</f>
        <v>2.2456942196670515</v>
      </c>
      <c r="O9" s="14">
        <f>N9*VLOOKUP('Données projet'!$B$9,Paramètres!$A$1:$I$89,3,0)*VLOOKUP('Données projet'!$B$9,Paramètres!$A$1:$I$89,5,0)</f>
        <v>1.0509848948041802</v>
      </c>
      <c r="P9" s="14">
        <f t="shared" si="33"/>
        <v>0.48154259574166425</v>
      </c>
      <c r="Q9" s="22">
        <f t="shared" si="2"/>
        <v>2.6691520460340121</v>
      </c>
      <c r="R9" s="60">
        <f t="shared" si="0"/>
        <v>141.22393523234769</v>
      </c>
      <c r="S9" s="60">
        <f ca="1">AVERAGE(OFFSET($R$3,0,0,'Données projet'!$E$9+1,1))-AVERAGE(OFFSET($H$3,0,0,'Données projet'!$E$9+1,1))</f>
        <v>291.44524568678776</v>
      </c>
      <c r="T9" s="60">
        <f t="shared" si="34"/>
        <v>136.43373205899937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4.0533333333333328</v>
      </c>
      <c r="AI9" s="14">
        <f>IF('Données projet'!$A$62&gt;35,AI8+AH9-AQ8,IF(A9&lt;'Données projet'!$A$62,$AF$205^A9,IF(A9='Données projet'!$A$62,'Données projet'!$B$62,AI8+AH9-AQ8)))</f>
        <v>5.1708439528202996</v>
      </c>
      <c r="AJ9" s="14">
        <f>AI9*VLOOKUP('Données projet'!$B$10,Paramètres!$A$1:$I$89,3,0)*VLOOKUP('Données projet'!$B$10,Paramètres!$A$1:$I$89,5,0)</f>
        <v>2.6888388554665559</v>
      </c>
      <c r="AK9" s="14">
        <f t="shared" si="35"/>
        <v>1.1043722880138884</v>
      </c>
      <c r="AL9" s="22">
        <f t="shared" si="4"/>
        <v>6.6065094082284403</v>
      </c>
      <c r="AM9" s="60">
        <f t="shared" si="5"/>
        <v>145.16129259454212</v>
      </c>
      <c r="AN9" s="60">
        <f ca="1">AVERAGE(OFFSET($AM$3,0,0,'Données projet'!$E$10+1,1))-AVERAGE(OFFSET($H$3,0,0,'Données projet'!$E$10+1,1))</f>
        <v>300.72820267660154</v>
      </c>
      <c r="AO9" s="60">
        <f t="shared" si="36"/>
        <v>228.35388778608589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1.4025641025641027</v>
      </c>
      <c r="BD9" s="13">
        <f>IF('Données projet'!$A$88&gt;35,BD8+BC9-BL8,IF(A9&lt;'Données projet'!$A$88,$BA$205^A9,IF(A9='Données projet'!$A$88,'Données projet'!$B$88,BD8+BC9-BL8)))</f>
        <v>3.3822491113439219</v>
      </c>
      <c r="BE9" s="14">
        <f>BD9*VLOOKUP('Données projet'!$B$11,Paramètres!$A$1:$I$89,3,0)*VLOOKUP('Données projet'!$B$11,Paramètres!$A$1:$I$89,5,0)</f>
        <v>1.9786157301361944</v>
      </c>
      <c r="BF9" s="14">
        <f t="shared" si="37"/>
        <v>0.84220351306732277</v>
      </c>
      <c r="BG9" s="22">
        <f t="shared" si="7"/>
        <v>4.9129268485794588</v>
      </c>
      <c r="BH9" s="60">
        <f t="shared" si="8"/>
        <v>143.46771003489312</v>
      </c>
      <c r="BI9" s="60">
        <f ca="1">AVERAGE(OFFSET($BH$3,0,0,'Données projet'!$E$11+1,1))-AVERAGE(OFFSET($H$3,0,0,'Données projet'!$E$11+1,1))</f>
        <v>221.18884567967481</v>
      </c>
      <c r="BJ9" s="60">
        <f t="shared" si="38"/>
        <v>189.31596996710888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1.5341666666666667</v>
      </c>
      <c r="BY9" s="13">
        <f>IF('Données projet'!$A$114&gt;35,BY8+BX9-CG8,IF(A9&lt;'Données projet'!$A$114,$BV$205^A9,IF(A9='Données projet'!$A$114,'Données projet'!$B$114,BY8+BX9-CG8)))</f>
        <v>5.1466368528443578</v>
      </c>
      <c r="BZ9" s="14">
        <f>BY9*VLOOKUP('Données projet'!$B$12,Paramètres!$A$1:$I$89,3,0)*VLOOKUP('Données projet'!$B$12,Paramètres!$A$1:$I$89,5,0)</f>
        <v>5.9289256544766999</v>
      </c>
      <c r="CA9" s="14">
        <f t="shared" si="39"/>
        <v>2.2210261019715896</v>
      </c>
      <c r="CB9" s="22">
        <f t="shared" si="10"/>
        <v>14.194499309147433</v>
      </c>
      <c r="CC9" s="60">
        <f t="shared" si="11"/>
        <v>152.7492824954611</v>
      </c>
      <c r="CD9" s="60">
        <f ca="1">AVERAGE(OFFSET($CC$3,0,0,'Données projet'!$E$12+1,1))-AVERAGE(OFFSET($H$3,0,0,'Données projet'!$E$12+1,1))</f>
        <v>314.72063458462026</v>
      </c>
      <c r="CE9" s="60">
        <f t="shared" si="40"/>
        <v>216.4380325968244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2.4349093099555601</v>
      </c>
      <c r="CV9" s="14">
        <f t="shared" si="41"/>
        <v>1.0116918660706939</v>
      </c>
      <c r="CW9" s="22">
        <f t="shared" si="13"/>
        <v>6.0028303815790593</v>
      </c>
      <c r="CX9" s="60">
        <f t="shared" si="14"/>
        <v>144.55761356789273</v>
      </c>
      <c r="CY9" s="60">
        <f ca="1">AVERAGE(OFFSET($CX$3,0,0,'Données projet'!$E$13+1,1))-AVERAGE(OFFSET($H$3,0,0,'Données projet'!$E$13+1,1))</f>
        <v>465.51503238626822</v>
      </c>
      <c r="CZ9" s="60">
        <f t="shared" si="42"/>
        <v>205.55320107663496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1.2</v>
      </c>
      <c r="DO9" s="13">
        <f>IF('Données projet'!$A$166&gt;35,DO8+DN9-DW8,IF(A9&lt;'Données projet'!$A$166,$DL$205^A9,IF(A9='Données projet'!$A$166,'Données projet'!$B$166,DO8+DN9-DW8)))</f>
        <v>2.2620859438457455</v>
      </c>
      <c r="DP9" s="18">
        <f>DO9*VLOOKUP('Données projet'!$B$14,Paramètres!$A$1:$I$89,3,0)*VLOOKUP('Données projet'!$B$14,Paramètres!$A$1:$I$89,5,0)</f>
        <v>1.9408697398196497</v>
      </c>
      <c r="DQ9" s="14">
        <f t="shared" si="43"/>
        <v>0.82799111059055874</v>
      </c>
      <c r="DR9" s="22">
        <f t="shared" si="16"/>
        <v>4.822432647797779</v>
      </c>
      <c r="DS9" s="60">
        <f t="shared" si="17"/>
        <v>143.37721583411144</v>
      </c>
      <c r="DT9" s="60">
        <f ca="1">AVERAGE(OFFSET($DS$3,0,0,'Données projet'!$E$14+1,1))-AVERAGE(OFFSET($H$3,0,0,'Données projet'!$E$14+1,1))</f>
        <v>393.79546872270964</v>
      </c>
      <c r="DU9" s="60">
        <f t="shared" si="44"/>
        <v>179.7333990060757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135.66666666666666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1.9038461538461537</v>
      </c>
      <c r="N10" s="14">
        <f>IF('Données projet'!$A$36&gt;35,N9+M10-V9,IF(A10&lt;'Données projet'!$A$36,$K$205^A10,IF(A10='Données projet'!$A$36,'Données projet'!$B$36,N9+M10-V9)))</f>
        <v>2.5698575938457102</v>
      </c>
      <c r="O10" s="14">
        <f>N10*VLOOKUP('Données projet'!$B$9,Paramètres!$A$1:$I$89,3,0)*VLOOKUP('Données projet'!$B$9,Paramètres!$A$1:$I$89,5,0)</f>
        <v>1.2026933539197924</v>
      </c>
      <c r="P10" s="14">
        <f t="shared" si="33"/>
        <v>0.54247152228034612</v>
      </c>
      <c r="Q10" s="22">
        <f t="shared" si="2"/>
        <v>3.0394954927152416</v>
      </c>
      <c r="R10" s="60">
        <f t="shared" si="0"/>
        <v>144.99269495947877</v>
      </c>
      <c r="S10" s="60">
        <f ca="1">AVERAGE(OFFSET($R$3,0,0,'Données projet'!$E$9+1,1))-AVERAGE(OFFSET($H$3,0,0,'Données projet'!$E$9+1,1))</f>
        <v>291.44524568678776</v>
      </c>
      <c r="T10" s="60">
        <f t="shared" si="34"/>
        <v>136.43373205899937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4.0533333333333328</v>
      </c>
      <c r="AI10" s="14">
        <f>IF('Données projet'!$A$62&gt;35,AI9+AH10-AQ9,IF(A10&lt;'Données projet'!$A$62,$AF$205^A10,IF(A10='Données projet'!$A$62,'Données projet'!$B$62,AI9+AH10-AQ9)))</f>
        <v>6.7996778417984078</v>
      </c>
      <c r="AJ10" s="14">
        <f>AI10*VLOOKUP('Données projet'!$B$10,Paramètres!$A$1:$I$89,3,0)*VLOOKUP('Données projet'!$B$10,Paramètres!$A$1:$I$89,5,0)</f>
        <v>3.5358324777351724</v>
      </c>
      <c r="AK10" s="14">
        <f t="shared" si="35"/>
        <v>1.4066929596735296</v>
      </c>
      <c r="AL10" s="22">
        <f t="shared" si="4"/>
        <v>8.6082318034868219</v>
      </c>
      <c r="AM10" s="60">
        <f t="shared" si="5"/>
        <v>150.56143127025035</v>
      </c>
      <c r="AN10" s="60">
        <f ca="1">AVERAGE(OFFSET($AM$3,0,0,'Données projet'!$E$10+1,1))-AVERAGE(OFFSET($H$3,0,0,'Données projet'!$E$10+1,1))</f>
        <v>300.72820267660154</v>
      </c>
      <c r="AO10" s="60">
        <f t="shared" si="36"/>
        <v>228.35388778608589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1.4025641025641027</v>
      </c>
      <c r="BD10" s="13">
        <f>IF('Données projet'!$A$88&gt;35,BD9+BC10-BL9,IF(A10&lt;'Données projet'!$A$88,$BA$205^A10,IF(A10='Données projet'!$A$88,'Données projet'!$B$88,BD9+BC10-BL9)))</f>
        <v>4.1438738244270077</v>
      </c>
      <c r="BE10" s="14">
        <f>BD10*VLOOKUP('Données projet'!$B$11,Paramètres!$A$1:$I$89,3,0)*VLOOKUP('Données projet'!$B$11,Paramètres!$A$1:$I$89,5,0)</f>
        <v>2.4241661872897997</v>
      </c>
      <c r="BF10" s="14">
        <f t="shared" si="37"/>
        <v>1.007746717167324</v>
      </c>
      <c r="BG10" s="22">
        <f t="shared" si="7"/>
        <v>5.977248308596157</v>
      </c>
      <c r="BH10" s="60">
        <f t="shared" si="8"/>
        <v>147.93044777535968</v>
      </c>
      <c r="BI10" s="60">
        <f ca="1">AVERAGE(OFFSET($BH$3,0,0,'Données projet'!$E$11+1,1))-AVERAGE(OFFSET($H$3,0,0,'Données projet'!$E$11+1,1))</f>
        <v>221.18884567967481</v>
      </c>
      <c r="BJ10" s="60">
        <f t="shared" si="38"/>
        <v>189.31596996710888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1.5341666666666667</v>
      </c>
      <c r="BY10" s="13">
        <f>IF('Données projet'!$A$114&gt;35,BY9+BX10-CG9,IF(A10&lt;'Données projet'!$A$114,$BV$205^A10,IF(A10='Données projet'!$A$114,'Données projet'!$B$114,BY9+BX10-CG9)))</f>
        <v>6.7625545245201764</v>
      </c>
      <c r="BZ10" s="14">
        <f>BY10*VLOOKUP('Données projet'!$B$12,Paramètres!$A$1:$I$89,3,0)*VLOOKUP('Données projet'!$B$12,Paramètres!$A$1:$I$89,5,0)</f>
        <v>7.7904628122472417</v>
      </c>
      <c r="CA10" s="14">
        <f t="shared" si="39"/>
        <v>2.8270751967810739</v>
      </c>
      <c r="CB10" s="22">
        <f t="shared" si="10"/>
        <v>18.492212032390984</v>
      </c>
      <c r="CC10" s="60">
        <f t="shared" si="11"/>
        <v>160.44541149915452</v>
      </c>
      <c r="CD10" s="60">
        <f ca="1">AVERAGE(OFFSET($CC$3,0,0,'Données projet'!$E$12+1,1))-AVERAGE(OFFSET($H$3,0,0,'Données projet'!$E$12+1,1))</f>
        <v>314.72063458462026</v>
      </c>
      <c r="CE10" s="60">
        <f t="shared" si="40"/>
        <v>216.4380325968244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2.7897651223058633</v>
      </c>
      <c r="CV10" s="14">
        <f t="shared" si="41"/>
        <v>1.1409211524498617</v>
      </c>
      <c r="CW10" s="22">
        <f t="shared" si="13"/>
        <v>6.8459452618662198</v>
      </c>
      <c r="CX10" s="60">
        <f t="shared" si="14"/>
        <v>148.79914472862976</v>
      </c>
      <c r="CY10" s="60">
        <f ca="1">AVERAGE(OFFSET($CX$3,0,0,'Données projet'!$E$13+1,1))-AVERAGE(OFFSET($H$3,0,0,'Données projet'!$E$13+1,1))</f>
        <v>465.51503238626822</v>
      </c>
      <c r="CZ10" s="60">
        <f t="shared" si="42"/>
        <v>205.55320107663496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1.2</v>
      </c>
      <c r="DO10" s="13">
        <f>IF('Données projet'!$A$166&gt;35,DO9+DN10-DW9,IF(A10&lt;'Données projet'!$A$166,$DL$205^A10,IF(A10='Données projet'!$A$166,'Données projet'!$B$166,DO9+DN10-DW9)))</f>
        <v>2.5917550374450604</v>
      </c>
      <c r="DP10" s="18">
        <f>DO10*VLOOKUP('Données projet'!$B$14,Paramètres!$A$1:$I$89,3,0)*VLOOKUP('Données projet'!$B$14,Paramètres!$A$1:$I$89,5,0)</f>
        <v>2.2237258221278622</v>
      </c>
      <c r="DQ10" s="14">
        <f t="shared" si="43"/>
        <v>0.93375523100944879</v>
      </c>
      <c r="DR10" s="22">
        <f t="shared" si="16"/>
        <v>5.4992795008808173</v>
      </c>
      <c r="DS10" s="60">
        <f t="shared" si="17"/>
        <v>147.45247896764434</v>
      </c>
      <c r="DT10" s="60">
        <f ca="1">AVERAGE(OFFSET($DS$3,0,0,'Données projet'!$E$14+1,1))-AVERAGE(OFFSET($H$3,0,0,'Données projet'!$E$14+1,1))</f>
        <v>393.79546872270964</v>
      </c>
      <c r="DU10" s="60">
        <f t="shared" si="44"/>
        <v>179.7333990060757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135.66666666666666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1.9038461538461537</v>
      </c>
      <c r="N11" s="14">
        <f>IF('Données projet'!$A$36&gt;35,N10+M11-V10,IF(A11&lt;'Données projet'!$A$36,$K$205^A11,IF(A11='Données projet'!$A$36,'Données projet'!$B$36,N10+M11-V10)))</f>
        <v>2.9408135777388265</v>
      </c>
      <c r="O11" s="14">
        <f>N11*VLOOKUP('Données projet'!$B$9,Paramètres!$A$1:$I$89,3,0)*VLOOKUP('Données projet'!$B$9,Paramètres!$A$1:$I$89,5,0)</f>
        <v>1.3763007543817707</v>
      </c>
      <c r="P11" s="14">
        <f t="shared" si="33"/>
        <v>0.61110970262540931</v>
      </c>
      <c r="Q11" s="22">
        <f t="shared" si="2"/>
        <v>3.4614065459541714</v>
      </c>
      <c r="R11" s="60">
        <f t="shared" si="0"/>
        <v>148.77527019149832</v>
      </c>
      <c r="S11" s="60">
        <f ca="1">AVERAGE(OFFSET($R$3,0,0,'Données projet'!$E$9+1,1))-AVERAGE(OFFSET($H$3,0,0,'Données projet'!$E$9+1,1))</f>
        <v>291.44524568678776</v>
      </c>
      <c r="T11" s="60">
        <f t="shared" si="34"/>
        <v>136.43373205899937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4.0533333333333328</v>
      </c>
      <c r="AI11" s="14">
        <f>IF('Données projet'!$A$62&gt;35,AI10+AH11-AQ10,IF(A11&lt;'Données projet'!$A$62,$AF$205^A11,IF(A11='Données projet'!$A$62,'Données projet'!$B$62,AI10+AH11-AQ10)))</f>
        <v>8.9416000896770953</v>
      </c>
      <c r="AJ11" s="14">
        <f>AI11*VLOOKUP('Données projet'!$B$10,Paramètres!$A$1:$I$89,3,0)*VLOOKUP('Données projet'!$B$10,Paramètres!$A$1:$I$89,5,0)</f>
        <v>4.6496320466320897</v>
      </c>
      <c r="AK11" s="14">
        <f t="shared" si="35"/>
        <v>1.7917735751534802</v>
      </c>
      <c r="AL11" s="22">
        <f t="shared" si="4"/>
        <v>11.218781457943201</v>
      </c>
      <c r="AM11" s="60">
        <f t="shared" si="5"/>
        <v>156.53264510348737</v>
      </c>
      <c r="AN11" s="60">
        <f ca="1">AVERAGE(OFFSET($AM$3,0,0,'Données projet'!$E$10+1,1))-AVERAGE(OFFSET($H$3,0,0,'Données projet'!$E$10+1,1))</f>
        <v>300.72820267660154</v>
      </c>
      <c r="AO11" s="60">
        <f t="shared" si="36"/>
        <v>228.35388778608589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1.4025641025641027</v>
      </c>
      <c r="BD11" s="13">
        <f>IF('Données projet'!$A$88&gt;35,BD10+BC11-BL10,IF(A11&lt;'Données projet'!$A$88,$BA$205^A11,IF(A11='Données projet'!$A$88,'Données projet'!$B$88,BD10+BC11-BL10)))</f>
        <v>5.07700341029825</v>
      </c>
      <c r="BE11" s="14">
        <f>BD11*VLOOKUP('Données projet'!$B$11,Paramètres!$A$1:$I$89,3,0)*VLOOKUP('Données projet'!$B$11,Paramètres!$A$1:$I$89,5,0)</f>
        <v>2.9700469950244766</v>
      </c>
      <c r="BF11" s="14">
        <f t="shared" si="37"/>
        <v>1.2058290308750339</v>
      </c>
      <c r="BG11" s="22">
        <f t="shared" si="7"/>
        <v>7.272984078441648</v>
      </c>
      <c r="BH11" s="60">
        <f t="shared" si="8"/>
        <v>152.58684772398581</v>
      </c>
      <c r="BI11" s="60">
        <f ca="1">AVERAGE(OFFSET($BH$3,0,0,'Données projet'!$E$11+1,1))-AVERAGE(OFFSET($H$3,0,0,'Données projet'!$E$11+1,1))</f>
        <v>221.18884567967481</v>
      </c>
      <c r="BJ11" s="60">
        <f t="shared" si="38"/>
        <v>189.31596996710888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1.5341666666666667</v>
      </c>
      <c r="BY11" s="13">
        <f>IF('Données projet'!$A$114&gt;35,BY10+BX11-CG10,IF(A11&lt;'Données projet'!$A$114,$BV$205^A11,IF(A11='Données projet'!$A$114,'Données projet'!$B$114,BY10+BX11-CG10)))</f>
        <v>8.8858306899648145</v>
      </c>
      <c r="BZ11" s="14">
        <f>BY11*VLOOKUP('Données projet'!$B$12,Paramètres!$A$1:$I$89,3,0)*VLOOKUP('Données projet'!$B$12,Paramètres!$A$1:$I$89,5,0)</f>
        <v>10.236476954839466</v>
      </c>
      <c r="CA11" s="14">
        <f t="shared" si="39"/>
        <v>3.5984962811377996</v>
      </c>
      <c r="CB11" s="22">
        <f t="shared" si="10"/>
        <v>24.095911719327074</v>
      </c>
      <c r="CC11" s="60">
        <f t="shared" si="11"/>
        <v>169.40977536487122</v>
      </c>
      <c r="CD11" s="60">
        <f ca="1">AVERAGE(OFFSET($CC$3,0,0,'Données projet'!$E$12+1,1))-AVERAGE(OFFSET($H$3,0,0,'Données projet'!$E$12+1,1))</f>
        <v>314.72063458462026</v>
      </c>
      <c r="CE11" s="60">
        <f t="shared" si="40"/>
        <v>216.4380325968244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3.1963364737294016</v>
      </c>
      <c r="CV11" s="14">
        <f t="shared" si="41"/>
        <v>1.28665764721742</v>
      </c>
      <c r="CW11" s="22">
        <f t="shared" si="13"/>
        <v>7.8078814273157144</v>
      </c>
      <c r="CX11" s="60">
        <f t="shared" si="14"/>
        <v>153.12174507285988</v>
      </c>
      <c r="CY11" s="60">
        <f ca="1">AVERAGE(OFFSET($CX$3,0,0,'Données projet'!$E$13+1,1))-AVERAGE(OFFSET($H$3,0,0,'Données projet'!$E$13+1,1))</f>
        <v>465.51503238626822</v>
      </c>
      <c r="CZ11" s="60">
        <f t="shared" si="42"/>
        <v>205.55320107663496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1.2</v>
      </c>
      <c r="DO11" s="13">
        <f>IF('Données projet'!$A$166&gt;35,DO10+DN11-DW10,IF(A11&lt;'Données projet'!$A$166,$DL$205^A11,IF(A11='Données projet'!$A$166,'Données projet'!$B$166,DO10+DN11-DW10)))</f>
        <v>2.9694690391391689</v>
      </c>
      <c r="DP11" s="18">
        <f>DO11*VLOOKUP('Données projet'!$B$14,Paramètres!$A$1:$I$89,3,0)*VLOOKUP('Données projet'!$B$14,Paramètres!$A$1:$I$89,5,0)</f>
        <v>2.5478044355814071</v>
      </c>
      <c r="DQ11" s="14">
        <f t="shared" si="43"/>
        <v>1.0530292176876552</v>
      </c>
      <c r="DR11" s="22">
        <f t="shared" si="16"/>
        <v>6.2714519461102833</v>
      </c>
      <c r="DS11" s="60">
        <f t="shared" si="17"/>
        <v>151.58531559165445</v>
      </c>
      <c r="DT11" s="60">
        <f ca="1">AVERAGE(OFFSET($DS$3,0,0,'Données projet'!$E$14+1,1))-AVERAGE(OFFSET($H$3,0,0,'Données projet'!$E$14+1,1))</f>
        <v>393.79546872270964</v>
      </c>
      <c r="DU11" s="60">
        <f t="shared" si="44"/>
        <v>179.7333990060757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135.66666666666666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1.9038461538461537</v>
      </c>
      <c r="N12" s="14">
        <f>IF('Données projet'!$A$36&gt;35,N11+M12-V11,IF(A12&lt;'Données projet'!$A$36,$K$205^A12,IF(A12='Données projet'!$A$36,'Données projet'!$B$36,N11+M12-V11)))</f>
        <v>3.3653166306662943</v>
      </c>
      <c r="O12" s="14">
        <f>N12*VLOOKUP('Données projet'!$B$9,Paramètres!$A$1:$I$89,3,0)*VLOOKUP('Données projet'!$B$9,Paramètres!$A$1:$I$89,5,0)</f>
        <v>1.5749681831518256</v>
      </c>
      <c r="P12" s="14">
        <f t="shared" si="33"/>
        <v>0.68843257812511816</v>
      </c>
      <c r="Q12" s="22">
        <f t="shared" si="2"/>
        <v>3.9420896592240098</v>
      </c>
      <c r="R12" s="60">
        <f t="shared" si="0"/>
        <v>152.57952029644252</v>
      </c>
      <c r="S12" s="60">
        <f ca="1">AVERAGE(OFFSET($R$3,0,0,'Données projet'!$E$9+1,1))-AVERAGE(OFFSET($H$3,0,0,'Données projet'!$E$9+1,1))</f>
        <v>291.44524568678776</v>
      </c>
      <c r="T12" s="60">
        <f t="shared" si="34"/>
        <v>136.43373205899937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4.0533333333333328</v>
      </c>
      <c r="AI12" s="14">
        <f>IF('Données projet'!$A$62&gt;35,AI11+AH12-AQ11,IF(A12&lt;'Données projet'!$A$62,$AF$205^A12,IF(A12='Données projet'!$A$62,'Données projet'!$B$62,AI11+AH12-AQ11)))</f>
        <v>11.758235319949707</v>
      </c>
      <c r="AJ12" s="14">
        <f>AI12*VLOOKUP('Données projet'!$B$10,Paramètres!$A$1:$I$89,3,0)*VLOOKUP('Données projet'!$B$10,Paramètres!$A$1:$I$89,5,0)</f>
        <v>6.1142823663738488</v>
      </c>
      <c r="AK12" s="14">
        <f t="shared" si="35"/>
        <v>2.2822695759872</v>
      </c>
      <c r="AL12" s="22">
        <f t="shared" si="4"/>
        <v>14.623994632945491</v>
      </c>
      <c r="AM12" s="60">
        <f t="shared" si="5"/>
        <v>163.26142527016398</v>
      </c>
      <c r="AN12" s="60">
        <f ca="1">AVERAGE(OFFSET($AM$3,0,0,'Données projet'!$E$10+1,1))-AVERAGE(OFFSET($H$3,0,0,'Données projet'!$E$10+1,1))</f>
        <v>300.72820267660154</v>
      </c>
      <c r="AO12" s="60">
        <f t="shared" si="36"/>
        <v>228.35388778608589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1.4025641025641027</v>
      </c>
      <c r="BD12" s="13">
        <f>IF('Données projet'!$A$88&gt;35,BD11+BC12-BL11,IF(A12&lt;'Données projet'!$A$88,$BA$205^A12,IF(A12='Données projet'!$A$88,'Données projet'!$B$88,BD11+BC12-BL11)))</f>
        <v>6.2202578360947607</v>
      </c>
      <c r="BE12" s="14">
        <f>BD12*VLOOKUP('Données projet'!$B$11,Paramètres!$A$1:$I$89,3,0)*VLOOKUP('Données projet'!$B$11,Paramètres!$A$1:$I$89,5,0)</f>
        <v>3.6388508341154351</v>
      </c>
      <c r="BF12" s="14">
        <f t="shared" si="37"/>
        <v>1.4428463292722393</v>
      </c>
      <c r="BG12" s="22">
        <f t="shared" si="7"/>
        <v>8.8506225595668653</v>
      </c>
      <c r="BH12" s="60">
        <f t="shared" si="8"/>
        <v>157.48805319678536</v>
      </c>
      <c r="BI12" s="60">
        <f ca="1">AVERAGE(OFFSET($BH$3,0,0,'Données projet'!$E$11+1,1))-AVERAGE(OFFSET($H$3,0,0,'Données projet'!$E$11+1,1))</f>
        <v>221.18884567967481</v>
      </c>
      <c r="BJ12" s="60">
        <f t="shared" si="38"/>
        <v>189.31596996710888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1.5341666666666667</v>
      </c>
      <c r="BY12" s="13">
        <f>IF('Données projet'!$A$114&gt;35,BY11+BX12-CG11,IF(A12&lt;'Données projet'!$A$114,$BV$205^A12,IF(A12='Données projet'!$A$114,'Données projet'!$B$114,BY11+BX12-CG11)))</f>
        <v>11.675763465481689</v>
      </c>
      <c r="BZ12" s="14">
        <f>BY12*VLOOKUP('Données projet'!$B$12,Paramètres!$A$1:$I$89,3,0)*VLOOKUP('Données projet'!$B$12,Paramètres!$A$1:$I$89,5,0)</f>
        <v>13.450479512234905</v>
      </c>
      <c r="CA12" s="14">
        <f t="shared" si="39"/>
        <v>4.5804142387533915</v>
      </c>
      <c r="CB12" s="22">
        <f t="shared" si="10"/>
        <v>31.403806616304621</v>
      </c>
      <c r="CC12" s="60">
        <f t="shared" si="11"/>
        <v>180.04123725352312</v>
      </c>
      <c r="CD12" s="60">
        <f ca="1">AVERAGE(OFFSET($CC$3,0,0,'Données projet'!$E$12+1,1))-AVERAGE(OFFSET($H$3,0,0,'Données projet'!$E$12+1,1))</f>
        <v>314.72063458462026</v>
      </c>
      <c r="CE12" s="60">
        <f t="shared" si="40"/>
        <v>216.4380325968244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3.6621602197279119</v>
      </c>
      <c r="CV12" s="14">
        <f t="shared" si="41"/>
        <v>1.4510099121120625</v>
      </c>
      <c r="CW12" s="22">
        <f t="shared" si="13"/>
        <v>8.9054379796212881</v>
      </c>
      <c r="CX12" s="60">
        <f t="shared" si="14"/>
        <v>157.5428686168398</v>
      </c>
      <c r="CY12" s="60">
        <f ca="1">AVERAGE(OFFSET($CX$3,0,0,'Données projet'!$E$13+1,1))-AVERAGE(OFFSET($H$3,0,0,'Données projet'!$E$13+1,1))</f>
        <v>465.51503238626822</v>
      </c>
      <c r="CZ12" s="60">
        <f t="shared" si="42"/>
        <v>205.55320107663496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1.2</v>
      </c>
      <c r="DO12" s="13">
        <f>IF('Données projet'!$A$166&gt;35,DO11+DN12-DW11,IF(A12&lt;'Données projet'!$A$166,$DL$205^A12,IF(A12='Données projet'!$A$166,'Données projet'!$B$166,DO11+DN12-DW11)))</f>
        <v>3.4022298585357786</v>
      </c>
      <c r="DP12" s="18">
        <f>DO12*VLOOKUP('Données projet'!$B$14,Paramètres!$A$1:$I$89,3,0)*VLOOKUP('Données projet'!$B$14,Paramètres!$A$1:$I$89,5,0)</f>
        <v>2.9191132186236985</v>
      </c>
      <c r="DQ12" s="14">
        <f t="shared" si="43"/>
        <v>1.1875387644202173</v>
      </c>
      <c r="DR12" s="22">
        <f t="shared" si="16"/>
        <v>7.1524188704681526</v>
      </c>
      <c r="DS12" s="60">
        <f t="shared" si="17"/>
        <v>155.78984950768665</v>
      </c>
      <c r="DT12" s="60">
        <f ca="1">AVERAGE(OFFSET($DS$3,0,0,'Données projet'!$E$14+1,1))-AVERAGE(OFFSET($H$3,0,0,'Données projet'!$E$14+1,1))</f>
        <v>393.79546872270964</v>
      </c>
      <c r="DU12" s="60">
        <f t="shared" si="44"/>
        <v>179.7333990060757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135.66666666666666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1.9038461538461537</v>
      </c>
      <c r="N13" s="14">
        <f>IF('Données projet'!$A$36&gt;35,N12+M13-V12,IF(A13&lt;'Données projet'!$A$36,$K$205^A13,IF(A13='Données projet'!$A$36,'Données projet'!$B$36,N12+M13-V12)))</f>
        <v>3.8510962103715318</v>
      </c>
      <c r="O13" s="14">
        <f>N13*VLOOKUP('Données projet'!$B$9,Paramètres!$A$1:$I$89,3,0)*VLOOKUP('Données projet'!$B$9,Paramètres!$A$1:$I$89,5,0)</f>
        <v>1.8023130264538767</v>
      </c>
      <c r="P13" s="14">
        <f t="shared" si="33"/>
        <v>0.77553901138844572</v>
      </c>
      <c r="Q13" s="22">
        <f t="shared" si="2"/>
        <v>4.4897589659087105</v>
      </c>
      <c r="R13" s="60">
        <f t="shared" si="0"/>
        <v>156.41430296095473</v>
      </c>
      <c r="S13" s="60">
        <f ca="1">AVERAGE(OFFSET($R$3,0,0,'Données projet'!$E$9+1,1))-AVERAGE(OFFSET($H$3,0,0,'Données projet'!$E$9+1,1))</f>
        <v>291.44524568678776</v>
      </c>
      <c r="T13" s="60">
        <f t="shared" si="34"/>
        <v>136.43373205899937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4.0533333333333328</v>
      </c>
      <c r="AI13" s="14">
        <f>IF('Données projet'!$A$62&gt;35,AI12+AH13-AQ12,IF(A13&lt;'Données projet'!$A$62,$AF$205^A13,IF(A13='Données projet'!$A$62,'Données projet'!$B$62,AI12+AH13-AQ12)))</f>
        <v>15.462120476504737</v>
      </c>
      <c r="AJ13" s="14">
        <f>AI13*VLOOKUP('Données projet'!$B$10,Paramètres!$A$1:$I$89,3,0)*VLOOKUP('Données projet'!$B$10,Paramètres!$A$1:$I$89,5,0)</f>
        <v>8.0403026477824628</v>
      </c>
      <c r="AK13" s="14">
        <f t="shared" si="35"/>
        <v>2.9070383053453721</v>
      </c>
      <c r="AL13" s="22">
        <f t="shared" si="4"/>
        <v>19.066618826697646</v>
      </c>
      <c r="AM13" s="60">
        <f t="shared" si="5"/>
        <v>170.99116282174364</v>
      </c>
      <c r="AN13" s="60">
        <f ca="1">AVERAGE(OFFSET($AM$3,0,0,'Données projet'!$E$10+1,1))-AVERAGE(OFFSET($H$3,0,0,'Données projet'!$E$10+1,1))</f>
        <v>300.72820267660154</v>
      </c>
      <c r="AO13" s="60">
        <f t="shared" si="36"/>
        <v>228.35388778608589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1.4025641025641027</v>
      </c>
      <c r="BD13" s="13">
        <f>IF('Données projet'!$A$88&gt;35,BD12+BC13-BL12,IF(A13&lt;'Données projet'!$A$88,$BA$205^A13,IF(A13='Données projet'!$A$88,'Données projet'!$B$88,BD12+BC13-BL12)))</f>
        <v>7.6209536257186246</v>
      </c>
      <c r="BE13" s="14">
        <f>BD13*VLOOKUP('Données projet'!$B$11,Paramètres!$A$1:$I$89,3,0)*VLOOKUP('Données projet'!$B$11,Paramètres!$A$1:$I$89,5,0)</f>
        <v>4.4582578710453955</v>
      </c>
      <c r="BF13" s="14">
        <f t="shared" si="37"/>
        <v>1.7264516582285898</v>
      </c>
      <c r="BG13" s="22">
        <f t="shared" si="7"/>
        <v>10.771702430152191</v>
      </c>
      <c r="BH13" s="60">
        <f t="shared" si="8"/>
        <v>162.69624642519821</v>
      </c>
      <c r="BI13" s="60">
        <f ca="1">AVERAGE(OFFSET($BH$3,0,0,'Données projet'!$E$11+1,1))-AVERAGE(OFFSET($H$3,0,0,'Données projet'!$E$11+1,1))</f>
        <v>221.18884567967481</v>
      </c>
      <c r="BJ13" s="60">
        <f t="shared" si="38"/>
        <v>189.31596996710888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15.341666666666667</v>
      </c>
      <c r="BW13" s="13">
        <f>VLOOKUP(A13,'Données projet'!$A$113:$I$133,9,0)</f>
        <v>1.5341666666666667</v>
      </c>
      <c r="BX13" s="13">
        <f t="array" ref="BX13">INDEX(BW:BW,MIN(IF(ISNUMBER(BW13:BW209),ROW(BW13:BW209),"")))</f>
        <v>1.5341666666666667</v>
      </c>
      <c r="BY13" s="13">
        <f>IF('Données projet'!$A$114&gt;35,BY12+BX13-CG12,IF(A13&lt;'Données projet'!$A$114,$BV$205^A13,IF(A13='Données projet'!$A$114,'Données projet'!$B$114,BY12+BX13-CG12)))</f>
        <v>15.341666666666667</v>
      </c>
      <c r="BZ13" s="14">
        <f>BY13*VLOOKUP('Données projet'!$B$12,Paramètres!$A$1:$I$89,3,0)*VLOOKUP('Données projet'!$B$12,Paramètres!$A$1:$I$89,5,0)</f>
        <v>17.6736</v>
      </c>
      <c r="CA13" s="14">
        <f t="shared" si="39"/>
        <v>5.8302671336764922</v>
      </c>
      <c r="CB13" s="22">
        <f t="shared" si="10"/>
        <v>40.935901924486565</v>
      </c>
      <c r="CC13" s="60">
        <f t="shared" si="11"/>
        <v>192.86044591953257</v>
      </c>
      <c r="CD13" s="60">
        <f ca="1">AVERAGE(OFFSET($CC$3,0,0,'Données projet'!$E$12+1,1))-AVERAGE(OFFSET($H$3,0,0,'Données projet'!$E$12+1,1))</f>
        <v>314.72063458462026</v>
      </c>
      <c r="CE13" s="60">
        <f t="shared" si="40"/>
        <v>216.4380325968244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4.1958716127621871</v>
      </c>
      <c r="CV13" s="14">
        <f t="shared" si="41"/>
        <v>1.63635584772744</v>
      </c>
      <c r="CW13" s="22">
        <f t="shared" si="13"/>
        <v>10.157796160352767</v>
      </c>
      <c r="CX13" s="60">
        <f t="shared" si="14"/>
        <v>162.08234015539878</v>
      </c>
      <c r="CY13" s="60">
        <f ca="1">AVERAGE(OFFSET($CX$3,0,0,'Données projet'!$E$13+1,1))-AVERAGE(OFFSET($H$3,0,0,'Données projet'!$E$13+1,1))</f>
        <v>465.51503238626822</v>
      </c>
      <c r="CZ13" s="60">
        <f t="shared" si="42"/>
        <v>205.55320107663496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1.2</v>
      </c>
      <c r="DO13" s="13">
        <f>IF('Données projet'!$A$166&gt;35,DO12+DN13-DW12,IF(A13&lt;'Données projet'!$A$166,$DL$205^A13,IF(A13='Données projet'!$A$166,'Données projet'!$B$166,DO12+DN13-DW12)))</f>
        <v>3.8980598409161908</v>
      </c>
      <c r="DP13" s="18">
        <f>DO13*VLOOKUP('Données projet'!$B$14,Paramètres!$A$1:$I$89,3,0)*VLOOKUP('Données projet'!$B$14,Paramètres!$A$1:$I$89,5,0)</f>
        <v>3.3445353435060925</v>
      </c>
      <c r="DQ13" s="14">
        <f t="shared" si="43"/>
        <v>1.3392299979078051</v>
      </c>
      <c r="DR13" s="22">
        <f t="shared" si="16"/>
        <v>8.1575579696292042</v>
      </c>
      <c r="DS13" s="60">
        <f t="shared" si="17"/>
        <v>160.08210196467522</v>
      </c>
      <c r="DT13" s="60">
        <f ca="1">AVERAGE(OFFSET($DS$3,0,0,'Données projet'!$E$14+1,1))-AVERAGE(OFFSET($H$3,0,0,'Données projet'!$E$14+1,1))</f>
        <v>393.79546872270964</v>
      </c>
      <c r="DU13" s="60">
        <f t="shared" si="44"/>
        <v>179.7333990060757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135.66666666666666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1.9038461538461537</v>
      </c>
      <c r="N14" s="14">
        <f>IF('Données projet'!$A$36&gt;35,N13+M14-V13,IF(A14&lt;'Données projet'!$A$36,$K$205^A14,IF(A14='Données projet'!$A$36,'Données projet'!$B$36,N13+M14-V13)))</f>
        <v>4.40699751292098</v>
      </c>
      <c r="O14" s="14">
        <f>N14*VLOOKUP('Données projet'!$B$9,Paramètres!$A$1:$I$89,3,0)*VLOOKUP('Données projet'!$B$9,Paramètres!$A$1:$I$89,5,0)</f>
        <v>2.0624748360470186</v>
      </c>
      <c r="P14" s="14">
        <f t="shared" si="33"/>
        <v>0.87366690260851676</v>
      </c>
      <c r="Q14" s="22">
        <f t="shared" si="2"/>
        <v>5.1137801948250576</v>
      </c>
      <c r="R14" s="60">
        <f t="shared" si="0"/>
        <v>160.28961630290075</v>
      </c>
      <c r="S14" s="60">
        <f ca="1">AVERAGE(OFFSET($R$3,0,0,'Données projet'!$E$9+1,1))-AVERAGE(OFFSET($H$3,0,0,'Données projet'!$E$9+1,1))</f>
        <v>291.44524568678776</v>
      </c>
      <c r="T14" s="60">
        <f t="shared" si="34"/>
        <v>136.43373205899937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4.0533333333333328</v>
      </c>
      <c r="AI14" s="14">
        <f>IF('Données projet'!$A$62&gt;35,AI13+AH14-AQ13,IF(A14&lt;'Données projet'!$A$62,$AF$205^A14,IF(A14='Données projet'!$A$62,'Données projet'!$B$62,AI13+AH14-AQ13)))</f>
        <v>20.332742382210601</v>
      </c>
      <c r="AJ14" s="14">
        <f>AI14*VLOOKUP('Données projet'!$B$10,Paramètres!$A$1:$I$89,3,0)*VLOOKUP('Données projet'!$B$10,Paramètres!$A$1:$I$89,5,0)</f>
        <v>10.573026038749514</v>
      </c>
      <c r="AK14" s="14">
        <f t="shared" si="35"/>
        <v>3.7028367716332777</v>
      </c>
      <c r="AL14" s="22">
        <f t="shared" si="4"/>
        <v>24.86379439475003</v>
      </c>
      <c r="AM14" s="60">
        <f t="shared" si="5"/>
        <v>180.03963050282573</v>
      </c>
      <c r="AN14" s="60">
        <f ca="1">AVERAGE(OFFSET($AM$3,0,0,'Données projet'!$E$10+1,1))-AVERAGE(OFFSET($H$3,0,0,'Données projet'!$E$10+1,1))</f>
        <v>300.72820267660154</v>
      </c>
      <c r="AO14" s="60">
        <f t="shared" si="36"/>
        <v>228.35388778608589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1.4025641025641027</v>
      </c>
      <c r="BD14" s="13">
        <f>IF('Données projet'!$A$88&gt;35,BD13+BC14-BL13,IF(A14&lt;'Données projet'!$A$88,$BA$205^A14,IF(A14='Données projet'!$A$88,'Données projet'!$B$88,BD13+BC14-BL13)))</f>
        <v>9.3370621758369623</v>
      </c>
      <c r="BE14" s="14">
        <f>BD14*VLOOKUP('Données projet'!$B$11,Paramètres!$A$1:$I$89,3,0)*VLOOKUP('Données projet'!$B$11,Paramètres!$A$1:$I$89,5,0)</f>
        <v>5.4621813728646238</v>
      </c>
      <c r="BF14" s="14">
        <f t="shared" si="37"/>
        <v>2.0658023434163346</v>
      </c>
      <c r="BG14" s="22">
        <f t="shared" si="7"/>
        <v>13.111238305856004</v>
      </c>
      <c r="BH14" s="60">
        <f t="shared" si="8"/>
        <v>168.28707441393169</v>
      </c>
      <c r="BI14" s="60">
        <f ca="1">AVERAGE(OFFSET($BH$3,0,0,'Données projet'!$E$11+1,1))-AVERAGE(OFFSET($H$3,0,0,'Données projet'!$E$11+1,1))</f>
        <v>221.18884567967481</v>
      </c>
      <c r="BJ14" s="60">
        <f t="shared" si="38"/>
        <v>189.31596996710888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1.9558333333333331</v>
      </c>
      <c r="BY14" s="13">
        <f>IF('Données projet'!$A$114&gt;35,BY13+BX14-CG13,IF(A14&lt;'Données projet'!$A$114,$BV$205^A14,IF(A14='Données projet'!$A$114,'Données projet'!$B$114,BY13+BX14-CG13)))</f>
        <v>17.297499999999999</v>
      </c>
      <c r="BZ14" s="14">
        <f>BY14*VLOOKUP('Données projet'!$B$12,Paramètres!$A$1:$I$89,3,0)*VLOOKUP('Données projet'!$B$12,Paramètres!$A$1:$I$89,5,0)</f>
        <v>19.92672</v>
      </c>
      <c r="CA14" s="14">
        <f t="shared" si="39"/>
        <v>6.4823660887173542</v>
      </c>
      <c r="CB14" s="22">
        <f t="shared" si="10"/>
        <v>45.995824937849385</v>
      </c>
      <c r="CC14" s="60">
        <f t="shared" si="11"/>
        <v>201.17166104592508</v>
      </c>
      <c r="CD14" s="60">
        <f ca="1">AVERAGE(OFFSET($CC$3,0,0,'Données projet'!$E$12+1,1))-AVERAGE(OFFSET($H$3,0,0,'Données projet'!$E$12+1,1))</f>
        <v>314.72063458462026</v>
      </c>
      <c r="CE14" s="60">
        <f t="shared" si="40"/>
        <v>216.4380325968244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4.8073643790744889</v>
      </c>
      <c r="CV14" s="14">
        <f t="shared" si="41"/>
        <v>1.8453770977306692</v>
      </c>
      <c r="CW14" s="22">
        <f t="shared" si="13"/>
        <v>11.586858072102316</v>
      </c>
      <c r="CX14" s="60">
        <f t="shared" si="14"/>
        <v>166.76269418017802</v>
      </c>
      <c r="CY14" s="60">
        <f ca="1">AVERAGE(OFFSET($CX$3,0,0,'Données projet'!$E$13+1,1))-AVERAGE(OFFSET($H$3,0,0,'Données projet'!$E$13+1,1))</f>
        <v>465.51503238626822</v>
      </c>
      <c r="CZ14" s="60">
        <f t="shared" si="42"/>
        <v>205.55320107663496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1.2</v>
      </c>
      <c r="DO14" s="13">
        <f>IF('Données projet'!$A$166&gt;35,DO13+DN14-DW13,IF(A14&lt;'Données projet'!$A$166,$DL$205^A14,IF(A14='Données projet'!$A$166,'Données projet'!$B$166,DO13+DN14-DW13)))</f>
        <v>4.4661504822319662</v>
      </c>
      <c r="DP14" s="18">
        <f>DO14*VLOOKUP('Données projet'!$B$14,Paramètres!$A$1:$I$89,3,0)*VLOOKUP('Données projet'!$B$14,Paramètres!$A$1:$I$89,5,0)</f>
        <v>3.8319571137550277</v>
      </c>
      <c r="DQ14" s="14">
        <f t="shared" si="43"/>
        <v>1.5102976349338662</v>
      </c>
      <c r="DR14" s="22">
        <f t="shared" si="16"/>
        <v>9.3044270206331561</v>
      </c>
      <c r="DS14" s="60">
        <f t="shared" si="17"/>
        <v>164.48026312870883</v>
      </c>
      <c r="DT14" s="60">
        <f ca="1">AVERAGE(OFFSET($DS$3,0,0,'Données projet'!$E$14+1,1))-AVERAGE(OFFSET($H$3,0,0,'Données projet'!$E$14+1,1))</f>
        <v>393.79546872270964</v>
      </c>
      <c r="DU14" s="60">
        <f t="shared" si="44"/>
        <v>179.7333990060757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135.66666666666666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1.9038461538461537</v>
      </c>
      <c r="N15" s="14">
        <f>IF('Données projet'!$A$36&gt;35,N14+M15-V14,IF(A15&lt;'Données projet'!$A$36,$K$205^A15,IF(A15='Données projet'!$A$36,'Données projet'!$B$36,N14+M15-V14)))</f>
        <v>5.0431425282460074</v>
      </c>
      <c r="O15" s="14">
        <f>N15*VLOOKUP('Données projet'!$B$9,Paramètres!$A$1:$I$89,3,0)*VLOOKUP('Données projet'!$B$9,Paramètres!$A$1:$I$89,5,0)</f>
        <v>2.3601907032191316</v>
      </c>
      <c r="P15" s="14">
        <f t="shared" si="33"/>
        <v>0.98421078179811516</v>
      </c>
      <c r="Q15" s="22">
        <f t="shared" si="2"/>
        <v>5.8248325864050381</v>
      </c>
      <c r="R15" s="60">
        <f t="shared" si="0"/>
        <v>164.21676098122566</v>
      </c>
      <c r="S15" s="60">
        <f ca="1">AVERAGE(OFFSET($R$3,0,0,'Données projet'!$E$9+1,1))-AVERAGE(OFFSET($H$3,0,0,'Données projet'!$E$9+1,1))</f>
        <v>291.44524568678776</v>
      </c>
      <c r="T15" s="60">
        <f t="shared" si="34"/>
        <v>136.43373205899937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4.0533333333333328</v>
      </c>
      <c r="AI15" s="14">
        <f>IF('Données projet'!$A$62&gt;35,AI14+AH15-AQ14,IF(A15&lt;'Données projet'!$A$62,$AF$205^A15,IF(A15='Données projet'!$A$62,'Données projet'!$B$62,AI14+AH15-AQ14)))</f>
        <v>26.737627184418258</v>
      </c>
      <c r="AJ15" s="14">
        <f>AI15*VLOOKUP('Données projet'!$B$10,Paramètres!$A$1:$I$89,3,0)*VLOOKUP('Données projet'!$B$10,Paramètres!$A$1:$I$89,5,0)</f>
        <v>13.903566135897496</v>
      </c>
      <c r="AK15" s="14">
        <f t="shared" si="35"/>
        <v>4.7164841729633187</v>
      </c>
      <c r="AL15" s="22">
        <f t="shared" si="4"/>
        <v>32.429920954599254</v>
      </c>
      <c r="AM15" s="60">
        <f t="shared" si="5"/>
        <v>190.82184934941986</v>
      </c>
      <c r="AN15" s="60">
        <f ca="1">AVERAGE(OFFSET($AM$3,0,0,'Données projet'!$E$10+1,1))-AVERAGE(OFFSET($H$3,0,0,'Données projet'!$E$10+1,1))</f>
        <v>300.72820267660154</v>
      </c>
      <c r="AO15" s="60">
        <f t="shared" si="36"/>
        <v>228.35388778608589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1.4025641025641027</v>
      </c>
      <c r="BD15" s="13">
        <f>IF('Données projet'!$A$88&gt;35,BD14+BC15-BL14,IF(A15&lt;'Données projet'!$A$88,$BA$205^A15,IF(A15='Données projet'!$A$88,'Données projet'!$B$88,BD14+BC15-BL14)))</f>
        <v>11.43960905118675</v>
      </c>
      <c r="BE15" s="14">
        <f>BD15*VLOOKUP('Données projet'!$B$11,Paramètres!$A$1:$I$89,3,0)*VLOOKUP('Données projet'!$B$11,Paramètres!$A$1:$I$89,5,0)</f>
        <v>6.6921712949442487</v>
      </c>
      <c r="BF15" s="14">
        <f t="shared" si="37"/>
        <v>2.4718556709795672</v>
      </c>
      <c r="BG15" s="22">
        <f t="shared" si="7"/>
        <v>15.960680298983979</v>
      </c>
      <c r="BH15" s="60">
        <f t="shared" si="8"/>
        <v>174.3526086938046</v>
      </c>
      <c r="BI15" s="60">
        <f ca="1">AVERAGE(OFFSET($BH$3,0,0,'Données projet'!$E$11+1,1))-AVERAGE(OFFSET($H$3,0,0,'Données projet'!$E$11+1,1))</f>
        <v>221.18884567967481</v>
      </c>
      <c r="BJ15" s="60">
        <f t="shared" si="38"/>
        <v>189.31596996710888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1.9558333333333331</v>
      </c>
      <c r="BY15" s="13">
        <f>IF('Données projet'!$A$114&gt;35,BY14+BX15-CG14,IF(A15&lt;'Données projet'!$A$114,$BV$205^A15,IF(A15='Données projet'!$A$114,'Données projet'!$B$114,BY14+BX15-CG14)))</f>
        <v>19.253333333333334</v>
      </c>
      <c r="BZ15" s="14">
        <f>BY15*VLOOKUP('Données projet'!$B$12,Paramètres!$A$1:$I$89,3,0)*VLOOKUP('Données projet'!$B$12,Paramètres!$A$1:$I$89,5,0)</f>
        <v>22.179839999999999</v>
      </c>
      <c r="CA15" s="14">
        <f t="shared" si="39"/>
        <v>7.1259195506874313</v>
      </c>
      <c r="CB15" s="22">
        <f t="shared" si="10"/>
        <v>51.040864550780604</v>
      </c>
      <c r="CC15" s="60">
        <f t="shared" si="11"/>
        <v>209.43279294560122</v>
      </c>
      <c r="CD15" s="60">
        <f ca="1">AVERAGE(OFFSET($CC$3,0,0,'Données projet'!$E$12+1,1))-AVERAGE(OFFSET($H$3,0,0,'Données projet'!$E$12+1,1))</f>
        <v>314.72063458462026</v>
      </c>
      <c r="CE15" s="60">
        <f t="shared" si="40"/>
        <v>216.4380325968244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5.5079741245896177</v>
      </c>
      <c r="CV15" s="14">
        <f t="shared" si="41"/>
        <v>2.0810978477317659</v>
      </c>
      <c r="CW15" s="22">
        <f t="shared" si="13"/>
        <v>13.217633685126408</v>
      </c>
      <c r="CX15" s="60">
        <f t="shared" si="14"/>
        <v>171.60956207994701</v>
      </c>
      <c r="CY15" s="60">
        <f ca="1">AVERAGE(OFFSET($CX$3,0,0,'Données projet'!$E$13+1,1))-AVERAGE(OFFSET($H$3,0,0,'Données projet'!$E$13+1,1))</f>
        <v>465.51503238626822</v>
      </c>
      <c r="CZ15" s="60">
        <f t="shared" si="42"/>
        <v>205.55320107663496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1.2</v>
      </c>
      <c r="DO15" s="13">
        <f>IF('Données projet'!$A$166&gt;35,DO14+DN15-DW14,IF(A15&lt;'Données projet'!$A$166,$DL$205^A15,IF(A15='Données projet'!$A$166,'Données projet'!$B$166,DO14+DN15-DW14)))</f>
        <v>5.1170328173444979</v>
      </c>
      <c r="DP15" s="18">
        <f>DO15*VLOOKUP('Données projet'!$B$14,Paramètres!$A$1:$I$89,3,0)*VLOOKUP('Données projet'!$B$14,Paramètres!$A$1:$I$89,5,0)</f>
        <v>4.3904141572815805</v>
      </c>
      <c r="DQ15" s="14">
        <f t="shared" si="43"/>
        <v>1.7032167362217772</v>
      </c>
      <c r="DR15" s="22">
        <f t="shared" si="16"/>
        <v>10.613073806185014</v>
      </c>
      <c r="DS15" s="60">
        <f t="shared" si="17"/>
        <v>169.00500220100562</v>
      </c>
      <c r="DT15" s="60">
        <f ca="1">AVERAGE(OFFSET($DS$3,0,0,'Données projet'!$E$14+1,1))-AVERAGE(OFFSET($H$3,0,0,'Données projet'!$E$14+1,1))</f>
        <v>393.79546872270964</v>
      </c>
      <c r="DU15" s="60">
        <f t="shared" si="44"/>
        <v>179.7333990060757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135.66666666666666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1.9038461538461537</v>
      </c>
      <c r="N16" s="14">
        <f>IF('Données projet'!$A$36&gt;35,N15+M16-V15,IF(A16&lt;'Données projet'!$A$36,$K$205^A16,IF(A16='Données projet'!$A$36,'Données projet'!$B$36,N15+M16-V15)))</f>
        <v>5.7711143438667891</v>
      </c>
      <c r="O16" s="14">
        <f>N16*VLOOKUP('Données projet'!$B$9,Paramètres!$A$1:$I$89,3,0)*VLOOKUP('Données projet'!$B$9,Paramètres!$A$1:$I$89,5,0)</f>
        <v>2.7008815129296573</v>
      </c>
      <c r="P16" s="14">
        <f t="shared" si="33"/>
        <v>1.108741626946707</v>
      </c>
      <c r="Q16" s="22">
        <f t="shared" si="2"/>
        <v>6.6350936352846661</v>
      </c>
      <c r="R16" s="60">
        <f t="shared" si="0"/>
        <v>168.20852512885637</v>
      </c>
      <c r="S16" s="60">
        <f ca="1">AVERAGE(OFFSET($R$3,0,0,'Données projet'!$E$9+1,1))-AVERAGE(OFFSET($H$3,0,0,'Données projet'!$E$9+1,1))</f>
        <v>291.44524568678776</v>
      </c>
      <c r="T16" s="60">
        <f t="shared" si="34"/>
        <v>136.43373205899937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4.0533333333333328</v>
      </c>
      <c r="AI16" s="14">
        <f>IF('Données projet'!$A$62&gt;35,AI15+AH16-AQ15,IF(A16&lt;'Données projet'!$A$62,$AF$205^A16,IF(A16='Données projet'!$A$62,'Données projet'!$B$62,AI15+AH16-AQ15)))</f>
        <v>35.160073049389482</v>
      </c>
      <c r="AJ16" s="14">
        <f>AI16*VLOOKUP('Données projet'!$B$10,Paramètres!$A$1:$I$89,3,0)*VLOOKUP('Données projet'!$B$10,Paramètres!$A$1:$I$89,5,0)</f>
        <v>18.283237985682533</v>
      </c>
      <c r="AK16" s="14">
        <f t="shared" si="35"/>
        <v>6.0076164102695166</v>
      </c>
      <c r="AL16" s="22">
        <f t="shared" si="4"/>
        <v>42.306571406283155</v>
      </c>
      <c r="AM16" s="60">
        <f t="shared" si="5"/>
        <v>203.88000289985484</v>
      </c>
      <c r="AN16" s="60">
        <f ca="1">AVERAGE(OFFSET($AM$3,0,0,'Données projet'!$E$10+1,1))-AVERAGE(OFFSET($H$3,0,0,'Données projet'!$E$10+1,1))</f>
        <v>300.72820267660154</v>
      </c>
      <c r="AO16" s="60">
        <f t="shared" si="36"/>
        <v>228.35388778608589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1.4025641025641027</v>
      </c>
      <c r="BD16" s="13">
        <f>IF('Données projet'!$A$88&gt;35,BD15+BC16-BL15,IF(A16&lt;'Données projet'!$A$88,$BA$205^A16,IF(A16='Données projet'!$A$88,'Données projet'!$B$88,BD15+BC16-BL15)))</f>
        <v>14.015613560189589</v>
      </c>
      <c r="BE16" s="14">
        <f>BD16*VLOOKUP('Données projet'!$B$11,Paramètres!$A$1:$I$89,3,0)*VLOOKUP('Données projet'!$B$11,Paramètres!$A$1:$I$89,5,0)</f>
        <v>8.1991339327109092</v>
      </c>
      <c r="BF16" s="14">
        <f t="shared" si="37"/>
        <v>2.9577226870840314</v>
      </c>
      <c r="BG16" s="22">
        <f t="shared" si="7"/>
        <v>19.431525279476187</v>
      </c>
      <c r="BH16" s="60">
        <f t="shared" si="8"/>
        <v>181.00495677304787</v>
      </c>
      <c r="BI16" s="60">
        <f ca="1">AVERAGE(OFFSET($BH$3,0,0,'Données projet'!$E$11+1,1))-AVERAGE(OFFSET($H$3,0,0,'Données projet'!$E$11+1,1))</f>
        <v>221.18884567967481</v>
      </c>
      <c r="BJ16" s="60">
        <f t="shared" si="38"/>
        <v>189.31596996710888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1.9558333333333331</v>
      </c>
      <c r="BY16" s="13">
        <f>IF('Données projet'!$A$114&gt;35,BY15+BX16-CG15,IF(A16&lt;'Données projet'!$A$114,$BV$205^A16,IF(A16='Données projet'!$A$114,'Données projet'!$B$114,BY15+BX16-CG15)))</f>
        <v>21.209166666666668</v>
      </c>
      <c r="BZ16" s="14">
        <f>BY16*VLOOKUP('Données projet'!$B$12,Paramètres!$A$1:$I$89,3,0)*VLOOKUP('Données projet'!$B$12,Paramètres!$A$1:$I$89,5,0)</f>
        <v>24.432960000000001</v>
      </c>
      <c r="CA16" s="14">
        <f t="shared" si="39"/>
        <v>7.7618944497956903</v>
      </c>
      <c r="CB16" s="22">
        <f t="shared" si="10"/>
        <v>56.072704833394162</v>
      </c>
      <c r="CC16" s="60">
        <f t="shared" si="11"/>
        <v>217.64613632696586</v>
      </c>
      <c r="CD16" s="60">
        <f ca="1">AVERAGE(OFFSET($CC$3,0,0,'Données projet'!$E$12+1,1))-AVERAGE(OFFSET($H$3,0,0,'Données projet'!$E$12+1,1))</f>
        <v>314.72063458462026</v>
      </c>
      <c r="CE16" s="60">
        <f t="shared" si="40"/>
        <v>216.4380325968244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6.3106884697991985</v>
      </c>
      <c r="CV16" s="14">
        <f t="shared" si="41"/>
        <v>2.346928580158357</v>
      </c>
      <c r="CW16" s="22">
        <f t="shared" si="13"/>
        <v>15.078683028676075</v>
      </c>
      <c r="CX16" s="60">
        <f t="shared" si="14"/>
        <v>176.65211452224776</v>
      </c>
      <c r="CY16" s="60">
        <f ca="1">AVERAGE(OFFSET($CX$3,0,0,'Données projet'!$E$13+1,1))-AVERAGE(OFFSET($H$3,0,0,'Données projet'!$E$13+1,1))</f>
        <v>465.51503238626822</v>
      </c>
      <c r="CZ16" s="60">
        <f t="shared" si="42"/>
        <v>205.55320107663496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1.2</v>
      </c>
      <c r="DO16" s="13">
        <f>IF('Données projet'!$A$166&gt;35,DO15+DN16-DW15,IF(A16&lt;'Données projet'!$A$166,$DL$205^A16,IF(A16='Données projet'!$A$166,'Données projet'!$B$166,DO15+DN16-DW15)))</f>
        <v>5.8627726400958746</v>
      </c>
      <c r="DP16" s="18">
        <f>DO16*VLOOKUP('Données projet'!$B$14,Paramètres!$A$1:$I$89,3,0)*VLOOKUP('Données projet'!$B$14,Paramètres!$A$1:$I$89,5,0)</f>
        <v>5.0302589252022614</v>
      </c>
      <c r="DQ16" s="14">
        <f t="shared" si="43"/>
        <v>1.9207785163968634</v>
      </c>
      <c r="DR16" s="22">
        <f t="shared" si="16"/>
        <v>12.106390210785142</v>
      </c>
      <c r="DS16" s="60">
        <f t="shared" si="17"/>
        <v>173.67982170435684</v>
      </c>
      <c r="DT16" s="60">
        <f ca="1">AVERAGE(OFFSET($DS$3,0,0,'Données projet'!$E$14+1,1))-AVERAGE(OFFSET($H$3,0,0,'Données projet'!$E$14+1,1))</f>
        <v>393.79546872270964</v>
      </c>
      <c r="DU16" s="60">
        <f t="shared" si="44"/>
        <v>179.7333990060757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135.66666666666666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1.9038461538461537</v>
      </c>
      <c r="N17" s="14">
        <f>IF('Données projet'!$A$36&gt;35,N16+M17-V16,IF(A17&lt;'Données projet'!$A$36,$K$205^A17,IF(A17='Données projet'!$A$36,'Données projet'!$B$36,N16+M17-V16)))</f>
        <v>6.6041680526464637</v>
      </c>
      <c r="O17" s="14">
        <f>N17*VLOOKUP('Données projet'!$B$9,Paramètres!$A$1:$I$89,3,0)*VLOOKUP('Données projet'!$B$9,Paramètres!$A$1:$I$89,5,0)</f>
        <v>3.0907506486385445</v>
      </c>
      <c r="P17" s="14">
        <f t="shared" si="33"/>
        <v>1.2490291897417869</v>
      </c>
      <c r="Q17" s="22">
        <f t="shared" si="2"/>
        <v>7.5584498851790762</v>
      </c>
      <c r="R17" s="60">
        <f t="shared" si="0"/>
        <v>172.27939533458988</v>
      </c>
      <c r="S17" s="60">
        <f ca="1">AVERAGE(OFFSET($R$3,0,0,'Données projet'!$E$9+1,1))-AVERAGE(OFFSET($H$3,0,0,'Données projet'!$E$9+1,1))</f>
        <v>291.44524568678776</v>
      </c>
      <c r="T17" s="60">
        <f t="shared" si="34"/>
        <v>136.43373205899937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4.0533333333333328</v>
      </c>
      <c r="AI17" s="14">
        <f>IF('Données projet'!$A$62&gt;35,AI16+AH17-AQ16,IF(A17&lt;'Données projet'!$A$62,$AF$205^A17,IF(A17='Données projet'!$A$62,'Données projet'!$B$62,AI16+AH17-AQ16)))</f>
        <v>46.235618752244257</v>
      </c>
      <c r="AJ17" s="14">
        <f>AI17*VLOOKUP('Données projet'!$B$10,Paramètres!$A$1:$I$89,3,0)*VLOOKUP('Données projet'!$B$10,Paramètres!$A$1:$I$89,5,0)</f>
        <v>24.042521751167016</v>
      </c>
      <c r="AK17" s="14">
        <f t="shared" si="35"/>
        <v>7.6521946452888621</v>
      </c>
      <c r="AL17" s="22">
        <f t="shared" si="4"/>
        <v>55.201631057160647</v>
      </c>
      <c r="AM17" s="60">
        <f t="shared" si="5"/>
        <v>219.92257650657146</v>
      </c>
      <c r="AN17" s="60">
        <f ca="1">AVERAGE(OFFSET($AM$3,0,0,'Données projet'!$E$10+1,1))-AVERAGE(OFFSET($H$3,0,0,'Données projet'!$E$10+1,1))</f>
        <v>300.72820267660154</v>
      </c>
      <c r="AO17" s="60">
        <f t="shared" si="36"/>
        <v>228.35388778608589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1.4025641025641027</v>
      </c>
      <c r="BD17" s="13">
        <f>IF('Données projet'!$A$88&gt;35,BD16+BC17-BL16,IF(A17&lt;'Données projet'!$A$88,$BA$205^A17,IF(A17='Données projet'!$A$88,'Données projet'!$B$88,BD16+BC17-BL16)))</f>
        <v>17.171690272771318</v>
      </c>
      <c r="BE17" s="14">
        <f>BD17*VLOOKUP('Données projet'!$B$11,Paramètres!$A$1:$I$89,3,0)*VLOOKUP('Données projet'!$B$11,Paramètres!$A$1:$I$89,5,0)</f>
        <v>10.045438809571221</v>
      </c>
      <c r="BF17" s="14">
        <f t="shared" si="37"/>
        <v>3.539091540172651</v>
      </c>
      <c r="BG17" s="22">
        <f t="shared" si="7"/>
        <v>23.659723692470578</v>
      </c>
      <c r="BH17" s="60">
        <f t="shared" si="8"/>
        <v>188.38066914188138</v>
      </c>
      <c r="BI17" s="60">
        <f ca="1">AVERAGE(OFFSET($BH$3,0,0,'Données projet'!$E$11+1,1))-AVERAGE(OFFSET($H$3,0,0,'Données projet'!$E$11+1,1))</f>
        <v>221.18884567967481</v>
      </c>
      <c r="BJ17" s="60">
        <f t="shared" si="38"/>
        <v>189.31596996710888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1.9558333333333331</v>
      </c>
      <c r="BY17" s="13">
        <f>IF('Données projet'!$A$114&gt;35,BY16+BX17-CG16,IF(A17&lt;'Données projet'!$A$114,$BV$205^A17,IF(A17='Données projet'!$A$114,'Données projet'!$B$114,BY16+BX17-CG16)))</f>
        <v>23.165000000000003</v>
      </c>
      <c r="BZ17" s="14">
        <f>BY17*VLOOKUP('Données projet'!$B$12,Paramètres!$A$1:$I$89,3,0)*VLOOKUP('Données projet'!$B$12,Paramètres!$A$1:$I$89,5,0)</f>
        <v>26.68608</v>
      </c>
      <c r="CA17" s="14">
        <f t="shared" si="39"/>
        <v>8.3910691422038557</v>
      </c>
      <c r="CB17" s="22">
        <f t="shared" si="10"/>
        <v>61.092701422671723</v>
      </c>
      <c r="CC17" s="60">
        <f t="shared" si="11"/>
        <v>225.81364687208253</v>
      </c>
      <c r="CD17" s="60">
        <f ca="1">AVERAGE(OFFSET($CC$3,0,0,'Données projet'!$E$12+1,1))-AVERAGE(OFFSET($H$3,0,0,'Données projet'!$E$12+1,1))</f>
        <v>314.72063458462026</v>
      </c>
      <c r="CE17" s="60">
        <f t="shared" si="40"/>
        <v>216.4380325968244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7.2303878090247551</v>
      </c>
      <c r="CV17" s="14">
        <f t="shared" si="41"/>
        <v>2.6467154181950132</v>
      </c>
      <c r="CW17" s="22">
        <f t="shared" si="13"/>
        <v>17.202621454074428</v>
      </c>
      <c r="CX17" s="60">
        <f t="shared" si="14"/>
        <v>181.92356690348524</v>
      </c>
      <c r="CY17" s="60">
        <f ca="1">AVERAGE(OFFSET($CX$3,0,0,'Données projet'!$E$13+1,1))-AVERAGE(OFFSET($H$3,0,0,'Données projet'!$E$13+1,1))</f>
        <v>465.51503238626822</v>
      </c>
      <c r="CZ17" s="60">
        <f t="shared" si="42"/>
        <v>205.55320107663496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1.2</v>
      </c>
      <c r="DO17" s="13">
        <f>IF('Données projet'!$A$166&gt;35,DO16+DN17-DW16,IF(A17&lt;'Données projet'!$A$166,$DL$205^A17,IF(A17='Données projet'!$A$166,'Données projet'!$B$166,DO16+DN17-DW16)))</f>
        <v>6.7171941741218459</v>
      </c>
      <c r="DP17" s="18">
        <f>DO17*VLOOKUP('Données projet'!$B$14,Paramètres!$A$1:$I$89,3,0)*VLOOKUP('Données projet'!$B$14,Paramètres!$A$1:$I$89,5,0)</f>
        <v>5.7633526013965444</v>
      </c>
      <c r="DQ17" s="14">
        <f t="shared" si="43"/>
        <v>2.1661307281631461</v>
      </c>
      <c r="DR17" s="22">
        <f t="shared" si="16"/>
        <v>13.810516798983128</v>
      </c>
      <c r="DS17" s="60">
        <f t="shared" si="17"/>
        <v>178.53146224839392</v>
      </c>
      <c r="DT17" s="60">
        <f ca="1">AVERAGE(OFFSET($DS$3,0,0,'Données projet'!$E$14+1,1))-AVERAGE(OFFSET($H$3,0,0,'Données projet'!$E$14+1,1))</f>
        <v>393.79546872270964</v>
      </c>
      <c r="DU17" s="60">
        <f t="shared" si="44"/>
        <v>179.7333990060757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135.66666666666666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1.9038461538461537</v>
      </c>
      <c r="N18" s="14">
        <f>IF('Données projet'!$A$36&gt;35,N17+M18-V17,IF(A18&lt;'Données projet'!$A$36,$K$205^A18,IF(A18='Données projet'!$A$36,'Données projet'!$B$36,N17+M18-V17)))</f>
        <v>7.5574721048366946</v>
      </c>
      <c r="O18" s="14">
        <f>N18*VLOOKUP('Données projet'!$B$9,Paramètres!$A$1:$I$89,3,0)*VLOOKUP('Données projet'!$B$9,Paramètres!$A$1:$I$89,5,0)</f>
        <v>3.5368969450635732</v>
      </c>
      <c r="P18" s="14">
        <f t="shared" si="33"/>
        <v>1.4070671461332374</v>
      </c>
      <c r="Q18" s="22">
        <f t="shared" si="2"/>
        <v>8.6107374588344445</v>
      </c>
      <c r="R18" s="60">
        <f t="shared" si="0"/>
        <v>176.44579735681361</v>
      </c>
      <c r="S18" s="60">
        <f ca="1">AVERAGE(OFFSET($R$3,0,0,'Données projet'!$E$9+1,1))-AVERAGE(OFFSET($H$3,0,0,'Données projet'!$E$9+1,1))</f>
        <v>291.44524568678776</v>
      </c>
      <c r="T18" s="60">
        <f t="shared" si="34"/>
        <v>136.43373205899937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60.8</v>
      </c>
      <c r="AG18" s="13">
        <f>VLOOKUP(A18,'Données projet'!$A$61:$I$81,9,0)</f>
        <v>4.0533333333333328</v>
      </c>
      <c r="AH18" s="13">
        <f t="array" ref="AH18">INDEX(AG:AG,MIN(IF(ISNUMBER(AG18:AG214),ROW(AG18:AG214),"")))</f>
        <v>4.0533333333333328</v>
      </c>
      <c r="AI18" s="14">
        <f>IF('Données projet'!$A$62&gt;35,AI17+AH18-AQ17,IF(A18&lt;'Données projet'!$A$62,$AF$205^A18,IF(A18='Données projet'!$A$62,'Données projet'!$B$62,AI17+AH18-AQ17)))</f>
        <v>60.8</v>
      </c>
      <c r="AJ18" s="14">
        <f>AI18*VLOOKUP('Données projet'!$B$10,Paramètres!$A$1:$I$89,3,0)*VLOOKUP('Données projet'!$B$10,Paramètres!$A$1:$I$89,5,0)</f>
        <v>31.616000000000003</v>
      </c>
      <c r="AK18" s="14">
        <f t="shared" si="35"/>
        <v>9.7469743223436929</v>
      </c>
      <c r="AL18" s="22">
        <f t="shared" si="4"/>
        <v>72.040513611415278</v>
      </c>
      <c r="AM18" s="60">
        <f t="shared" si="5"/>
        <v>239.87557350939443</v>
      </c>
      <c r="AN18" s="60">
        <f ca="1">AVERAGE(OFFSET($AM$3,0,0,'Données projet'!$E$10+1,1))-AVERAGE(OFFSET($H$3,0,0,'Données projet'!$E$10+1,1))</f>
        <v>300.72820267660154</v>
      </c>
      <c r="AO18" s="60">
        <f t="shared" si="36"/>
        <v>228.35388778608589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21.03846153846154</v>
      </c>
      <c r="BB18" s="13">
        <f>VLOOKUP(A18,'Données projet'!$A$87:$I$107,9,0)</f>
        <v>1.4025641025641027</v>
      </c>
      <c r="BC18" s="13">
        <f t="array" ref="BC18">INDEX(BB:BB,MIN(IF(ISNUMBER(BB18:BB214),ROW(BB18:BB214),"")))</f>
        <v>1.4025641025641027</v>
      </c>
      <c r="BD18" s="13">
        <f>IF('Données projet'!$A$88&gt;35,BD17+BC18-BL17,IF(A18&lt;'Données projet'!$A$88,$BA$205^A18,IF(A18='Données projet'!$A$88,'Données projet'!$B$88,BD17+BC18-BL17)))</f>
        <v>21.03846153846154</v>
      </c>
      <c r="BE18" s="14">
        <f>BD18*VLOOKUP('Données projet'!$B$11,Paramètres!$A$1:$I$89,3,0)*VLOOKUP('Données projet'!$B$11,Paramètres!$A$1:$I$89,5,0)</f>
        <v>12.307500000000003</v>
      </c>
      <c r="BF18" s="14">
        <f t="shared" si="37"/>
        <v>4.234734035214764</v>
      </c>
      <c r="BG18" s="22">
        <f t="shared" si="7"/>
        <v>28.811057611332387</v>
      </c>
      <c r="BH18" s="60">
        <f t="shared" si="8"/>
        <v>196.64611750931155</v>
      </c>
      <c r="BI18" s="60">
        <f ca="1">AVERAGE(OFFSET($BH$3,0,0,'Données projet'!$E$11+1,1))-AVERAGE(OFFSET($H$3,0,0,'Données projet'!$E$11+1,1))</f>
        <v>221.18884567967481</v>
      </c>
      <c r="BJ18" s="60">
        <f t="shared" si="38"/>
        <v>189.31596996710888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1.9558333333333331</v>
      </c>
      <c r="BY18" s="13">
        <f>IF('Données projet'!$A$114&gt;35,BY17+BX18-CG17,IF(A18&lt;'Données projet'!$A$114,$BV$205^A18,IF(A18='Données projet'!$A$114,'Données projet'!$B$114,BY17+BX18-CG17)))</f>
        <v>25.120833333333337</v>
      </c>
      <c r="BZ18" s="14">
        <f>BY18*VLOOKUP('Données projet'!$B$12,Paramètres!$A$1:$I$89,3,0)*VLOOKUP('Données projet'!$B$12,Paramètres!$A$1:$I$89,5,0)</f>
        <v>28.939200000000003</v>
      </c>
      <c r="CA18" s="14">
        <f t="shared" si="39"/>
        <v>9.0140830494369073</v>
      </c>
      <c r="CB18" s="22">
        <f t="shared" si="10"/>
        <v>66.101967977769291</v>
      </c>
      <c r="CC18" s="60">
        <f t="shared" si="11"/>
        <v>233.93702787574847</v>
      </c>
      <c r="CD18" s="60">
        <f ca="1">AVERAGE(OFFSET($CC$3,0,0,'Données projet'!$E$12+1,1))-AVERAGE(OFFSET($H$3,0,0,'Données projet'!$E$12+1,1))</f>
        <v>314.72063458462026</v>
      </c>
      <c r="CE18" s="60">
        <f t="shared" si="40"/>
        <v>216.4380325968244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8.284121157157557</v>
      </c>
      <c r="CV18" s="14">
        <f t="shared" si="41"/>
        <v>2.9847957727109624</v>
      </c>
      <c r="CW18" s="22">
        <f t="shared" si="13"/>
        <v>19.626696986187671</v>
      </c>
      <c r="CX18" s="60">
        <f t="shared" si="14"/>
        <v>187.46175688416685</v>
      </c>
      <c r="CY18" s="60">
        <f ca="1">AVERAGE(OFFSET($CX$3,0,0,'Données projet'!$E$13+1,1))-AVERAGE(OFFSET($H$3,0,0,'Données projet'!$E$13+1,1))</f>
        <v>465.51503238626822</v>
      </c>
      <c r="CZ18" s="60">
        <f t="shared" si="42"/>
        <v>205.55320107663496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1.2</v>
      </c>
      <c r="DO18" s="13">
        <f>IF('Données projet'!$A$166&gt;35,DO17+DN18-DW17,IF(A18&lt;'Données projet'!$A$166,$DL$205^A18,IF(A18='Données projet'!$A$166,'Données projet'!$B$166,DO17+DN18-DW17)))</f>
        <v>7.6961363407260848</v>
      </c>
      <c r="DP18" s="18">
        <f>DO18*VLOOKUP('Données projet'!$B$14,Paramètres!$A$1:$I$89,3,0)*VLOOKUP('Données projet'!$B$14,Paramètres!$A$1:$I$89,5,0)</f>
        <v>6.6032849803429814</v>
      </c>
      <c r="DQ18" s="14">
        <f t="shared" si="43"/>
        <v>2.4428232049858765</v>
      </c>
      <c r="DR18" s="22">
        <f t="shared" si="16"/>
        <v>15.755305089447759</v>
      </c>
      <c r="DS18" s="60">
        <f t="shared" si="17"/>
        <v>183.59036498742694</v>
      </c>
      <c r="DT18" s="60">
        <f ca="1">AVERAGE(OFFSET($DS$3,0,0,'Données projet'!$E$14+1,1))-AVERAGE(OFFSET($H$3,0,0,'Données projet'!$E$14+1,1))</f>
        <v>393.79546872270964</v>
      </c>
      <c r="DU18" s="60">
        <f t="shared" si="44"/>
        <v>179.7333990060757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135.66666666666666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1.9038461538461537</v>
      </c>
      <c r="N19" s="14">
        <f>IF('Données projet'!$A$36&gt;35,N18+M19-V18,IF(A19&lt;'Données projet'!$A$36,$K$205^A19,IF(A19='Données projet'!$A$36,'Données projet'!$B$36,N18+M19-V18)))</f>
        <v>8.6483844990130372</v>
      </c>
      <c r="O19" s="14">
        <f>N19*VLOOKUP('Données projet'!$B$9,Paramètres!$A$1:$I$89,3,0)*VLOOKUP('Données projet'!$B$9,Paramètres!$A$1:$I$89,5,0)</f>
        <v>4.0474439455381015</v>
      </c>
      <c r="P19" s="14">
        <f t="shared" si="33"/>
        <v>1.5851014291642191</v>
      </c>
      <c r="Q19" s="22">
        <f t="shared" si="2"/>
        <v>9.8100165276065425</v>
      </c>
      <c r="R19" s="60">
        <f t="shared" si="0"/>
        <v>180.72637077366434</v>
      </c>
      <c r="S19" s="60">
        <f ca="1">AVERAGE(OFFSET($R$3,0,0,'Données projet'!$E$9+1,1))-AVERAGE(OFFSET($H$3,0,0,'Données projet'!$E$9+1,1))</f>
        <v>291.44524568678776</v>
      </c>
      <c r="T19" s="60">
        <f t="shared" si="34"/>
        <v>136.43373205899937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4.9800000000000013</v>
      </c>
      <c r="AI19" s="14">
        <f>IF('Données projet'!$A$62&gt;35,AI18+AH19-AQ18,IF(A19&lt;'Données projet'!$A$62,$AF$205^A19,IF(A19='Données projet'!$A$62,'Données projet'!$B$62,AI18+AH19-AQ18)))</f>
        <v>65.78</v>
      </c>
      <c r="AJ19" s="14">
        <f>AI19*VLOOKUP('Données projet'!$B$10,Paramètres!$A$1:$I$89,3,0)*VLOOKUP('Données projet'!$B$10,Paramètres!$A$1:$I$89,5,0)</f>
        <v>34.205600000000004</v>
      </c>
      <c r="AK19" s="14">
        <f t="shared" si="35"/>
        <v>10.449135526956775</v>
      </c>
      <c r="AL19" s="22">
        <f t="shared" si="4"/>
        <v>77.773664376116372</v>
      </c>
      <c r="AM19" s="60">
        <f t="shared" si="5"/>
        <v>248.69001862217419</v>
      </c>
      <c r="AN19" s="60">
        <f ca="1">AVERAGE(OFFSET($AM$3,0,0,'Données projet'!$E$10+1,1))-AVERAGE(OFFSET($H$3,0,0,'Données projet'!$E$10+1,1))</f>
        <v>300.72820267660154</v>
      </c>
      <c r="AO19" s="60">
        <f t="shared" si="36"/>
        <v>228.35388778608589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3.0276923076923068</v>
      </c>
      <c r="BD19" s="13">
        <f>IF('Données projet'!$A$88&gt;35,BD18+BC19-BL18,IF(A19&lt;'Données projet'!$A$88,$BA$205^A19,IF(A19='Données projet'!$A$88,'Données projet'!$B$88,BD18+BC19-BL18)))</f>
        <v>24.066153846153846</v>
      </c>
      <c r="BE19" s="14">
        <f>BD19*VLOOKUP('Données projet'!$B$11,Paramètres!$A$1:$I$89,3,0)*VLOOKUP('Données projet'!$B$11,Paramètres!$A$1:$I$89,5,0)</f>
        <v>14.0787</v>
      </c>
      <c r="BF19" s="14">
        <f t="shared" si="37"/>
        <v>4.7689408763838834</v>
      </c>
      <c r="BG19" s="22">
        <f t="shared" si="7"/>
        <v>32.826307859701934</v>
      </c>
      <c r="BH19" s="60">
        <f t="shared" si="8"/>
        <v>203.74266210575973</v>
      </c>
      <c r="BI19" s="60">
        <f ca="1">AVERAGE(OFFSET($BH$3,0,0,'Données projet'!$E$11+1,1))-AVERAGE(OFFSET($H$3,0,0,'Données projet'!$E$11+1,1))</f>
        <v>221.18884567967481</v>
      </c>
      <c r="BJ19" s="60">
        <f t="shared" si="38"/>
        <v>189.31596996710888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1.9558333333333331</v>
      </c>
      <c r="BY19" s="13">
        <f>IF('Données projet'!$A$114&gt;35,BY18+BX19-CG18,IF(A19&lt;'Données projet'!$A$114,$BV$205^A19,IF(A19='Données projet'!$A$114,'Données projet'!$B$114,BY18+BX19-CG18)))</f>
        <v>27.076666666666672</v>
      </c>
      <c r="BZ19" s="14">
        <f>BY19*VLOOKUP('Données projet'!$B$12,Paramètres!$A$1:$I$89,3,0)*VLOOKUP('Données projet'!$B$12,Paramètres!$A$1:$I$89,5,0)</f>
        <v>31.192320000000002</v>
      </c>
      <c r="CA19" s="14">
        <f t="shared" si="39"/>
        <v>9.6314703672580624</v>
      </c>
      <c r="CB19" s="22">
        <f t="shared" si="10"/>
        <v>71.101434889641112</v>
      </c>
      <c r="CC19" s="60">
        <f t="shared" si="11"/>
        <v>242.01778913569893</v>
      </c>
      <c r="CD19" s="60">
        <f ca="1">AVERAGE(OFFSET($CC$3,0,0,'Données projet'!$E$12+1,1))-AVERAGE(OFFSET($H$3,0,0,'Données projet'!$E$12+1,1))</f>
        <v>314.72063458462026</v>
      </c>
      <c r="CE19" s="60">
        <f t="shared" si="40"/>
        <v>216.4380325968244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9.4914221974107242</v>
      </c>
      <c r="CV19" s="14">
        <f t="shared" si="41"/>
        <v>3.3660610972935361</v>
      </c>
      <c r="CW19" s="22">
        <f t="shared" si="13"/>
        <v>22.393450071609919</v>
      </c>
      <c r="CX19" s="60">
        <f t="shared" si="14"/>
        <v>193.30980431766773</v>
      </c>
      <c r="CY19" s="60">
        <f ca="1">AVERAGE(OFFSET($CX$3,0,0,'Données projet'!$E$13+1,1))-AVERAGE(OFFSET($H$3,0,0,'Données projet'!$E$13+1,1))</f>
        <v>465.51503238626822</v>
      </c>
      <c r="CZ19" s="60">
        <f t="shared" si="42"/>
        <v>205.55320107663496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1.2</v>
      </c>
      <c r="DO19" s="13">
        <f>IF('Données projet'!$A$166&gt;35,DO18+DN19-DW18,IF(A19&lt;'Données projet'!$A$166,$DL$205^A19,IF(A19='Données projet'!$A$166,'Données projet'!$B$166,DO18+DN19-DW18)))</f>
        <v>8.8177463744060987</v>
      </c>
      <c r="DP19" s="18">
        <f>DO19*VLOOKUP('Données projet'!$B$14,Paramètres!$A$1:$I$89,3,0)*VLOOKUP('Données projet'!$B$14,Paramètres!$A$1:$I$89,5,0)</f>
        <v>7.5656263892404336</v>
      </c>
      <c r="DQ19" s="14">
        <f t="shared" si="43"/>
        <v>2.7548592212057956</v>
      </c>
      <c r="DR19" s="22">
        <f t="shared" si="16"/>
        <v>17.974845771527182</v>
      </c>
      <c r="DS19" s="60">
        <f t="shared" si="17"/>
        <v>188.89120001758499</v>
      </c>
      <c r="DT19" s="60">
        <f ca="1">AVERAGE(OFFSET($DS$3,0,0,'Données projet'!$E$14+1,1))-AVERAGE(OFFSET($H$3,0,0,'Données projet'!$E$14+1,1))</f>
        <v>393.79546872270964</v>
      </c>
      <c r="DU19" s="60">
        <f t="shared" si="44"/>
        <v>179.7333990060757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135.66666666666666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1.9038461538461537</v>
      </c>
      <c r="N20" s="14">
        <f>IF('Données projet'!$A$36&gt;35,N19+M20-V19,IF(A20&lt;'Données projet'!$A$36,$K$205^A20,IF(A20='Données projet'!$A$36,'Données projet'!$B$36,N19+M20-V19)))</f>
        <v>9.8967688408537189</v>
      </c>
      <c r="O20" s="14">
        <f>N20*VLOOKUP('Données projet'!$B$9,Paramètres!$A$1:$I$89,3,0)*VLOOKUP('Données projet'!$B$9,Paramètres!$A$1:$I$89,5,0)</f>
        <v>4.6316878175195404</v>
      </c>
      <c r="P20" s="14">
        <f t="shared" si="33"/>
        <v>1.7856621467164386</v>
      </c>
      <c r="Q20" s="22">
        <f t="shared" si="2"/>
        <v>11.176884521044329</v>
      </c>
      <c r="R20" s="60">
        <f t="shared" si="0"/>
        <v>185.14228237005977</v>
      </c>
      <c r="S20" s="60">
        <f ca="1">AVERAGE(OFFSET($R$3,0,0,'Données projet'!$E$9+1,1))-AVERAGE(OFFSET($H$3,0,0,'Données projet'!$E$9+1,1))</f>
        <v>291.44524568678776</v>
      </c>
      <c r="T20" s="60">
        <f t="shared" si="34"/>
        <v>136.43373205899937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4.9800000000000013</v>
      </c>
      <c r="AI20" s="14">
        <f>IF('Données projet'!$A$62&gt;35,AI19+AH20-AQ19,IF(A20&lt;'Données projet'!$A$62,$AF$205^A20,IF(A20='Données projet'!$A$62,'Données projet'!$B$62,AI19+AH20-AQ19)))</f>
        <v>70.760000000000005</v>
      </c>
      <c r="AJ20" s="14">
        <f>AI20*VLOOKUP('Données projet'!$B$10,Paramètres!$A$1:$I$89,3,0)*VLOOKUP('Données projet'!$B$10,Paramètres!$A$1:$I$89,5,0)</f>
        <v>36.795200000000001</v>
      </c>
      <c r="AK20" s="14">
        <f t="shared" si="35"/>
        <v>11.145130056976178</v>
      </c>
      <c r="AL20" s="22">
        <f t="shared" si="4"/>
        <v>83.496074849233494</v>
      </c>
      <c r="AM20" s="60">
        <f t="shared" si="5"/>
        <v>257.46147269824894</v>
      </c>
      <c r="AN20" s="60">
        <f ca="1">AVERAGE(OFFSET($AM$3,0,0,'Données projet'!$E$10+1,1))-AVERAGE(OFFSET($H$3,0,0,'Données projet'!$E$10+1,1))</f>
        <v>300.72820267660154</v>
      </c>
      <c r="AO20" s="60">
        <f t="shared" si="36"/>
        <v>228.35388778608589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3.0276923076923068</v>
      </c>
      <c r="BD20" s="13">
        <f>IF('Données projet'!$A$88&gt;35,BD19+BC20-BL19,IF(A20&lt;'Données projet'!$A$88,$BA$205^A20,IF(A20='Données projet'!$A$88,'Données projet'!$B$88,BD19+BC20-BL19)))</f>
        <v>27.093846153846151</v>
      </c>
      <c r="BE20" s="14">
        <f>BD20*VLOOKUP('Données projet'!$B$11,Paramètres!$A$1:$I$89,3,0)*VLOOKUP('Données projet'!$B$11,Paramètres!$A$1:$I$89,5,0)</f>
        <v>15.8499</v>
      </c>
      <c r="BF20" s="14">
        <f t="shared" si="37"/>
        <v>5.2953601604169283</v>
      </c>
      <c r="BG20" s="22">
        <f t="shared" si="7"/>
        <v>36.827994779392817</v>
      </c>
      <c r="BH20" s="60">
        <f t="shared" si="8"/>
        <v>210.79339262840824</v>
      </c>
      <c r="BI20" s="60">
        <f ca="1">AVERAGE(OFFSET($BH$3,0,0,'Données projet'!$E$11+1,1))-AVERAGE(OFFSET($H$3,0,0,'Données projet'!$E$11+1,1))</f>
        <v>221.18884567967481</v>
      </c>
      <c r="BJ20" s="60">
        <f t="shared" si="38"/>
        <v>189.31596996710888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1.9558333333333331</v>
      </c>
      <c r="BY20" s="13">
        <f>IF('Données projet'!$A$114&gt;35,BY19+BX20-CG19,IF(A20&lt;'Données projet'!$A$114,$BV$205^A20,IF(A20='Données projet'!$A$114,'Données projet'!$B$114,BY19+BX20-CG19)))</f>
        <v>29.032500000000006</v>
      </c>
      <c r="BZ20" s="14">
        <f>BY20*VLOOKUP('Données projet'!$B$12,Paramètres!$A$1:$I$89,3,0)*VLOOKUP('Données projet'!$B$12,Paramètres!$A$1:$I$89,5,0)</f>
        <v>33.445440000000005</v>
      </c>
      <c r="CA20" s="14">
        <f t="shared" si="39"/>
        <v>10.243683743720984</v>
      </c>
      <c r="CB20" s="22">
        <f t="shared" si="10"/>
        <v>76.091890520314053</v>
      </c>
      <c r="CC20" s="60">
        <f t="shared" si="11"/>
        <v>250.05728836932948</v>
      </c>
      <c r="CD20" s="60">
        <f ca="1">AVERAGE(OFFSET($CC$3,0,0,'Données projet'!$E$12+1,1))-AVERAGE(OFFSET($H$3,0,0,'Données projet'!$E$12+1,1))</f>
        <v>314.72063458462026</v>
      </c>
      <c r="CE20" s="60">
        <f t="shared" si="40"/>
        <v>216.4380325968244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10.874671388849128</v>
      </c>
      <c r="CV20" s="14">
        <f t="shared" si="41"/>
        <v>3.7960276593470508</v>
      </c>
      <c r="CW20" s="22">
        <f t="shared" si="13"/>
        <v>25.551467508941673</v>
      </c>
      <c r="CX20" s="60">
        <f t="shared" si="14"/>
        <v>199.5168653579571</v>
      </c>
      <c r="CY20" s="60">
        <f ca="1">AVERAGE(OFFSET($CX$3,0,0,'Données projet'!$E$13+1,1))-AVERAGE(OFFSET($H$3,0,0,'Données projet'!$E$13+1,1))</f>
        <v>465.51503238626822</v>
      </c>
      <c r="CZ20" s="60">
        <f t="shared" si="42"/>
        <v>205.55320107663496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1.2</v>
      </c>
      <c r="DO20" s="13">
        <f>IF('Données projet'!$A$166&gt;35,DO19+DN20-DW19,IF(A20&lt;'Données projet'!$A$166,$DL$205^A20,IF(A20='Données projet'!$A$166,'Données projet'!$B$166,DO19+DN20-DW19)))</f>
        <v>10.102816228956828</v>
      </c>
      <c r="DP20" s="18">
        <f>DO20*VLOOKUP('Données projet'!$B$14,Paramètres!$A$1:$I$89,3,0)*VLOOKUP('Données projet'!$B$14,Paramètres!$A$1:$I$89,5,0)</f>
        <v>8.668216324444959</v>
      </c>
      <c r="DQ20" s="14">
        <f t="shared" si="43"/>
        <v>3.1067534126795247</v>
      </c>
      <c r="DR20" s="22">
        <f t="shared" si="16"/>
        <v>20.50807229215847</v>
      </c>
      <c r="DS20" s="60">
        <f t="shared" si="17"/>
        <v>194.47347014117389</v>
      </c>
      <c r="DT20" s="60">
        <f ca="1">AVERAGE(OFFSET($DS$3,0,0,'Données projet'!$E$14+1,1))-AVERAGE(OFFSET($H$3,0,0,'Données projet'!$E$14+1,1))</f>
        <v>393.79546872270964</v>
      </c>
      <c r="DU20" s="60">
        <f t="shared" si="44"/>
        <v>179.7333990060757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135.66666666666666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1.9038461538461537</v>
      </c>
      <c r="N21" s="14">
        <f>IF('Données projet'!$A$36&gt;35,N20+M21-V20,IF(A21&lt;'Données projet'!$A$36,$K$205^A21,IF(A21='Données projet'!$A$36,'Données projet'!$B$36,N20+M21-V20)))</f>
        <v>11.325356024639142</v>
      </c>
      <c r="O21" s="14">
        <f>N21*VLOOKUP('Données projet'!$B$9,Paramètres!$A$1:$I$89,3,0)*VLOOKUP('Données projet'!$B$9,Paramètres!$A$1:$I$89,5,0)</f>
        <v>5.3002666195311177</v>
      </c>
      <c r="P21" s="14">
        <f t="shared" si="33"/>
        <v>2.0115995377641012</v>
      </c>
      <c r="Q21" s="22">
        <f t="shared" si="2"/>
        <v>12.734833557289173</v>
      </c>
      <c r="R21" s="60">
        <f t="shared" si="0"/>
        <v>189.71758374246727</v>
      </c>
      <c r="S21" s="60">
        <f ca="1">AVERAGE(OFFSET($R$3,0,0,'Données projet'!$E$9+1,1))-AVERAGE(OFFSET($H$3,0,0,'Données projet'!$E$9+1,1))</f>
        <v>291.44524568678776</v>
      </c>
      <c r="T21" s="60">
        <f t="shared" si="34"/>
        <v>136.43373205899937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4.9800000000000013</v>
      </c>
      <c r="AI21" s="14">
        <f>IF('Données projet'!$A$62&gt;35,AI20+AH21-AQ20,IF(A21&lt;'Données projet'!$A$62,$AF$205^A21,IF(A21='Données projet'!$A$62,'Données projet'!$B$62,AI20+AH21-AQ20)))</f>
        <v>75.740000000000009</v>
      </c>
      <c r="AJ21" s="14">
        <f>AI21*VLOOKUP('Données projet'!$B$10,Paramètres!$A$1:$I$89,3,0)*VLOOKUP('Données projet'!$B$10,Paramètres!$A$1:$I$89,5,0)</f>
        <v>39.384800000000013</v>
      </c>
      <c r="AK21" s="14">
        <f t="shared" si="35"/>
        <v>11.835441280121824</v>
      </c>
      <c r="AL21" s="22">
        <f t="shared" si="4"/>
        <v>89.208586896212196</v>
      </c>
      <c r="AM21" s="60">
        <f t="shared" si="5"/>
        <v>266.19133708139032</v>
      </c>
      <c r="AN21" s="60">
        <f ca="1">AVERAGE(OFFSET($AM$3,0,0,'Données projet'!$E$10+1,1))-AVERAGE(OFFSET($H$3,0,0,'Données projet'!$E$10+1,1))</f>
        <v>300.72820267660154</v>
      </c>
      <c r="AO21" s="60">
        <f t="shared" si="36"/>
        <v>228.35388778608589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3.0276923076923068</v>
      </c>
      <c r="BD21" s="13">
        <f>IF('Données projet'!$A$88&gt;35,BD20+BC21-BL20,IF(A21&lt;'Données projet'!$A$88,$BA$205^A21,IF(A21='Données projet'!$A$88,'Données projet'!$B$88,BD20+BC21-BL20)))</f>
        <v>30.121538461538456</v>
      </c>
      <c r="BE21" s="14">
        <f>BD21*VLOOKUP('Données projet'!$B$11,Paramètres!$A$1:$I$89,3,0)*VLOOKUP('Données projet'!$B$11,Paramètres!$A$1:$I$89,5,0)</f>
        <v>17.621099999999998</v>
      </c>
      <c r="BF21" s="14">
        <f t="shared" si="37"/>
        <v>5.8149614193709027</v>
      </c>
      <c r="BG21" s="22">
        <f t="shared" si="7"/>
        <v>40.817806972070983</v>
      </c>
      <c r="BH21" s="60">
        <f t="shared" si="8"/>
        <v>217.8005571572491</v>
      </c>
      <c r="BI21" s="60">
        <f ca="1">AVERAGE(OFFSET($BH$3,0,0,'Données projet'!$E$11+1,1))-AVERAGE(OFFSET($H$3,0,0,'Données projet'!$E$11+1,1))</f>
        <v>221.18884567967481</v>
      </c>
      <c r="BJ21" s="60">
        <f t="shared" si="38"/>
        <v>189.31596996710888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1.9558333333333331</v>
      </c>
      <c r="BY21" s="13">
        <f>IF('Données projet'!$A$114&gt;35,BY20+BX21-CG20,IF(A21&lt;'Données projet'!$A$114,$BV$205^A21,IF(A21='Données projet'!$A$114,'Données projet'!$B$114,BY20+BX21-CG20)))</f>
        <v>30.98833333333334</v>
      </c>
      <c r="BZ21" s="14">
        <f>BY21*VLOOKUP('Données projet'!$B$12,Paramètres!$A$1:$I$89,3,0)*VLOOKUP('Données projet'!$B$12,Paramètres!$A$1:$I$89,5,0)</f>
        <v>35.698560000000008</v>
      </c>
      <c r="CA21" s="14">
        <f t="shared" si="39"/>
        <v>10.851111388752232</v>
      </c>
      <c r="CB21" s="22">
        <f t="shared" si="10"/>
        <v>81.074011002076816</v>
      </c>
      <c r="CC21" s="60">
        <f t="shared" si="11"/>
        <v>258.05676118725489</v>
      </c>
      <c r="CD21" s="60">
        <f ca="1">AVERAGE(OFFSET($CC$3,0,0,'Données projet'!$E$12+1,1))-AVERAGE(OFFSET($H$3,0,0,'Données projet'!$E$12+1,1))</f>
        <v>314.72063458462026</v>
      </c>
      <c r="CE21" s="60">
        <f t="shared" si="40"/>
        <v>216.4380325968244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12.459510846300249</v>
      </c>
      <c r="CV21" s="14">
        <f t="shared" si="41"/>
        <v>4.2809163511957635</v>
      </c>
      <c r="CW21" s="22">
        <f t="shared" si="13"/>
        <v>29.156244035638881</v>
      </c>
      <c r="CX21" s="60">
        <f t="shared" si="14"/>
        <v>206.13899422081698</v>
      </c>
      <c r="CY21" s="60">
        <f ca="1">AVERAGE(OFFSET($CX$3,0,0,'Données projet'!$E$13+1,1))-AVERAGE(OFFSET($H$3,0,0,'Données projet'!$E$13+1,1))</f>
        <v>465.51503238626822</v>
      </c>
      <c r="CZ21" s="60">
        <f t="shared" si="42"/>
        <v>205.55320107663496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1.2</v>
      </c>
      <c r="DO21" s="13">
        <f>IF('Données projet'!$A$166&gt;35,DO20+DN21-DW20,IF(A21&lt;'Données projet'!$A$166,$DL$205^A21,IF(A21='Données projet'!$A$166,'Données projet'!$B$166,DO20+DN21-DW20)))</f>
        <v>11.575168010312384</v>
      </c>
      <c r="DP21" s="18">
        <f>DO21*VLOOKUP('Données projet'!$B$14,Paramètres!$A$1:$I$89,3,0)*VLOOKUP('Données projet'!$B$14,Paramètres!$A$1:$I$89,5,0)</f>
        <v>9.9314941528480265</v>
      </c>
      <c r="DQ21" s="14">
        <f t="shared" si="43"/>
        <v>3.5035970959602243</v>
      </c>
      <c r="DR21" s="22">
        <f t="shared" si="16"/>
        <v>23.39945059167437</v>
      </c>
      <c r="DS21" s="60">
        <f t="shared" si="17"/>
        <v>200.38220077685247</v>
      </c>
      <c r="DT21" s="60">
        <f ca="1">AVERAGE(OFFSET($DS$3,0,0,'Données projet'!$E$14+1,1))-AVERAGE(OFFSET($H$3,0,0,'Données projet'!$E$14+1,1))</f>
        <v>393.79546872270964</v>
      </c>
      <c r="DU21" s="60">
        <f t="shared" si="44"/>
        <v>179.7333990060757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135.66666666666666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1.9038461538461537</v>
      </c>
      <c r="N22" s="14">
        <f>IF('Données projet'!$A$36&gt;35,N21+M22-V21,IF(A22&lt;'Données projet'!$A$36,$K$205^A22,IF(A22='Données projet'!$A$36,'Données projet'!$B$36,N21+M22-V21)))</f>
        <v>12.960158123059259</v>
      </c>
      <c r="O22" s="14">
        <f>N22*VLOOKUP('Données projet'!$B$9,Paramètres!$A$1:$I$89,3,0)*VLOOKUP('Données projet'!$B$9,Paramètres!$A$1:$I$89,5,0)</f>
        <v>6.0653540015917322</v>
      </c>
      <c r="P22" s="14">
        <f t="shared" si="33"/>
        <v>2.2661244781235381</v>
      </c>
      <c r="Q22" s="22">
        <f t="shared" si="2"/>
        <v>14.510658352170763</v>
      </c>
      <c r="R22" s="60">
        <f t="shared" si="0"/>
        <v>194.47961937934434</v>
      </c>
      <c r="S22" s="60">
        <f ca="1">AVERAGE(OFFSET($R$3,0,0,'Données projet'!$E$9+1,1))-AVERAGE(OFFSET($H$3,0,0,'Données projet'!$E$9+1,1))</f>
        <v>291.44524568678776</v>
      </c>
      <c r="T22" s="60">
        <f t="shared" si="34"/>
        <v>136.43373205899937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4.9800000000000013</v>
      </c>
      <c r="AI22" s="14">
        <f>IF('Données projet'!$A$62&gt;35,AI21+AH22-AQ21,IF(A22&lt;'Données projet'!$A$62,$AF$205^A22,IF(A22='Données projet'!$A$62,'Données projet'!$B$62,AI21+AH22-AQ21)))</f>
        <v>80.720000000000013</v>
      </c>
      <c r="AJ22" s="14">
        <f>AI22*VLOOKUP('Données projet'!$B$10,Paramètres!$A$1:$I$89,3,0)*VLOOKUP('Données projet'!$B$10,Paramètres!$A$1:$I$89,5,0)</f>
        <v>41.97440000000001</v>
      </c>
      <c r="AK22" s="14">
        <f t="shared" si="35"/>
        <v>12.520485404816361</v>
      </c>
      <c r="AL22" s="22">
        <f t="shared" si="4"/>
        <v>94.911925413388516</v>
      </c>
      <c r="AM22" s="60">
        <f t="shared" si="5"/>
        <v>274.88088644056211</v>
      </c>
      <c r="AN22" s="60">
        <f ca="1">AVERAGE(OFFSET($AM$3,0,0,'Données projet'!$E$10+1,1))-AVERAGE(OFFSET($H$3,0,0,'Données projet'!$E$10+1,1))</f>
        <v>300.72820267660154</v>
      </c>
      <c r="AO22" s="60">
        <f t="shared" si="36"/>
        <v>228.35388778608589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3.0276923076923068</v>
      </c>
      <c r="BD22" s="13">
        <f>IF('Données projet'!$A$88&gt;35,BD21+BC22-BL21,IF(A22&lt;'Données projet'!$A$88,$BA$205^A22,IF(A22='Données projet'!$A$88,'Données projet'!$B$88,BD21+BC22-BL21)))</f>
        <v>33.149230769230762</v>
      </c>
      <c r="BE22" s="14">
        <f>BD22*VLOOKUP('Données projet'!$B$11,Paramètres!$A$1:$I$89,3,0)*VLOOKUP('Données projet'!$B$11,Paramètres!$A$1:$I$89,5,0)</f>
        <v>19.392299999999995</v>
      </c>
      <c r="BF22" s="14">
        <f t="shared" si="37"/>
        <v>6.3285079934981043</v>
      </c>
      <c r="BG22" s="22">
        <f t="shared" si="7"/>
        <v>44.79707392200919</v>
      </c>
      <c r="BH22" s="60">
        <f t="shared" si="8"/>
        <v>224.76603494918277</v>
      </c>
      <c r="BI22" s="60">
        <f ca="1">AVERAGE(OFFSET($BH$3,0,0,'Données projet'!$E$11+1,1))-AVERAGE(OFFSET($H$3,0,0,'Données projet'!$E$11+1,1))</f>
        <v>221.18884567967481</v>
      </c>
      <c r="BJ22" s="60">
        <f t="shared" si="38"/>
        <v>189.31596996710888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1.9558333333333331</v>
      </c>
      <c r="BY22" s="13">
        <f>IF('Données projet'!$A$114&gt;35,BY21+BX22-CG21,IF(A22&lt;'Données projet'!$A$114,$BV$205^A22,IF(A22='Données projet'!$A$114,'Données projet'!$B$114,BY21+BX22-CG21)))</f>
        <v>32.944166666666675</v>
      </c>
      <c r="BZ22" s="14">
        <f>BY22*VLOOKUP('Données projet'!$B$12,Paramètres!$A$1:$I$89,3,0)*VLOOKUP('Données projet'!$B$12,Paramètres!$A$1:$I$89,5,0)</f>
        <v>37.95168000000001</v>
      </c>
      <c r="CA22" s="14">
        <f t="shared" si="39"/>
        <v>11.454089738390872</v>
      </c>
      <c r="CB22" s="22">
        <f t="shared" si="10"/>
        <v>86.048382294364117</v>
      </c>
      <c r="CC22" s="60">
        <f t="shared" si="11"/>
        <v>266.01734332153768</v>
      </c>
      <c r="CD22" s="60">
        <f ca="1">AVERAGE(OFFSET($CC$3,0,0,'Données projet'!$E$12+1,1))-AVERAGE(OFFSET($H$3,0,0,'Données projet'!$E$12+1,1))</f>
        <v>314.72063458462026</v>
      </c>
      <c r="CE22" s="60">
        <f t="shared" si="40"/>
        <v>216.4380325968244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14.275319683522188</v>
      </c>
      <c r="CV22" s="14">
        <f t="shared" si="41"/>
        <v>4.8277426959232219</v>
      </c>
      <c r="CW22" s="22">
        <f t="shared" si="13"/>
        <v>33.271166977534087</v>
      </c>
      <c r="CX22" s="60">
        <f t="shared" si="14"/>
        <v>213.24012800470766</v>
      </c>
      <c r="CY22" s="60">
        <f ca="1">AVERAGE(OFFSET($CX$3,0,0,'Données projet'!$E$13+1,1))-AVERAGE(OFFSET($H$3,0,0,'Données projet'!$E$13+1,1))</f>
        <v>465.51503238626822</v>
      </c>
      <c r="CZ22" s="60">
        <f t="shared" si="42"/>
        <v>205.55320107663496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1.2</v>
      </c>
      <c r="DO22" s="13">
        <f>IF('Données projet'!$A$166&gt;35,DO21+DN22-DW21,IF(A22&lt;'Données projet'!$A$166,$DL$205^A22,IF(A22='Données projet'!$A$166,'Données projet'!$B$166,DO21+DN22-DW21)))</f>
        <v>13.262095581124292</v>
      </c>
      <c r="DP22" s="18">
        <f>DO22*VLOOKUP('Données projet'!$B$14,Paramètres!$A$1:$I$89,3,0)*VLOOKUP('Données projet'!$B$14,Paramètres!$A$1:$I$89,5,0)</f>
        <v>11.378878008604643</v>
      </c>
      <c r="DQ22" s="14">
        <f t="shared" si="43"/>
        <v>3.9511319310771298</v>
      </c>
      <c r="DR22" s="22">
        <f t="shared" si="16"/>
        <v>26.699767311612419</v>
      </c>
      <c r="DS22" s="60">
        <f t="shared" si="17"/>
        <v>206.668728338786</v>
      </c>
      <c r="DT22" s="60">
        <f ca="1">AVERAGE(OFFSET($DS$3,0,0,'Données projet'!$E$14+1,1))-AVERAGE(OFFSET($H$3,0,0,'Données projet'!$E$14+1,1))</f>
        <v>393.79546872270964</v>
      </c>
      <c r="DU22" s="60">
        <f t="shared" si="44"/>
        <v>179.7333990060757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135.66666666666666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1.9038461538461537</v>
      </c>
      <c r="N23" s="14">
        <f>IF('Données projet'!$A$36&gt;35,N22+M23-V22,IF(A23&lt;'Données projet'!$A$36,$K$205^A23,IF(A23='Données projet'!$A$36,'Données projet'!$B$36,N22+M23-V22)))</f>
        <v>14.830942021537973</v>
      </c>
      <c r="O23" s="14">
        <f>N23*VLOOKUP('Données projet'!$B$9,Paramètres!$A$1:$I$89,3,0)*VLOOKUP('Données projet'!$B$9,Paramètres!$A$1:$I$89,5,0)</f>
        <v>6.9408808660797714</v>
      </c>
      <c r="P23" s="14">
        <f t="shared" si="33"/>
        <v>2.5528541113399754</v>
      </c>
      <c r="Q23" s="22">
        <f t="shared" si="2"/>
        <v>16.53492175233939</v>
      </c>
      <c r="R23" s="60">
        <f t="shared" si="0"/>
        <v>199.45949236264309</v>
      </c>
      <c r="S23" s="60">
        <f ca="1">AVERAGE(OFFSET($R$3,0,0,'Données projet'!$E$9+1,1))-AVERAGE(OFFSET($H$3,0,0,'Données projet'!$E$9+1,1))</f>
        <v>291.44524568678776</v>
      </c>
      <c r="T23" s="60">
        <f t="shared" si="34"/>
        <v>136.43373205899937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85.7</v>
      </c>
      <c r="AG23" s="13">
        <f>VLOOKUP(A23,'Données projet'!$A$61:$I$81,9,0)</f>
        <v>4.9800000000000013</v>
      </c>
      <c r="AH23" s="13">
        <f t="array" ref="AH23">INDEX(AG:AG,MIN(IF(ISNUMBER(AG23:AG219),ROW(AG23:AG219),"")))</f>
        <v>4.9800000000000013</v>
      </c>
      <c r="AI23" s="14">
        <f>IF('Données projet'!$A$62&gt;35,AI22+AH23-AQ22,IF(A23&lt;'Données projet'!$A$62,$AF$205^A23,IF(A23='Données projet'!$A$62,'Données projet'!$B$62,AI22+AH23-AQ22)))</f>
        <v>85.700000000000017</v>
      </c>
      <c r="AJ23" s="14">
        <f>AI23*VLOOKUP('Données projet'!$B$10,Paramètres!$A$1:$I$89,3,0)*VLOOKUP('Données projet'!$B$10,Paramètres!$A$1:$I$89,5,0)</f>
        <v>44.564000000000014</v>
      </c>
      <c r="AK23" s="14">
        <f t="shared" si="35"/>
        <v>13.200624381506666</v>
      </c>
      <c r="AL23" s="22">
        <f t="shared" si="4"/>
        <v>100.60672079779079</v>
      </c>
      <c r="AM23" s="60">
        <f t="shared" si="5"/>
        <v>283.53129140809449</v>
      </c>
      <c r="AN23" s="60">
        <f ca="1">AVERAGE(OFFSET($AM$3,0,0,'Données projet'!$E$10+1,1))-AVERAGE(OFFSET($H$3,0,0,'Données projet'!$E$10+1,1))</f>
        <v>300.72820267660154</v>
      </c>
      <c r="AO23" s="60">
        <f t="shared" si="36"/>
        <v>228.35388778608589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36.176923076923075</v>
      </c>
      <c r="BB23" s="13">
        <f>VLOOKUP(A23,'Données projet'!$A$87:$I$107,9,0)</f>
        <v>3.0276923076923068</v>
      </c>
      <c r="BC23" s="13">
        <f t="array" ref="BC23">INDEX(BB:BB,MIN(IF(ISNUMBER(BB23:BB219),ROW(BB23:BB219),"")))</f>
        <v>3.0276923076923068</v>
      </c>
      <c r="BD23" s="13">
        <f>IF('Données projet'!$A$88&gt;35,BD22+BC23-BL22,IF(A23&lt;'Données projet'!$A$88,$BA$205^A23,IF(A23='Données projet'!$A$88,'Données projet'!$B$88,BD22+BC23-BL22)))</f>
        <v>36.176923076923067</v>
      </c>
      <c r="BE23" s="14">
        <f>BD23*VLOOKUP('Données projet'!$B$11,Paramètres!$A$1:$I$89,3,0)*VLOOKUP('Données projet'!$B$11,Paramètres!$A$1:$I$89,5,0)</f>
        <v>21.163499999999996</v>
      </c>
      <c r="BF23" s="14">
        <f t="shared" si="37"/>
        <v>6.8366157825945306</v>
      </c>
      <c r="BG23" s="22">
        <f t="shared" si="7"/>
        <v>48.766868321352128</v>
      </c>
      <c r="BH23" s="60">
        <f t="shared" si="8"/>
        <v>231.69143893165582</v>
      </c>
      <c r="BI23" s="60">
        <f ca="1">AVERAGE(OFFSET($BH$3,0,0,'Données projet'!$E$11+1,1))-AVERAGE(OFFSET($H$3,0,0,'Données projet'!$E$11+1,1))</f>
        <v>221.18884567967481</v>
      </c>
      <c r="BJ23" s="60">
        <f t="shared" si="38"/>
        <v>189.31596996710888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34.9</v>
      </c>
      <c r="BW23" s="13">
        <f>VLOOKUP(A23,'Données projet'!$A$113:$I$133,9,0)</f>
        <v>1.9558333333333331</v>
      </c>
      <c r="BX23" s="13">
        <f t="array" ref="BX23">INDEX(BW:BW,MIN(IF(ISNUMBER(BW23:BW219),ROW(BW23:BW219),"")))</f>
        <v>1.9558333333333331</v>
      </c>
      <c r="BY23" s="13">
        <f>IF('Données projet'!$A$114&gt;35,BY22+BX23-CG22,IF(A23&lt;'Données projet'!$A$114,$BV$205^A23,IF(A23='Données projet'!$A$114,'Données projet'!$B$114,BY22+BX23-CG22)))</f>
        <v>34.900000000000006</v>
      </c>
      <c r="BZ23" s="14">
        <f>BY23*VLOOKUP('Données projet'!$B$12,Paramètres!$A$1:$I$89,3,0)*VLOOKUP('Données projet'!$B$12,Paramètres!$A$1:$I$89,5,0)</f>
        <v>40.204800000000006</v>
      </c>
      <c r="CA23" s="14">
        <f t="shared" si="39"/>
        <v>12.052913024749227</v>
      </c>
      <c r="CB23" s="22">
        <f t="shared" si="10"/>
        <v>91.01551685143825</v>
      </c>
      <c r="CC23" s="60">
        <f t="shared" si="11"/>
        <v>273.94008746174194</v>
      </c>
      <c r="CD23" s="60">
        <f ca="1">AVERAGE(OFFSET($CC$3,0,0,'Données projet'!$E$12+1,1))-AVERAGE(OFFSET($H$3,0,0,'Données projet'!$E$12+1,1))</f>
        <v>314.72063458462026</v>
      </c>
      <c r="CE23" s="60">
        <f t="shared" si="40"/>
        <v>216.4380325968244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16.355758631348532</v>
      </c>
      <c r="CV23" s="14">
        <f t="shared" si="41"/>
        <v>5.4444183501809773</v>
      </c>
      <c r="CW23" s="22">
        <f t="shared" si="13"/>
        <v>37.968641576163897</v>
      </c>
      <c r="CX23" s="60">
        <f t="shared" si="14"/>
        <v>220.89321218646759</v>
      </c>
      <c r="CY23" s="60">
        <f ca="1">AVERAGE(OFFSET($CX$3,0,0,'Données projet'!$E$13+1,1))-AVERAGE(OFFSET($H$3,0,0,'Données projet'!$E$13+1,1))</f>
        <v>465.51503238626822</v>
      </c>
      <c r="CZ23" s="60">
        <f t="shared" si="42"/>
        <v>205.55320107663496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1.2</v>
      </c>
      <c r="DO23" s="13">
        <f>IF('Données projet'!$A$166&gt;35,DO22+DN23-DW22,IF(A23&lt;'Données projet'!$A$166,$DL$205^A23,IF(A23='Données projet'!$A$166,'Données projet'!$B$166,DO22+DN23-DW22)))</f>
        <v>15.194870523363559</v>
      </c>
      <c r="DP23" s="18">
        <f>DO23*VLOOKUP('Données projet'!$B$14,Paramètres!$A$1:$I$89,3,0)*VLOOKUP('Données projet'!$B$14,Paramètres!$A$1:$I$89,5,0)</f>
        <v>13.037198909045934</v>
      </c>
      <c r="DQ23" s="14">
        <f t="shared" si="43"/>
        <v>4.4558329936903576</v>
      </c>
      <c r="DR23" s="22">
        <f t="shared" si="16"/>
        <v>30.467030563932372</v>
      </c>
      <c r="DS23" s="60">
        <f t="shared" si="17"/>
        <v>213.39160117423609</v>
      </c>
      <c r="DT23" s="60">
        <f ca="1">AVERAGE(OFFSET($DS$3,0,0,'Données projet'!$E$14+1,1))-AVERAGE(OFFSET($H$3,0,0,'Données projet'!$E$14+1,1))</f>
        <v>393.79546872270964</v>
      </c>
      <c r="DU23" s="60">
        <f t="shared" si="44"/>
        <v>179.7333990060757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135.66666666666666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1.9038461538461537</v>
      </c>
      <c r="N24" s="14">
        <f>IF('Données projet'!$A$36&gt;35,N23+M24-V23,IF(A24&lt;'Données projet'!$A$36,$K$205^A24,IF(A24='Données projet'!$A$36,'Données projet'!$B$36,N23+M24-V23)))</f>
        <v>16.971771421126753</v>
      </c>
      <c r="O24" s="14">
        <f>N24*VLOOKUP('Données projet'!$B$9,Paramètres!$A$1:$I$89,3,0)*VLOOKUP('Données projet'!$B$9,Paramètres!$A$1:$I$89,5,0)</f>
        <v>7.942789025087321</v>
      </c>
      <c r="P24" s="14">
        <f t="shared" si="33"/>
        <v>2.8758632531880424</v>
      </c>
      <c r="Q24" s="22">
        <f t="shared" si="2"/>
        <v>18.84248605132959</v>
      </c>
      <c r="R24" s="60">
        <f t="shared" si="0"/>
        <v>204.6925958493253</v>
      </c>
      <c r="S24" s="60">
        <f ca="1">AVERAGE(OFFSET($R$3,0,0,'Données projet'!$E$9+1,1))-AVERAGE(OFFSET($H$3,0,0,'Données projet'!$E$9+1,1))</f>
        <v>291.44524568678776</v>
      </c>
      <c r="T24" s="60">
        <f t="shared" si="34"/>
        <v>136.43373205899937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4.74</v>
      </c>
      <c r="AI24" s="14">
        <f>IF('Données projet'!$A$62&gt;35,AI23+AH24-AQ23,IF(A24&lt;'Données projet'!$A$62,$AF$205^A24,IF(A24='Données projet'!$A$62,'Données projet'!$B$62,AI23+AH24-AQ23)))</f>
        <v>90.440000000000012</v>
      </c>
      <c r="AJ24" s="14">
        <f>AI24*VLOOKUP('Données projet'!$B$10,Paramètres!$A$1:$I$89,3,0)*VLOOKUP('Données projet'!$B$10,Paramètres!$A$1:$I$89,5,0)</f>
        <v>47.028800000000011</v>
      </c>
      <c r="AK24" s="14">
        <f t="shared" si="35"/>
        <v>13.843719928712767</v>
      </c>
      <c r="AL24" s="22">
        <f t="shared" si="4"/>
        <v>106.01963887584141</v>
      </c>
      <c r="AM24" s="60">
        <f t="shared" si="5"/>
        <v>291.86974867383714</v>
      </c>
      <c r="AN24" s="60">
        <f ca="1">AVERAGE(OFFSET($AM$3,0,0,'Données projet'!$E$10+1,1))-AVERAGE(OFFSET($H$3,0,0,'Données projet'!$E$10+1,1))</f>
        <v>300.72820267660154</v>
      </c>
      <c r="AO24" s="60">
        <f t="shared" si="36"/>
        <v>228.35388778608589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4.4723076923076919</v>
      </c>
      <c r="BD24" s="13">
        <f>IF('Données projet'!$A$88&gt;35,BD23+BC24-BL23,IF(A24&lt;'Données projet'!$A$88,$BA$205^A24,IF(A24='Données projet'!$A$88,'Données projet'!$B$88,BD23+BC24-BL23)))</f>
        <v>40.649230769230762</v>
      </c>
      <c r="BE24" s="14">
        <f>BD24*VLOOKUP('Données projet'!$B$11,Paramètres!$A$1:$I$89,3,0)*VLOOKUP('Données projet'!$B$11,Paramètres!$A$1:$I$89,5,0)</f>
        <v>23.779799999999998</v>
      </c>
      <c r="BF24" s="14">
        <f t="shared" si="37"/>
        <v>7.5782622172573655</v>
      </c>
      <c r="BG24" s="22">
        <f t="shared" si="7"/>
        <v>54.615291695056577</v>
      </c>
      <c r="BH24" s="60">
        <f t="shared" si="8"/>
        <v>240.4654014930523</v>
      </c>
      <c r="BI24" s="60">
        <f ca="1">AVERAGE(OFFSET($BH$3,0,0,'Données projet'!$E$11+1,1))-AVERAGE(OFFSET($H$3,0,0,'Données projet'!$E$11+1,1))</f>
        <v>221.18884567967481</v>
      </c>
      <c r="BJ24" s="60">
        <f t="shared" si="38"/>
        <v>189.31596996710888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1.9887500000000009</v>
      </c>
      <c r="BY24" s="13">
        <f>IF('Données projet'!$A$114&gt;35,BY23+BX24-CG23,IF(A24&lt;'Données projet'!$A$114,$BV$205^A24,IF(A24='Données projet'!$A$114,'Données projet'!$B$114,BY23+BX24-CG23)))</f>
        <v>36.888750000000009</v>
      </c>
      <c r="BZ24" s="14">
        <f>BY24*VLOOKUP('Données projet'!$B$12,Paramètres!$A$1:$I$89,3,0)*VLOOKUP('Données projet'!$B$12,Paramètres!$A$1:$I$89,5,0)</f>
        <v>42.495840000000008</v>
      </c>
      <c r="CA24" s="14">
        <f t="shared" si="39"/>
        <v>12.657821296361272</v>
      </c>
      <c r="CB24" s="22">
        <f t="shared" si="10"/>
        <v>96.059293424495877</v>
      </c>
      <c r="CC24" s="60">
        <f t="shared" si="11"/>
        <v>281.90940322249162</v>
      </c>
      <c r="CD24" s="60">
        <f ca="1">AVERAGE(OFFSET($CC$3,0,0,'Données projet'!$E$12+1,1))-AVERAGE(OFFSET($H$3,0,0,'Données projet'!$E$12+1,1))</f>
        <v>314.72063458462026</v>
      </c>
      <c r="CE24" s="60">
        <f t="shared" si="40"/>
        <v>216.4380325968244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18.739394026721261</v>
      </c>
      <c r="CV24" s="14">
        <f t="shared" si="41"/>
        <v>6.1398655725414359</v>
      </c>
      <c r="CW24" s="22">
        <f t="shared" si="13"/>
        <v>43.331377135382525</v>
      </c>
      <c r="CX24" s="60">
        <f t="shared" si="14"/>
        <v>229.18148693337824</v>
      </c>
      <c r="CY24" s="60">
        <f ca="1">AVERAGE(OFFSET($CX$3,0,0,'Données projet'!$E$13+1,1))-AVERAGE(OFFSET($H$3,0,0,'Données projet'!$E$13+1,1))</f>
        <v>465.51503238626822</v>
      </c>
      <c r="CZ24" s="60">
        <f t="shared" si="42"/>
        <v>205.55320107663496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1.2</v>
      </c>
      <c r="DO24" s="13">
        <f>IF('Données projet'!$A$166&gt;35,DO23+DN24-DW23,IF(A24&lt;'Données projet'!$A$166,$DL$205^A24,IF(A24='Données projet'!$A$166,'Données projet'!$B$166,DO23+DN24-DW23)))</f>
        <v>17.409321838276906</v>
      </c>
      <c r="DP24" s="18">
        <f>DO24*VLOOKUP('Données projet'!$B$14,Paramètres!$A$1:$I$89,3,0)*VLOOKUP('Données projet'!$B$14,Paramètres!$A$1:$I$89,5,0)</f>
        <v>14.937198137241587</v>
      </c>
      <c r="DQ24" s="14">
        <f t="shared" si="43"/>
        <v>5.0250024585352184</v>
      </c>
      <c r="DR24" s="22">
        <f t="shared" si="16"/>
        <v>34.767499370977937</v>
      </c>
      <c r="DS24" s="60">
        <f t="shared" si="17"/>
        <v>220.61760916897364</v>
      </c>
      <c r="DT24" s="60">
        <f ca="1">AVERAGE(OFFSET($DS$3,0,0,'Données projet'!$E$14+1,1))-AVERAGE(OFFSET($H$3,0,0,'Données projet'!$E$14+1,1))</f>
        <v>393.79546872270964</v>
      </c>
      <c r="DU24" s="60">
        <f t="shared" si="44"/>
        <v>179.7333990060757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135.66666666666666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1.9038461538461537</v>
      </c>
      <c r="N25" s="14">
        <f>IF('Données projet'!$A$36&gt;35,N24+M25-V24,IF(A25&lt;'Données projet'!$A$36,$K$205^A25,IF(A25='Données projet'!$A$36,'Données projet'!$B$36,N24+M25-V24)))</f>
        <v>19.421627078891706</v>
      </c>
      <c r="O25" s="14">
        <f>N25*VLOOKUP('Données projet'!$B$9,Paramètres!$A$1:$I$89,3,0)*VLOOKUP('Données projet'!$B$9,Paramètres!$A$1:$I$89,5,0)</f>
        <v>9.0893214729213181</v>
      </c>
      <c r="P25" s="14">
        <f t="shared" si="33"/>
        <v>3.2397423003134849</v>
      </c>
      <c r="Q25" s="22">
        <f t="shared" si="2"/>
        <v>21.473119405050614</v>
      </c>
      <c r="R25" s="60">
        <f t="shared" si="0"/>
        <v>210.21921964943363</v>
      </c>
      <c r="S25" s="60">
        <f ca="1">AVERAGE(OFFSET($R$3,0,0,'Données projet'!$E$9+1,1))-AVERAGE(OFFSET($H$3,0,0,'Données projet'!$E$9+1,1))</f>
        <v>291.44524568678776</v>
      </c>
      <c r="T25" s="60">
        <f t="shared" si="34"/>
        <v>136.43373205899937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4.74</v>
      </c>
      <c r="AI25" s="14">
        <f>IF('Données projet'!$A$62&gt;35,AI24+AH25-AQ24,IF(A25&lt;'Données projet'!$A$62,$AF$205^A25,IF(A25='Données projet'!$A$62,'Données projet'!$B$62,AI24+AH25-AQ24)))</f>
        <v>95.18</v>
      </c>
      <c r="AJ25" s="14">
        <f>AI25*VLOOKUP('Données projet'!$B$10,Paramètres!$A$1:$I$89,3,0)*VLOOKUP('Données projet'!$B$10,Paramètres!$A$1:$I$89,5,0)</f>
        <v>49.493600000000008</v>
      </c>
      <c r="AK25" s="14">
        <f t="shared" si="35"/>
        <v>14.482902274825232</v>
      </c>
      <c r="AL25" s="22">
        <f t="shared" si="4"/>
        <v>111.42574146198729</v>
      </c>
      <c r="AM25" s="60">
        <f t="shared" si="5"/>
        <v>300.17184170637029</v>
      </c>
      <c r="AN25" s="60">
        <f ca="1">AVERAGE(OFFSET($AM$3,0,0,'Données projet'!$E$10+1,1))-AVERAGE(OFFSET($H$3,0,0,'Données projet'!$E$10+1,1))</f>
        <v>300.72820267660154</v>
      </c>
      <c r="AO25" s="60">
        <f t="shared" si="36"/>
        <v>228.35388778608589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4.4723076923076919</v>
      </c>
      <c r="BD25" s="13">
        <f>IF('Données projet'!$A$88&gt;35,BD24+BC25-BL24,IF(A25&lt;'Données projet'!$A$88,$BA$205^A25,IF(A25='Données projet'!$A$88,'Données projet'!$B$88,BD24+BC25-BL24)))</f>
        <v>45.121538461538456</v>
      </c>
      <c r="BE25" s="14">
        <f>BD25*VLOOKUP('Données projet'!$B$11,Paramètres!$A$1:$I$89,3,0)*VLOOKUP('Données projet'!$B$11,Paramètres!$A$1:$I$89,5,0)</f>
        <v>26.396100000000001</v>
      </c>
      <c r="BF25" s="14">
        <f t="shared" si="37"/>
        <v>8.3104511541894546</v>
      </c>
      <c r="BG25" s="22">
        <f t="shared" si="7"/>
        <v>60.447243260213298</v>
      </c>
      <c r="BH25" s="60">
        <f t="shared" si="8"/>
        <v>249.1933435045963</v>
      </c>
      <c r="BI25" s="60">
        <f ca="1">AVERAGE(OFFSET($BH$3,0,0,'Données projet'!$E$11+1,1))-AVERAGE(OFFSET($H$3,0,0,'Données projet'!$E$11+1,1))</f>
        <v>221.18884567967481</v>
      </c>
      <c r="BJ25" s="60">
        <f t="shared" si="38"/>
        <v>189.31596996710888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1.9887500000000009</v>
      </c>
      <c r="BY25" s="13">
        <f>IF('Données projet'!$A$114&gt;35,BY24+BX25-CG24,IF(A25&lt;'Données projet'!$A$114,$BV$205^A25,IF(A25='Données projet'!$A$114,'Données projet'!$B$114,BY24+BX25-CG24)))</f>
        <v>38.877500000000012</v>
      </c>
      <c r="BZ25" s="14">
        <f>BY25*VLOOKUP('Données projet'!$B$12,Paramètres!$A$1:$I$89,3,0)*VLOOKUP('Données projet'!$B$12,Paramètres!$A$1:$I$89,5,0)</f>
        <v>44.786880000000011</v>
      </c>
      <c r="CA25" s="14">
        <f t="shared" si="39"/>
        <v>13.258943495431026</v>
      </c>
      <c r="CB25" s="22">
        <f t="shared" si="10"/>
        <v>101.09647592120905</v>
      </c>
      <c r="CC25" s="60">
        <f t="shared" si="11"/>
        <v>289.84257616559205</v>
      </c>
      <c r="CD25" s="60">
        <f ca="1">AVERAGE(OFFSET($CC$3,0,0,'Données projet'!$E$12+1,1))-AVERAGE(OFFSET($H$3,0,0,'Données projet'!$E$12+1,1))</f>
        <v>314.72063458462026</v>
      </c>
      <c r="CE25" s="60">
        <f t="shared" si="40"/>
        <v>216.4380325968244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21.470412739868298</v>
      </c>
      <c r="CV25" s="14">
        <f t="shared" si="41"/>
        <v>6.9241463135591816</v>
      </c>
      <c r="CW25" s="22">
        <f t="shared" si="13"/>
        <v>49.453857018052851</v>
      </c>
      <c r="CX25" s="60">
        <f t="shared" si="14"/>
        <v>238.19995726243584</v>
      </c>
      <c r="CY25" s="60">
        <f ca="1">AVERAGE(OFFSET($CX$3,0,0,'Données projet'!$E$13+1,1))-AVERAGE(OFFSET($H$3,0,0,'Données projet'!$E$13+1,1))</f>
        <v>465.51503238626822</v>
      </c>
      <c r="CZ25" s="60">
        <f t="shared" si="42"/>
        <v>205.55320107663496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1.2</v>
      </c>
      <c r="DO25" s="13">
        <f>IF('Données projet'!$A$166&gt;35,DO24+DN25-DW24,IF(A25&lt;'Données projet'!$A$166,$DL$205^A25,IF(A25='Données projet'!$A$166,'Données projet'!$B$166,DO24+DN25-DW24)))</f>
        <v>19.946500129940819</v>
      </c>
      <c r="DP25" s="18">
        <f>DO25*VLOOKUP('Données projet'!$B$14,Paramètres!$A$1:$I$89,3,0)*VLOOKUP('Données projet'!$B$14,Paramètres!$A$1:$I$89,5,0)</f>
        <v>17.114097111489222</v>
      </c>
      <c r="DQ25" s="14">
        <f t="shared" si="43"/>
        <v>5.6668752495977621</v>
      </c>
      <c r="DR25" s="22">
        <f t="shared" si="16"/>
        <v>39.676860195559833</v>
      </c>
      <c r="DS25" s="60">
        <f t="shared" si="17"/>
        <v>228.42296043994284</v>
      </c>
      <c r="DT25" s="60">
        <f ca="1">AVERAGE(OFFSET($DS$3,0,0,'Données projet'!$E$14+1,1))-AVERAGE(OFFSET($H$3,0,0,'Données projet'!$E$14+1,1))</f>
        <v>393.79546872270964</v>
      </c>
      <c r="DU25" s="60">
        <f t="shared" si="44"/>
        <v>179.7333990060757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135.66666666666666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1.9038461538461537</v>
      </c>
      <c r="N26" s="14">
        <f>IF('Données projet'!$A$36&gt;35,N25+M26-V25,IF(A26&lt;'Données projet'!$A$36,$K$205^A26,IF(A26='Données projet'!$A$36,'Données projet'!$B$36,N25+M26-V25)))</f>
        <v>22.225116579286183</v>
      </c>
      <c r="O26" s="14">
        <f>N26*VLOOKUP('Données projet'!$B$9,Paramètres!$A$1:$I$89,3,0)*VLOOKUP('Données projet'!$B$9,Paramètres!$A$1:$I$89,5,0)</f>
        <v>10.401354559105934</v>
      </c>
      <c r="P26" s="14">
        <f t="shared" si="33"/>
        <v>3.6496624659761685</v>
      </c>
      <c r="Q26" s="22">
        <f t="shared" si="2"/>
        <v>24.472187985351329</v>
      </c>
      <c r="R26" s="60">
        <f t="shared" si="0"/>
        <v>216.08524253941755</v>
      </c>
      <c r="S26" s="60">
        <f ca="1">AVERAGE(OFFSET($R$3,0,0,'Données projet'!$E$9+1,1))-AVERAGE(OFFSET($H$3,0,0,'Données projet'!$E$9+1,1))</f>
        <v>291.44524568678776</v>
      </c>
      <c r="T26" s="60">
        <f t="shared" si="34"/>
        <v>136.43373205899937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4.74</v>
      </c>
      <c r="AI26" s="14">
        <f>IF('Données projet'!$A$62&gt;35,AI25+AH26-AQ25,IF(A26&lt;'Données projet'!$A$62,$AF$205^A26,IF(A26='Données projet'!$A$62,'Données projet'!$B$62,AI25+AH26-AQ25)))</f>
        <v>99.92</v>
      </c>
      <c r="AJ26" s="14">
        <f>AI26*VLOOKUP('Données projet'!$B$10,Paramètres!$A$1:$I$89,3,0)*VLOOKUP('Données projet'!$B$10,Paramètres!$A$1:$I$89,5,0)</f>
        <v>51.958400000000005</v>
      </c>
      <c r="AK26" s="14">
        <f t="shared" si="35"/>
        <v>15.118388537073713</v>
      </c>
      <c r="AL26" s="22">
        <f t="shared" si="4"/>
        <v>116.82540670207005</v>
      </c>
      <c r="AM26" s="60">
        <f t="shared" si="5"/>
        <v>308.43846125613629</v>
      </c>
      <c r="AN26" s="60">
        <f ca="1">AVERAGE(OFFSET($AM$3,0,0,'Données projet'!$E$10+1,1))-AVERAGE(OFFSET($H$3,0,0,'Données projet'!$E$10+1,1))</f>
        <v>300.72820267660154</v>
      </c>
      <c r="AO26" s="60">
        <f t="shared" si="36"/>
        <v>228.35388778608589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4.4723076923076919</v>
      </c>
      <c r="BD26" s="13">
        <f>IF('Données projet'!$A$88&gt;35,BD25+BC26-BL25,IF(A26&lt;'Données projet'!$A$88,$BA$205^A26,IF(A26='Données projet'!$A$88,'Données projet'!$B$88,BD25+BC26-BL25)))</f>
        <v>49.593846153846151</v>
      </c>
      <c r="BE26" s="14">
        <f>BD26*VLOOKUP('Données projet'!$B$11,Paramètres!$A$1:$I$89,3,0)*VLOOKUP('Données projet'!$B$11,Paramètres!$A$1:$I$89,5,0)</f>
        <v>29.0124</v>
      </c>
      <c r="BF26" s="14">
        <f t="shared" si="37"/>
        <v>9.0342266890744032</v>
      </c>
      <c r="BG26" s="22">
        <f t="shared" si="7"/>
        <v>66.264541483471248</v>
      </c>
      <c r="BH26" s="60">
        <f t="shared" si="8"/>
        <v>257.8775960375375</v>
      </c>
      <c r="BI26" s="60">
        <f ca="1">AVERAGE(OFFSET($BH$3,0,0,'Données projet'!$E$11+1,1))-AVERAGE(OFFSET($H$3,0,0,'Données projet'!$E$11+1,1))</f>
        <v>221.18884567967481</v>
      </c>
      <c r="BJ26" s="60">
        <f t="shared" si="38"/>
        <v>189.31596996710888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1.9887500000000009</v>
      </c>
      <c r="BY26" s="13">
        <f>IF('Données projet'!$A$114&gt;35,BY25+BX26-CG25,IF(A26&lt;'Données projet'!$A$114,$BV$205^A26,IF(A26='Données projet'!$A$114,'Données projet'!$B$114,BY25+BX26-CG25)))</f>
        <v>40.866250000000015</v>
      </c>
      <c r="BZ26" s="14">
        <f>BY26*VLOOKUP('Données projet'!$B$12,Paramètres!$A$1:$I$89,3,0)*VLOOKUP('Données projet'!$B$12,Paramètres!$A$1:$I$89,5,0)</f>
        <v>47.077920000000013</v>
      </c>
      <c r="CA26" s="14">
        <f t="shared" si="39"/>
        <v>13.856495389760431</v>
      </c>
      <c r="CB26" s="22">
        <f t="shared" si="10"/>
        <v>106.1274401371661</v>
      </c>
      <c r="CC26" s="60">
        <f t="shared" si="11"/>
        <v>297.74049469123236</v>
      </c>
      <c r="CD26" s="60">
        <f ca="1">AVERAGE(OFFSET($CC$3,0,0,'Données projet'!$E$12+1,1))-AVERAGE(OFFSET($H$3,0,0,'Données projet'!$E$12+1,1))</f>
        <v>314.72063458462026</v>
      </c>
      <c r="CE26" s="60">
        <f t="shared" si="40"/>
        <v>216.4380325968244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24.599441292657108</v>
      </c>
      <c r="CV26" s="14">
        <f t="shared" si="41"/>
        <v>7.808607795256683</v>
      </c>
      <c r="CW26" s="22">
        <f t="shared" si="13"/>
        <v>56.444018828116505</v>
      </c>
      <c r="CX26" s="60">
        <f t="shared" si="14"/>
        <v>248.05707338218272</v>
      </c>
      <c r="CY26" s="60">
        <f ca="1">AVERAGE(OFFSET($CX$3,0,0,'Données projet'!$E$13+1,1))-AVERAGE(OFFSET($H$3,0,0,'Données projet'!$E$13+1,1))</f>
        <v>465.51503238626822</v>
      </c>
      <c r="CZ26" s="60">
        <f t="shared" si="42"/>
        <v>205.55320107663496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1.2</v>
      </c>
      <c r="DO26" s="13">
        <f>IF('Données projet'!$A$166&gt;35,DO25+DN26-DW25,IF(A26&lt;'Données projet'!$A$166,$DL$205^A26,IF(A26='Données projet'!$A$166,'Données projet'!$B$166,DO25+DN26-DW25)))</f>
        <v>22.853438584779923</v>
      </c>
      <c r="DP26" s="18">
        <f>DO26*VLOOKUP('Données projet'!$B$14,Paramètres!$A$1:$I$89,3,0)*VLOOKUP('Données projet'!$B$14,Paramètres!$A$1:$I$89,5,0)</f>
        <v>19.608250305741176</v>
      </c>
      <c r="DQ26" s="14">
        <f t="shared" si="43"/>
        <v>6.3907381856017507</v>
      </c>
      <c r="DR26" s="22">
        <f t="shared" si="16"/>
        <v>45.281571622422263</v>
      </c>
      <c r="DS26" s="60">
        <f t="shared" si="17"/>
        <v>236.89462617648849</v>
      </c>
      <c r="DT26" s="60">
        <f ca="1">AVERAGE(OFFSET($DS$3,0,0,'Données projet'!$E$14+1,1))-AVERAGE(OFFSET($H$3,0,0,'Données projet'!$E$14+1,1))</f>
        <v>393.79546872270964</v>
      </c>
      <c r="DU26" s="60">
        <f t="shared" si="44"/>
        <v>179.7333990060757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135.66666666666666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1.9038461538461537</v>
      </c>
      <c r="N27" s="14">
        <f>IF('Données projet'!$A$36&gt;35,N26+M27-V26,IF(A27&lt;'Données projet'!$A$36,$K$205^A27,IF(A27='Données projet'!$A$36,'Données projet'!$B$36,N26+M27-V26)))</f>
        <v>25.433286560203538</v>
      </c>
      <c r="O27" s="14">
        <f>N27*VLOOKUP('Données projet'!$B$9,Paramètres!$A$1:$I$89,3,0)*VLOOKUP('Données projet'!$B$9,Paramètres!$A$1:$I$89,5,0)</f>
        <v>11.902778110175255</v>
      </c>
      <c r="P27" s="14">
        <f t="shared" si="33"/>
        <v>4.1114492699824794</v>
      </c>
      <c r="Q27" s="22">
        <f t="shared" si="2"/>
        <v>27.891446020441389</v>
      </c>
      <c r="R27" s="60">
        <f t="shared" si="0"/>
        <v>222.34292245954347</v>
      </c>
      <c r="S27" s="60">
        <f ca="1">AVERAGE(OFFSET($R$3,0,0,'Données projet'!$E$9+1,1))-AVERAGE(OFFSET($H$3,0,0,'Données projet'!$E$9+1,1))</f>
        <v>291.44524568678776</v>
      </c>
      <c r="T27" s="60">
        <f t="shared" si="34"/>
        <v>136.43373205899937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4.74</v>
      </c>
      <c r="AI27" s="14">
        <f>IF('Données projet'!$A$62&gt;35,AI26+AH27-AQ26,IF(A27&lt;'Données projet'!$A$62,$AF$205^A27,IF(A27='Données projet'!$A$62,'Données projet'!$B$62,AI26+AH27-AQ26)))</f>
        <v>104.66</v>
      </c>
      <c r="AJ27" s="14">
        <f>AI27*VLOOKUP('Données projet'!$B$10,Paramètres!$A$1:$I$89,3,0)*VLOOKUP('Données projet'!$B$10,Paramètres!$A$1:$I$89,5,0)</f>
        <v>54.423200000000008</v>
      </c>
      <c r="AK27" s="14">
        <f t="shared" si="35"/>
        <v>15.750374069493635</v>
      </c>
      <c r="AL27" s="22">
        <f t="shared" si="4"/>
        <v>122.21897483770141</v>
      </c>
      <c r="AM27" s="60">
        <f t="shared" si="5"/>
        <v>316.67045127680353</v>
      </c>
      <c r="AN27" s="60">
        <f ca="1">AVERAGE(OFFSET($AM$3,0,0,'Données projet'!$E$10+1,1))-AVERAGE(OFFSET($H$3,0,0,'Données projet'!$E$10+1,1))</f>
        <v>300.72820267660154</v>
      </c>
      <c r="AO27" s="60">
        <f t="shared" si="36"/>
        <v>228.35388778608589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4.4723076923076919</v>
      </c>
      <c r="BD27" s="13">
        <f>IF('Données projet'!$A$88&gt;35,BD26+BC27-BL26,IF(A27&lt;'Données projet'!$A$88,$BA$205^A27,IF(A27='Données projet'!$A$88,'Données projet'!$B$88,BD26+BC27-BL26)))</f>
        <v>54.066153846153846</v>
      </c>
      <c r="BE27" s="14">
        <f>BD27*VLOOKUP('Données projet'!$B$11,Paramètres!$A$1:$I$89,3,0)*VLOOKUP('Données projet'!$B$11,Paramètres!$A$1:$I$89,5,0)</f>
        <v>31.628700000000002</v>
      </c>
      <c r="BF27" s="14">
        <f t="shared" si="37"/>
        <v>9.7504338131068167</v>
      </c>
      <c r="BG27" s="22">
        <f t="shared" si="7"/>
        <v>72.068658057827705</v>
      </c>
      <c r="BH27" s="60">
        <f t="shared" si="8"/>
        <v>266.52013449692981</v>
      </c>
      <c r="BI27" s="60">
        <f ca="1">AVERAGE(OFFSET($BH$3,0,0,'Données projet'!$E$11+1,1))-AVERAGE(OFFSET($H$3,0,0,'Données projet'!$E$11+1,1))</f>
        <v>221.18884567967481</v>
      </c>
      <c r="BJ27" s="60">
        <f t="shared" si="38"/>
        <v>189.31596996710888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1.9887500000000009</v>
      </c>
      <c r="BY27" s="13">
        <f>IF('Données projet'!$A$114&gt;35,BY26+BX27-CG26,IF(A27&lt;'Données projet'!$A$114,$BV$205^A27,IF(A27='Données projet'!$A$114,'Données projet'!$B$114,BY26+BX27-CG26)))</f>
        <v>42.855000000000018</v>
      </c>
      <c r="BZ27" s="14">
        <f>BY27*VLOOKUP('Données projet'!$B$12,Paramètres!$A$1:$I$89,3,0)*VLOOKUP('Données projet'!$B$12,Paramètres!$A$1:$I$89,5,0)</f>
        <v>49.368960000000015</v>
      </c>
      <c r="CA27" s="14">
        <f t="shared" si="39"/>
        <v>14.450670560048829</v>
      </c>
      <c r="CB27" s="22">
        <f t="shared" si="10"/>
        <v>111.15252322541839</v>
      </c>
      <c r="CC27" s="60">
        <f t="shared" si="11"/>
        <v>305.60399966452047</v>
      </c>
      <c r="CD27" s="60">
        <f ca="1">AVERAGE(OFFSET($CC$3,0,0,'Données projet'!$E$12+1,1))-AVERAGE(OFFSET($H$3,0,0,'Données projet'!$E$12+1,1))</f>
        <v>314.72063458462026</v>
      </c>
      <c r="CE27" s="60">
        <f t="shared" si="40"/>
        <v>216.4380325968244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28.184484352609399</v>
      </c>
      <c r="CV27" s="14">
        <f t="shared" si="41"/>
        <v>8.8060466863244411</v>
      </c>
      <c r="CW27" s="22">
        <f t="shared" si="13"/>
        <v>64.425174892809764</v>
      </c>
      <c r="CX27" s="60">
        <f t="shared" si="14"/>
        <v>258.87665133191183</v>
      </c>
      <c r="CY27" s="60">
        <f ca="1">AVERAGE(OFFSET($CX$3,0,0,'Données projet'!$E$13+1,1))-AVERAGE(OFFSET($H$3,0,0,'Données projet'!$E$13+1,1))</f>
        <v>465.51503238626822</v>
      </c>
      <c r="CZ27" s="60">
        <f t="shared" si="42"/>
        <v>205.55320107663496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1.2</v>
      </c>
      <c r="DO27" s="13">
        <f>IF('Données projet'!$A$166&gt;35,DO26+DN27-DW26,IF(A27&lt;'Données projet'!$A$166,$DL$205^A27,IF(A27='Données projet'!$A$166,'Données projet'!$B$166,DO26+DN27-DW26)))</f>
        <v>26.184024853780567</v>
      </c>
      <c r="DP27" s="18">
        <f>DO27*VLOOKUP('Données projet'!$B$14,Paramètres!$A$1:$I$89,3,0)*VLOOKUP('Données projet'!$B$14,Paramètres!$A$1:$I$89,5,0)</f>
        <v>22.465893324543728</v>
      </c>
      <c r="DQ27" s="14">
        <f t="shared" si="43"/>
        <v>7.2070643446416636</v>
      </c>
      <c r="DR27" s="22">
        <f t="shared" si="16"/>
        <v>51.68040127383123</v>
      </c>
      <c r="DS27" s="60">
        <f t="shared" si="17"/>
        <v>246.13187771293332</v>
      </c>
      <c r="DT27" s="60">
        <f ca="1">AVERAGE(OFFSET($DS$3,0,0,'Données projet'!$E$14+1,1))-AVERAGE(OFFSET($H$3,0,0,'Données projet'!$E$14+1,1))</f>
        <v>393.79546872270964</v>
      </c>
      <c r="DU27" s="60">
        <f t="shared" si="44"/>
        <v>179.7333990060757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135.66666666666666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1.9038461538461537</v>
      </c>
      <c r="N28" s="14">
        <f>IF('Données projet'!$A$36&gt;35,N27+M28-V27,IF(A28&lt;'Données projet'!$A$36,$K$205^A28,IF(A28='Données projet'!$A$36,'Données projet'!$B$36,N27+M28-V27)))</f>
        <v>29.104552182925161</v>
      </c>
      <c r="O28" s="14">
        <f>N28*VLOOKUP('Données projet'!$B$9,Paramètres!$A$1:$I$89,3,0)*VLOOKUP('Données projet'!$B$9,Paramètres!$A$1:$I$89,5,0)</f>
        <v>13.620930421608977</v>
      </c>
      <c r="P28" s="14">
        <f t="shared" si="33"/>
        <v>4.6316653271984656</v>
      </c>
      <c r="Q28" s="22">
        <f t="shared" si="2"/>
        <v>31.789937595839632</v>
      </c>
      <c r="R28" s="60">
        <f t="shared" si="0"/>
        <v>229.05179846910892</v>
      </c>
      <c r="S28" s="60">
        <f ca="1">AVERAGE(OFFSET($R$3,0,0,'Données projet'!$E$9+1,1))-AVERAGE(OFFSET($H$3,0,0,'Données projet'!$E$9+1,1))</f>
        <v>291.44524568678776</v>
      </c>
      <c r="T28" s="60">
        <f t="shared" si="34"/>
        <v>136.43373205899937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109.4</v>
      </c>
      <c r="AG28" s="13">
        <f>VLOOKUP(A28,'Données projet'!$A$61:$I$81,9,0)</f>
        <v>4.74</v>
      </c>
      <c r="AH28" s="13">
        <f t="array" ref="AH28">INDEX(AG:AG,MIN(IF(ISNUMBER(AG28:AG224),ROW(AG28:AG224),"")))</f>
        <v>4.74</v>
      </c>
      <c r="AI28" s="14">
        <f>IF('Données projet'!$A$62&gt;35,AI27+AH28-AQ27,IF(A28&lt;'Données projet'!$A$62,$AF$205^A28,IF(A28='Données projet'!$A$62,'Données projet'!$B$62,AI27+AH28-AQ27)))</f>
        <v>109.39999999999999</v>
      </c>
      <c r="AJ28" s="14">
        <f>AI28*VLOOKUP('Données projet'!$B$10,Paramètres!$A$1:$I$89,3,0)*VLOOKUP('Données projet'!$B$10,Paramètres!$A$1:$I$89,5,0)</f>
        <v>56.887999999999998</v>
      </c>
      <c r="AK28" s="14">
        <f t="shared" si="35"/>
        <v>16.379035530880738</v>
      </c>
      <c r="AL28" s="22">
        <f t="shared" si="4"/>
        <v>127.60675354961728</v>
      </c>
      <c r="AM28" s="60">
        <f t="shared" si="5"/>
        <v>324.86861442288659</v>
      </c>
      <c r="AN28" s="60">
        <f ca="1">AVERAGE(OFFSET($AM$3,0,0,'Données projet'!$E$10+1,1))-AVERAGE(OFFSET($H$3,0,0,'Données projet'!$E$10+1,1))</f>
        <v>300.72820267660154</v>
      </c>
      <c r="AO28" s="60">
        <f t="shared" si="36"/>
        <v>228.35388778608589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58.538461538461533</v>
      </c>
      <c r="BB28" s="13">
        <f>VLOOKUP(A28,'Données projet'!$A$87:$I$107,9,0)</f>
        <v>4.4723076923076919</v>
      </c>
      <c r="BC28" s="13">
        <f t="array" ref="BC28">INDEX(BB:BB,MIN(IF(ISNUMBER(BB28:BB224),ROW(BB28:BB224),"")))</f>
        <v>4.4723076923076919</v>
      </c>
      <c r="BD28" s="13">
        <f>IF('Données projet'!$A$88&gt;35,BD27+BC28-BL27,IF(A28&lt;'Données projet'!$A$88,$BA$205^A28,IF(A28='Données projet'!$A$88,'Données projet'!$B$88,BD27+BC28-BL27)))</f>
        <v>58.53846153846154</v>
      </c>
      <c r="BE28" s="14">
        <f>BD28*VLOOKUP('Données projet'!$B$11,Paramètres!$A$1:$I$89,3,0)*VLOOKUP('Données projet'!$B$11,Paramètres!$A$1:$I$89,5,0)</f>
        <v>34.244999999999997</v>
      </c>
      <c r="BF28" s="14">
        <f t="shared" si="37"/>
        <v>10.459769755154808</v>
      </c>
      <c r="BG28" s="22">
        <f t="shared" si="7"/>
        <v>77.860807323561289</v>
      </c>
      <c r="BH28" s="60">
        <f t="shared" si="8"/>
        <v>275.12266819683055</v>
      </c>
      <c r="BI28" s="60">
        <f ca="1">AVERAGE(OFFSET($BH$3,0,0,'Données projet'!$E$11+1,1))-AVERAGE(OFFSET($H$3,0,0,'Données projet'!$E$11+1,1))</f>
        <v>221.18884567967481</v>
      </c>
      <c r="BJ28" s="60">
        <f t="shared" si="38"/>
        <v>189.31596996710888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1.9887500000000009</v>
      </c>
      <c r="BY28" s="13">
        <f>IF('Données projet'!$A$114&gt;35,BY27+BX28-CG27,IF(A28&lt;'Données projet'!$A$114,$BV$205^A28,IF(A28='Données projet'!$A$114,'Données projet'!$B$114,BY27+BX28-CG27)))</f>
        <v>44.843750000000021</v>
      </c>
      <c r="BZ28" s="14">
        <f>BY28*VLOOKUP('Données projet'!$B$12,Paramètres!$A$1:$I$89,3,0)*VLOOKUP('Données projet'!$B$12,Paramètres!$A$1:$I$89,5,0)</f>
        <v>51.660000000000018</v>
      </c>
      <c r="CA28" s="14">
        <f t="shared" si="39"/>
        <v>15.041643604774535</v>
      </c>
      <c r="CB28" s="22">
        <f t="shared" si="10"/>
        <v>116.17202927831566</v>
      </c>
      <c r="CC28" s="60">
        <f t="shared" si="11"/>
        <v>313.43389015158493</v>
      </c>
      <c r="CD28" s="60">
        <f ca="1">AVERAGE(OFFSET($CC$3,0,0,'Données projet'!$E$12+1,1))-AVERAGE(OFFSET($H$3,0,0,'Données projet'!$E$12+1,1))</f>
        <v>314.72063458462026</v>
      </c>
      <c r="CE28" s="60">
        <f t="shared" si="40"/>
        <v>216.4380325968244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32.292000000000002</v>
      </c>
      <c r="CV28" s="14">
        <f t="shared" si="41"/>
        <v>9.9308942483743401</v>
      </c>
      <c r="CW28" s="22">
        <f t="shared" si="13"/>
        <v>73.538207482585321</v>
      </c>
      <c r="CX28" s="60">
        <f t="shared" si="14"/>
        <v>270.80006835585459</v>
      </c>
      <c r="CY28" s="60">
        <f ca="1">AVERAGE(OFFSET($CX$3,0,0,'Données projet'!$E$13+1,1))-AVERAGE(OFFSET($H$3,0,0,'Données projet'!$E$13+1,1))</f>
        <v>465.51503238626822</v>
      </c>
      <c r="CZ28" s="60">
        <f t="shared" si="42"/>
        <v>205.55320107663496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30</v>
      </c>
      <c r="DM28" s="13">
        <f>VLOOKUP(A28,'Données projet'!$A$165:$I$185,9,0)</f>
        <v>1.2</v>
      </c>
      <c r="DN28" s="13">
        <f t="array" ref="DN28">INDEX(DM:DM,MIN(IF(ISNUMBER(DM28:DM224),ROW(DM28:DM224),"")))</f>
        <v>1.2</v>
      </c>
      <c r="DO28" s="13">
        <f>IF('Données projet'!$A$166&gt;35,DO27+DN28-DW27,IF(A28&lt;'Données projet'!$A$166,$DL$205^A28,IF(A28='Données projet'!$A$166,'Données projet'!$B$166,DO27+DN28-DW27)))</f>
        <v>30</v>
      </c>
      <c r="DP28" s="18">
        <f>DO28*VLOOKUP('Données projet'!$B$14,Paramètres!$A$1:$I$89,3,0)*VLOOKUP('Données projet'!$B$14,Paramètres!$A$1:$I$89,5,0)</f>
        <v>25.740000000000002</v>
      </c>
      <c r="DQ28" s="14">
        <f t="shared" si="43"/>
        <v>8.1276645919917723</v>
      </c>
      <c r="DR28" s="22">
        <f t="shared" si="16"/>
        <v>58.986182497719007</v>
      </c>
      <c r="DS28" s="60">
        <f t="shared" si="17"/>
        <v>256.24804337098828</v>
      </c>
      <c r="DT28" s="60">
        <f ca="1">AVERAGE(OFFSET($DS$3,0,0,'Données projet'!$E$14+1,1))-AVERAGE(OFFSET($H$3,0,0,'Données projet'!$E$14+1,1))</f>
        <v>393.79546872270964</v>
      </c>
      <c r="DU28" s="60">
        <f t="shared" si="44"/>
        <v>179.7333990060757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135.66666666666666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1.9038461538461537</v>
      </c>
      <c r="N29" s="14">
        <f>IF('Données projet'!$A$36&gt;35,N28+M29-V28,IF(A29&lt;'Données projet'!$A$36,$K$205^A29,IF(A29='Données projet'!$A$36,'Données projet'!$B$36,N28+M29-V28)))</f>
        <v>33.305760769985007</v>
      </c>
      <c r="O29" s="14">
        <f>N29*VLOOKUP('Données projet'!$B$9,Paramètres!$A$1:$I$89,3,0)*VLOOKUP('Données projet'!$B$9,Paramètres!$A$1:$I$89,5,0)</f>
        <v>15.587096040352984</v>
      </c>
      <c r="P29" s="14">
        <f t="shared" si="33"/>
        <v>5.2177036111803705</v>
      </c>
      <c r="Q29" s="22">
        <f t="shared" si="2"/>
        <v>36.235026059753928</v>
      </c>
      <c r="R29" s="60">
        <f t="shared" si="0"/>
        <v>236.27972030341192</v>
      </c>
      <c r="S29" s="60">
        <f ca="1">AVERAGE(OFFSET($R$3,0,0,'Données projet'!$E$9+1,1))-AVERAGE(OFFSET($H$3,0,0,'Données projet'!$E$9+1,1))</f>
        <v>291.44524568678776</v>
      </c>
      <c r="T29" s="60">
        <f t="shared" si="34"/>
        <v>136.43373205899937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4.5</v>
      </c>
      <c r="AI29" s="14">
        <f>IF('Données projet'!$A$62&gt;35,AI28+AH29-AQ28,IF(A29&lt;'Données projet'!$A$62,$AF$205^A29,IF(A29='Données projet'!$A$62,'Données projet'!$B$62,AI28+AH29-AQ28)))</f>
        <v>113.89999999999999</v>
      </c>
      <c r="AJ29" s="14">
        <f>AI29*VLOOKUP('Données projet'!$B$10,Paramètres!$A$1:$I$89,3,0)*VLOOKUP('Données projet'!$B$10,Paramètres!$A$1:$I$89,5,0)</f>
        <v>59.228000000000002</v>
      </c>
      <c r="AK29" s="14">
        <f t="shared" si="35"/>
        <v>16.972936323405893</v>
      </c>
      <c r="AL29" s="22">
        <f t="shared" si="4"/>
        <v>132.71663076326527</v>
      </c>
      <c r="AM29" s="60">
        <f t="shared" si="5"/>
        <v>332.76132500692324</v>
      </c>
      <c r="AN29" s="60">
        <f ca="1">AVERAGE(OFFSET($AM$3,0,0,'Données projet'!$E$10+1,1))-AVERAGE(OFFSET($H$3,0,0,'Données projet'!$E$10+1,1))</f>
        <v>300.72820267660154</v>
      </c>
      <c r="AO29" s="60">
        <f t="shared" si="36"/>
        <v>228.35388778608589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5.6261538461538461</v>
      </c>
      <c r="BD29" s="13">
        <f>IF('Données projet'!$A$88&gt;35,BD28+BC29-BL28,IF(A29&lt;'Données projet'!$A$88,$BA$205^A29,IF(A29='Données projet'!$A$88,'Données projet'!$B$88,BD28+BC29-BL28)))</f>
        <v>64.164615384615388</v>
      </c>
      <c r="BE29" s="14">
        <f>BD29*VLOOKUP('Données projet'!$B$11,Paramètres!$A$1:$I$89,3,0)*VLOOKUP('Données projet'!$B$11,Paramètres!$A$1:$I$89,5,0)</f>
        <v>37.536300000000004</v>
      </c>
      <c r="BF29" s="14">
        <f t="shared" si="37"/>
        <v>11.343246666320949</v>
      </c>
      <c r="BG29" s="22">
        <f t="shared" si="7"/>
        <v>85.131877110508995</v>
      </c>
      <c r="BH29" s="60">
        <f t="shared" si="8"/>
        <v>285.17657135416698</v>
      </c>
      <c r="BI29" s="60">
        <f ca="1">AVERAGE(OFFSET($BH$3,0,0,'Données projet'!$E$11+1,1))-AVERAGE(OFFSET($H$3,0,0,'Données projet'!$E$11+1,1))</f>
        <v>221.18884567967481</v>
      </c>
      <c r="BJ29" s="60">
        <f t="shared" si="38"/>
        <v>189.31596996710888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1.9887500000000009</v>
      </c>
      <c r="BY29" s="13">
        <f>IF('Données projet'!$A$114&gt;35,BY28+BX29-CG28,IF(A29&lt;'Données projet'!$A$114,$BV$205^A29,IF(A29='Données projet'!$A$114,'Données projet'!$B$114,BY28+BX29-CG28)))</f>
        <v>46.832500000000024</v>
      </c>
      <c r="BZ29" s="14">
        <f>BY29*VLOOKUP('Données projet'!$B$12,Paramètres!$A$1:$I$89,3,0)*VLOOKUP('Données projet'!$B$12,Paramètres!$A$1:$I$89,5,0)</f>
        <v>53.951040000000027</v>
      </c>
      <c r="CA29" s="14">
        <f t="shared" si="39"/>
        <v>15.629572760496334</v>
      </c>
      <c r="CB29" s="22">
        <f t="shared" si="10"/>
        <v>121.18623389119783</v>
      </c>
      <c r="CC29" s="60">
        <f t="shared" si="11"/>
        <v>321.23092813485584</v>
      </c>
      <c r="CD29" s="60">
        <f ca="1">AVERAGE(OFFSET($CC$3,0,0,'Données projet'!$E$12+1,1))-AVERAGE(OFFSET($H$3,0,0,'Données projet'!$E$12+1,1))</f>
        <v>314.72063458462026</v>
      </c>
      <c r="CE29" s="60">
        <f t="shared" si="40"/>
        <v>216.4380325968244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37.45872</v>
      </c>
      <c r="CV29" s="14">
        <f t="shared" si="41"/>
        <v>11.322528864493165</v>
      </c>
      <c r="CW29" s="22">
        <f t="shared" si="13"/>
        <v>84.960675105658922</v>
      </c>
      <c r="CX29" s="60">
        <f t="shared" si="14"/>
        <v>285.00536934931694</v>
      </c>
      <c r="CY29" s="60">
        <f ca="1">AVERAGE(OFFSET($CX$3,0,0,'Données projet'!$E$13+1,1))-AVERAGE(OFFSET($H$3,0,0,'Données projet'!$E$13+1,1))</f>
        <v>465.51503238626822</v>
      </c>
      <c r="CZ29" s="60">
        <f t="shared" si="42"/>
        <v>205.55320107663496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4.8</v>
      </c>
      <c r="DO29" s="13">
        <f>IF('Données projet'!$A$166&gt;35,DO28+DN29-DW28,IF(A29&lt;'Données projet'!$A$166,$DL$205^A29,IF(A29='Données projet'!$A$166,'Données projet'!$B$166,DO28+DN29-DW28)))</f>
        <v>34.799999999999997</v>
      </c>
      <c r="DP29" s="18">
        <f>DO29*VLOOKUP('Données projet'!$B$14,Paramètres!$A$1:$I$89,3,0)*VLOOKUP('Données projet'!$B$14,Paramètres!$A$1:$I$89,5,0)</f>
        <v>29.858400000000003</v>
      </c>
      <c r="DQ29" s="14">
        <f t="shared" si="43"/>
        <v>9.2666092944057183</v>
      </c>
      <c r="DR29" s="22">
        <f t="shared" si="16"/>
        <v>68.14272452108996</v>
      </c>
      <c r="DS29" s="60">
        <f t="shared" si="17"/>
        <v>268.18741876474797</v>
      </c>
      <c r="DT29" s="60">
        <f ca="1">AVERAGE(OFFSET($DS$3,0,0,'Données projet'!$E$14+1,1))-AVERAGE(OFFSET($H$3,0,0,'Données projet'!$E$14+1,1))</f>
        <v>393.79546872270964</v>
      </c>
      <c r="DU29" s="60">
        <f t="shared" si="44"/>
        <v>179.7333990060757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135.66666666666666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1.9038461538461537</v>
      </c>
      <c r="N30" s="14">
        <f>IF('Données projet'!$A$36&gt;35,N29+M30-V29,IF(A30&lt;'Données projet'!$A$36,$K$205^A30,IF(A30='Données projet'!$A$36,'Données projet'!$B$36,N29+M30-V29)))</f>
        <v>38.11340897793481</v>
      </c>
      <c r="O30" s="14">
        <f>N30*VLOOKUP('Données projet'!$B$9,Paramètres!$A$1:$I$89,3,0)*VLOOKUP('Données projet'!$B$9,Paramètres!$A$1:$I$89,5,0)</f>
        <v>17.837075401673491</v>
      </c>
      <c r="P30" s="14">
        <f t="shared" si="33"/>
        <v>5.8778925183248871</v>
      </c>
      <c r="Q30" s="22">
        <f t="shared" si="2"/>
        <v>41.303569127330512</v>
      </c>
      <c r="R30" s="60">
        <f t="shared" si="0"/>
        <v>244.10402362696038</v>
      </c>
      <c r="S30" s="60">
        <f ca="1">AVERAGE(OFFSET($R$3,0,0,'Données projet'!$E$9+1,1))-AVERAGE(OFFSET($H$3,0,0,'Données projet'!$E$9+1,1))</f>
        <v>291.44524568678776</v>
      </c>
      <c r="T30" s="60">
        <f t="shared" si="34"/>
        <v>136.43373205899937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4.5</v>
      </c>
      <c r="AI30" s="14">
        <f>IF('Données projet'!$A$62&gt;35,AI29+AH30-AQ29,IF(A30&lt;'Données projet'!$A$62,$AF$205^A30,IF(A30='Données projet'!$A$62,'Données projet'!$B$62,AI29+AH30-AQ29)))</f>
        <v>118.39999999999999</v>
      </c>
      <c r="AJ30" s="14">
        <f>AI30*VLOOKUP('Données projet'!$B$10,Paramètres!$A$1:$I$89,3,0)*VLOOKUP('Données projet'!$B$10,Paramètres!$A$1:$I$89,5,0)</f>
        <v>61.567999999999998</v>
      </c>
      <c r="AK30" s="14">
        <f t="shared" si="35"/>
        <v>17.564111423853156</v>
      </c>
      <c r="AL30" s="22">
        <f t="shared" si="4"/>
        <v>137.82176072987758</v>
      </c>
      <c r="AM30" s="60">
        <f t="shared" si="5"/>
        <v>340.62221522950745</v>
      </c>
      <c r="AN30" s="60">
        <f ca="1">AVERAGE(OFFSET($AM$3,0,0,'Données projet'!$E$10+1,1))-AVERAGE(OFFSET($H$3,0,0,'Données projet'!$E$10+1,1))</f>
        <v>300.72820267660154</v>
      </c>
      <c r="AO30" s="60">
        <f t="shared" si="36"/>
        <v>228.35388778608589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5.6261538461538461</v>
      </c>
      <c r="BD30" s="13">
        <f>IF('Données projet'!$A$88&gt;35,BD29+BC30-BL29,IF(A30&lt;'Données projet'!$A$88,$BA$205^A30,IF(A30='Données projet'!$A$88,'Données projet'!$B$88,BD29+BC30-BL29)))</f>
        <v>69.790769230769229</v>
      </c>
      <c r="BE30" s="14">
        <f>BD30*VLOOKUP('Données projet'!$B$11,Paramètres!$A$1:$I$89,3,0)*VLOOKUP('Données projet'!$B$11,Paramètres!$A$1:$I$89,5,0)</f>
        <v>40.827599999999997</v>
      </c>
      <c r="BF30" s="14">
        <f t="shared" si="37"/>
        <v>12.217740250965957</v>
      </c>
      <c r="BG30" s="22">
        <f t="shared" si="7"/>
        <v>92.387300937099027</v>
      </c>
      <c r="BH30" s="60">
        <f t="shared" si="8"/>
        <v>295.18775543672888</v>
      </c>
      <c r="BI30" s="60">
        <f ca="1">AVERAGE(OFFSET($BH$3,0,0,'Données projet'!$E$11+1,1))-AVERAGE(OFFSET($H$3,0,0,'Données projet'!$E$11+1,1))</f>
        <v>221.18884567967481</v>
      </c>
      <c r="BJ30" s="60">
        <f t="shared" si="38"/>
        <v>189.31596996710888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1.9887500000000009</v>
      </c>
      <c r="BY30" s="13">
        <f>IF('Données projet'!$A$114&gt;35,BY29+BX30-CG29,IF(A30&lt;'Données projet'!$A$114,$BV$205^A30,IF(A30='Données projet'!$A$114,'Données projet'!$B$114,BY29+BX30-CG29)))</f>
        <v>48.821250000000028</v>
      </c>
      <c r="BZ30" s="14">
        <f>BY30*VLOOKUP('Données projet'!$B$12,Paramètres!$A$1:$I$89,3,0)*VLOOKUP('Données projet'!$B$12,Paramètres!$A$1:$I$89,5,0)</f>
        <v>56.242080000000023</v>
      </c>
      <c r="CA30" s="14">
        <f t="shared" si="39"/>
        <v>16.214602064519848</v>
      </c>
      <c r="CB30" s="22">
        <f t="shared" si="10"/>
        <v>126.19538792903876</v>
      </c>
      <c r="CC30" s="60">
        <f t="shared" si="11"/>
        <v>328.99584242866865</v>
      </c>
      <c r="CD30" s="60">
        <f ca="1">AVERAGE(OFFSET($CC$3,0,0,'Données projet'!$E$12+1,1))-AVERAGE(OFFSET($H$3,0,0,'Données projet'!$E$12+1,1))</f>
        <v>314.72063458462026</v>
      </c>
      <c r="CE30" s="60">
        <f t="shared" si="40"/>
        <v>216.4380325968244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42.62543999999999</v>
      </c>
      <c r="CV30" s="14">
        <f t="shared" si="41"/>
        <v>12.691924583898647</v>
      </c>
      <c r="CW30" s="22">
        <f t="shared" si="13"/>
        <v>96.34440998362345</v>
      </c>
      <c r="CX30" s="60">
        <f t="shared" si="14"/>
        <v>299.14486448325329</v>
      </c>
      <c r="CY30" s="60">
        <f ca="1">AVERAGE(OFFSET($CX$3,0,0,'Données projet'!$E$13+1,1))-AVERAGE(OFFSET($H$3,0,0,'Données projet'!$E$13+1,1))</f>
        <v>465.51503238626822</v>
      </c>
      <c r="CZ30" s="60">
        <f t="shared" si="42"/>
        <v>205.55320107663496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4.8</v>
      </c>
      <c r="DO30" s="13">
        <f>IF('Données projet'!$A$166&gt;35,DO29+DN30-DW29,IF(A30&lt;'Données projet'!$A$166,$DL$205^A30,IF(A30='Données projet'!$A$166,'Données projet'!$B$166,DO29+DN30-DW29)))</f>
        <v>39.599999999999994</v>
      </c>
      <c r="DP30" s="18">
        <f>DO30*VLOOKUP('Données projet'!$B$14,Paramètres!$A$1:$I$89,3,0)*VLOOKUP('Données projet'!$B$14,Paramètres!$A$1:$I$89,5,0)</f>
        <v>33.976799999999997</v>
      </c>
      <c r="DQ30" s="14">
        <f t="shared" si="43"/>
        <v>10.387353189433997</v>
      </c>
      <c r="DR30" s="22">
        <f t="shared" si="16"/>
        <v>77.267566804930865</v>
      </c>
      <c r="DS30" s="60">
        <f t="shared" si="17"/>
        <v>280.06802130456072</v>
      </c>
      <c r="DT30" s="60">
        <f ca="1">AVERAGE(OFFSET($DS$3,0,0,'Données projet'!$E$14+1,1))-AVERAGE(OFFSET($H$3,0,0,'Données projet'!$E$14+1,1))</f>
        <v>393.79546872270964</v>
      </c>
      <c r="DU30" s="60">
        <f t="shared" si="44"/>
        <v>179.7333990060757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135.66666666666666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1.9038461538461537</v>
      </c>
      <c r="N31" s="14">
        <f>IF('Données projet'!$A$36&gt;35,N30+M31-V30,IF(A31&lt;'Données projet'!$A$36,$K$205^A31,IF(A31='Données projet'!$A$36,'Données projet'!$B$36,N30+M31-V30)))</f>
        <v>43.615035667596189</v>
      </c>
      <c r="O31" s="14">
        <f>N31*VLOOKUP('Données projet'!$B$9,Paramètres!$A$1:$I$89,3,0)*VLOOKUP('Données projet'!$B$9,Paramètres!$A$1:$I$89,5,0)</f>
        <v>20.411836692435017</v>
      </c>
      <c r="P31" s="14">
        <f t="shared" si="33"/>
        <v>6.6216142256427908</v>
      </c>
      <c r="Q31" s="22">
        <f t="shared" si="2"/>
        <v>47.083260348985512</v>
      </c>
      <c r="R31" s="60">
        <f t="shared" si="0"/>
        <v>252.61287164817909</v>
      </c>
      <c r="S31" s="60">
        <f ca="1">AVERAGE(OFFSET($R$3,0,0,'Données projet'!$E$9+1,1))-AVERAGE(OFFSET($H$3,0,0,'Données projet'!$E$9+1,1))</f>
        <v>291.44524568678776</v>
      </c>
      <c r="T31" s="60">
        <f t="shared" si="34"/>
        <v>136.43373205899937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4.5</v>
      </c>
      <c r="AI31" s="14">
        <f>IF('Données projet'!$A$62&gt;35,AI30+AH31-AQ30,IF(A31&lt;'Données projet'!$A$62,$AF$205^A31,IF(A31='Données projet'!$A$62,'Données projet'!$B$62,AI30+AH31-AQ30)))</f>
        <v>122.89999999999999</v>
      </c>
      <c r="AJ31" s="14">
        <f>AI31*VLOOKUP('Données projet'!$B$10,Paramètres!$A$1:$I$89,3,0)*VLOOKUP('Données projet'!$B$10,Paramètres!$A$1:$I$89,5,0)</f>
        <v>63.908000000000001</v>
      </c>
      <c r="AK31" s="14">
        <f t="shared" si="35"/>
        <v>18.152676286503855</v>
      </c>
      <c r="AL31" s="22">
        <f t="shared" si="4"/>
        <v>142.92234453232751</v>
      </c>
      <c r="AM31" s="60">
        <f t="shared" si="5"/>
        <v>348.4519558315211</v>
      </c>
      <c r="AN31" s="60">
        <f ca="1">AVERAGE(OFFSET($AM$3,0,0,'Données projet'!$E$10+1,1))-AVERAGE(OFFSET($H$3,0,0,'Données projet'!$E$10+1,1))</f>
        <v>300.72820267660154</v>
      </c>
      <c r="AO31" s="60">
        <f t="shared" si="36"/>
        <v>228.35388778608589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5.6261538461538461</v>
      </c>
      <c r="BD31" s="13">
        <f>IF('Données projet'!$A$88&gt;35,BD30+BC31-BL30,IF(A31&lt;'Données projet'!$A$88,$BA$205^A31,IF(A31='Données projet'!$A$88,'Données projet'!$B$88,BD30+BC31-BL30)))</f>
        <v>75.416923076923069</v>
      </c>
      <c r="BE31" s="14">
        <f>BD31*VLOOKUP('Données projet'!$B$11,Paramètres!$A$1:$I$89,3,0)*VLOOKUP('Données projet'!$B$11,Paramètres!$A$1:$I$89,5,0)</f>
        <v>44.118900000000004</v>
      </c>
      <c r="BF31" s="14">
        <f t="shared" si="37"/>
        <v>13.084057029220077</v>
      </c>
      <c r="BG31" s="22">
        <f t="shared" si="7"/>
        <v>99.628483492558303</v>
      </c>
      <c r="BH31" s="60">
        <f t="shared" si="8"/>
        <v>305.15809479175186</v>
      </c>
      <c r="BI31" s="60">
        <f ca="1">AVERAGE(OFFSET($BH$3,0,0,'Données projet'!$E$11+1,1))-AVERAGE(OFFSET($H$3,0,0,'Données projet'!$E$11+1,1))</f>
        <v>221.18884567967481</v>
      </c>
      <c r="BJ31" s="60">
        <f t="shared" si="38"/>
        <v>189.31596996710888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1.9887500000000009</v>
      </c>
      <c r="BY31" s="13">
        <f>IF('Données projet'!$A$114&gt;35,BY30+BX31-CG30,IF(A31&lt;'Données projet'!$A$114,$BV$205^A31,IF(A31='Données projet'!$A$114,'Données projet'!$B$114,BY30+BX31-CG30)))</f>
        <v>50.810000000000031</v>
      </c>
      <c r="BZ31" s="14">
        <f>BY31*VLOOKUP('Données projet'!$B$12,Paramètres!$A$1:$I$89,3,0)*VLOOKUP('Données projet'!$B$12,Paramètres!$A$1:$I$89,5,0)</f>
        <v>58.533120000000032</v>
      </c>
      <c r="CA31" s="14">
        <f t="shared" si="39"/>
        <v>16.79686315525263</v>
      </c>
      <c r="CB31" s="22">
        <f t="shared" si="10"/>
        <v>131.19972066206506</v>
      </c>
      <c r="CC31" s="60">
        <f t="shared" si="11"/>
        <v>336.72933196125865</v>
      </c>
      <c r="CD31" s="60">
        <f ca="1">AVERAGE(OFFSET($CC$3,0,0,'Données projet'!$E$12+1,1))-AVERAGE(OFFSET($H$3,0,0,'Données projet'!$E$12+1,1))</f>
        <v>314.72063458462026</v>
      </c>
      <c r="CE31" s="60">
        <f t="shared" si="40"/>
        <v>216.4380325968244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47.792159999999988</v>
      </c>
      <c r="CV31" s="14">
        <f t="shared" si="41"/>
        <v>14.042085367056567</v>
      </c>
      <c r="CW31" s="22">
        <f t="shared" si="13"/>
        <v>107.69464401429015</v>
      </c>
      <c r="CX31" s="60">
        <f t="shared" si="14"/>
        <v>313.22425531348375</v>
      </c>
      <c r="CY31" s="60">
        <f ca="1">AVERAGE(OFFSET($CX$3,0,0,'Données projet'!$E$13+1,1))-AVERAGE(OFFSET($H$3,0,0,'Données projet'!$E$13+1,1))</f>
        <v>465.51503238626822</v>
      </c>
      <c r="CZ31" s="60">
        <f t="shared" si="42"/>
        <v>205.55320107663496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4.8</v>
      </c>
      <c r="DO31" s="13">
        <f>IF('Données projet'!$A$166&gt;35,DO30+DN31-DW30,IF(A31&lt;'Données projet'!$A$166,$DL$205^A31,IF(A31='Données projet'!$A$166,'Données projet'!$B$166,DO30+DN31-DW30)))</f>
        <v>44.399999999999991</v>
      </c>
      <c r="DP31" s="18">
        <f>DO31*VLOOKUP('Données projet'!$B$14,Paramètres!$A$1:$I$89,3,0)*VLOOKUP('Données projet'!$B$14,Paramètres!$A$1:$I$89,5,0)</f>
        <v>38.095199999999998</v>
      </c>
      <c r="DQ31" s="14">
        <f t="shared" si="43"/>
        <v>11.492354785092406</v>
      </c>
      <c r="DR31" s="22">
        <f t="shared" si="16"/>
        <v>86.364991250702602</v>
      </c>
      <c r="DS31" s="60">
        <f t="shared" si="17"/>
        <v>291.89460254989621</v>
      </c>
      <c r="DT31" s="60">
        <f ca="1">AVERAGE(OFFSET($DS$3,0,0,'Données projet'!$E$14+1,1))-AVERAGE(OFFSET($H$3,0,0,'Données projet'!$E$14+1,1))</f>
        <v>393.79546872270964</v>
      </c>
      <c r="DU31" s="60">
        <f t="shared" si="44"/>
        <v>179.7333990060757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135.66666666666666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1.9038461538461537</v>
      </c>
      <c r="N32" s="14">
        <f>IF('Données projet'!$A$36&gt;35,N31+M32-V31,IF(A32&lt;'Données projet'!$A$36,$K$205^A32,IF(A32='Données projet'!$A$36,'Données projet'!$B$36,N31+M32-V31)))</f>
        <v>49.910815833529334</v>
      </c>
      <c r="O32" s="14">
        <f>N32*VLOOKUP('Données projet'!$B$9,Paramètres!$A$1:$I$89,3,0)*VLOOKUP('Données projet'!$B$9,Paramètres!$A$1:$I$89,5,0)</f>
        <v>23.358261810091726</v>
      </c>
      <c r="P32" s="14">
        <f t="shared" si="33"/>
        <v>7.4594380241798577</v>
      </c>
      <c r="Q32" s="22">
        <f t="shared" si="2"/>
        <v>53.67416054468967</v>
      </c>
      <c r="R32" s="60">
        <f t="shared" si="0"/>
        <v>261.90678669753112</v>
      </c>
      <c r="S32" s="60">
        <f ca="1">AVERAGE(OFFSET($R$3,0,0,'Données projet'!$E$9+1,1))-AVERAGE(OFFSET($H$3,0,0,'Données projet'!$E$9+1,1))</f>
        <v>291.44524568678776</v>
      </c>
      <c r="T32" s="60">
        <f t="shared" si="34"/>
        <v>136.43373205899937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4.5</v>
      </c>
      <c r="AI32" s="14">
        <f>IF('Données projet'!$A$62&gt;35,AI31+AH32-AQ31,IF(A32&lt;'Données projet'!$A$62,$AF$205^A32,IF(A32='Données projet'!$A$62,'Données projet'!$B$62,AI31+AH32-AQ31)))</f>
        <v>127.39999999999999</v>
      </c>
      <c r="AJ32" s="14">
        <f>AI32*VLOOKUP('Données projet'!$B$10,Paramètres!$A$1:$I$89,3,0)*VLOOKUP('Données projet'!$B$10,Paramètres!$A$1:$I$89,5,0)</f>
        <v>66.248000000000005</v>
      </c>
      <c r="AK32" s="14">
        <f t="shared" si="35"/>
        <v>18.738737431772371</v>
      </c>
      <c r="AL32" s="22">
        <f t="shared" si="4"/>
        <v>148.01856769367024</v>
      </c>
      <c r="AM32" s="60">
        <f t="shared" si="5"/>
        <v>356.25119384651168</v>
      </c>
      <c r="AN32" s="60">
        <f ca="1">AVERAGE(OFFSET($AM$3,0,0,'Données projet'!$E$10+1,1))-AVERAGE(OFFSET($H$3,0,0,'Données projet'!$E$10+1,1))</f>
        <v>300.72820267660154</v>
      </c>
      <c r="AO32" s="60">
        <f t="shared" si="36"/>
        <v>228.35388778608589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5.6261538461538461</v>
      </c>
      <c r="BD32" s="13">
        <f>IF('Données projet'!$A$88&gt;35,BD31+BC32-BL31,IF(A32&lt;'Données projet'!$A$88,$BA$205^A32,IF(A32='Données projet'!$A$88,'Données projet'!$B$88,BD31+BC32-BL31)))</f>
        <v>81.04307692307691</v>
      </c>
      <c r="BE32" s="14">
        <f>BD32*VLOOKUP('Données projet'!$B$11,Paramètres!$A$1:$I$89,3,0)*VLOOKUP('Données projet'!$B$11,Paramètres!$A$1:$I$89,5,0)</f>
        <v>47.410199999999996</v>
      </c>
      <c r="BF32" s="14">
        <f t="shared" si="37"/>
        <v>13.94287635938028</v>
      </c>
      <c r="BG32" s="22">
        <f t="shared" si="7"/>
        <v>106.85660799258731</v>
      </c>
      <c r="BH32" s="60">
        <f t="shared" si="8"/>
        <v>315.08923414542875</v>
      </c>
      <c r="BI32" s="60">
        <f ca="1">AVERAGE(OFFSET($BH$3,0,0,'Données projet'!$E$11+1,1))-AVERAGE(OFFSET($H$3,0,0,'Données projet'!$E$11+1,1))</f>
        <v>221.18884567967481</v>
      </c>
      <c r="BJ32" s="60">
        <f t="shared" si="38"/>
        <v>189.31596996710888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1.9887500000000009</v>
      </c>
      <c r="BY32" s="13">
        <f>IF('Données projet'!$A$114&gt;35,BY31+BX32-CG31,IF(A32&lt;'Données projet'!$A$114,$BV$205^A32,IF(A32='Données projet'!$A$114,'Données projet'!$B$114,BY31+BX32-CG31)))</f>
        <v>52.798750000000034</v>
      </c>
      <c r="BZ32" s="14">
        <f>BY32*VLOOKUP('Données projet'!$B$12,Paramètres!$A$1:$I$89,3,0)*VLOOKUP('Données projet'!$B$12,Paramètres!$A$1:$I$89,5,0)</f>
        <v>60.824160000000035</v>
      </c>
      <c r="CA32" s="14">
        <f t="shared" si="39"/>
        <v>17.376476782758175</v>
      </c>
      <c r="CB32" s="22">
        <f t="shared" si="10"/>
        <v>136.19944239663721</v>
      </c>
      <c r="CC32" s="60">
        <f t="shared" si="11"/>
        <v>344.43206854947869</v>
      </c>
      <c r="CD32" s="60">
        <f ca="1">AVERAGE(OFFSET($CC$3,0,0,'Données projet'!$E$12+1,1))-AVERAGE(OFFSET($H$3,0,0,'Données projet'!$E$12+1,1))</f>
        <v>314.72063458462026</v>
      </c>
      <c r="CE32" s="60">
        <f t="shared" si="40"/>
        <v>216.4380325968244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52.958879999999979</v>
      </c>
      <c r="CV32" s="14">
        <f t="shared" si="41"/>
        <v>15.375327718852537</v>
      </c>
      <c r="CW32" s="22">
        <f t="shared" si="13"/>
        <v>119.01541177700146</v>
      </c>
      <c r="CX32" s="60">
        <f t="shared" si="14"/>
        <v>327.24803792984289</v>
      </c>
      <c r="CY32" s="60">
        <f ca="1">AVERAGE(OFFSET($CX$3,0,0,'Données projet'!$E$13+1,1))-AVERAGE(OFFSET($H$3,0,0,'Données projet'!$E$13+1,1))</f>
        <v>465.51503238626822</v>
      </c>
      <c r="CZ32" s="60">
        <f t="shared" si="42"/>
        <v>205.55320107663496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4.8</v>
      </c>
      <c r="DO32" s="13">
        <f>IF('Données projet'!$A$166&gt;35,DO31+DN32-DW31,IF(A32&lt;'Données projet'!$A$166,$DL$205^A32,IF(A32='Données projet'!$A$166,'Données projet'!$B$166,DO31+DN32-DW31)))</f>
        <v>49.199999999999989</v>
      </c>
      <c r="DP32" s="18">
        <f>DO32*VLOOKUP('Données projet'!$B$14,Paramètres!$A$1:$I$89,3,0)*VLOOKUP('Données projet'!$B$14,Paramètres!$A$1:$I$89,5,0)</f>
        <v>42.213599999999992</v>
      </c>
      <c r="DQ32" s="14">
        <f t="shared" si="43"/>
        <v>12.583509960469467</v>
      </c>
      <c r="DR32" s="22">
        <f t="shared" si="16"/>
        <v>95.438299847817632</v>
      </c>
      <c r="DS32" s="60">
        <f t="shared" si="17"/>
        <v>303.67092600065905</v>
      </c>
      <c r="DT32" s="60">
        <f ca="1">AVERAGE(OFFSET($DS$3,0,0,'Données projet'!$E$14+1,1))-AVERAGE(OFFSET($H$3,0,0,'Données projet'!$E$14+1,1))</f>
        <v>393.79546872270964</v>
      </c>
      <c r="DU32" s="60">
        <f t="shared" si="44"/>
        <v>179.7333990060757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135.66666666666666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57.115384615384613</v>
      </c>
      <c r="L33" s="13">
        <f>VLOOKUP(A33,'Données projet'!$A$35:$I$55,9,0)</f>
        <v>1.9038461538461537</v>
      </c>
      <c r="M33" s="13">
        <f t="array" ref="M33">INDEX(L:L,MIN(IF(ISNUMBER(L33:L229),ROW(L33:L229),"")))</f>
        <v>1.9038461538461537</v>
      </c>
      <c r="N33" s="14">
        <f>IF('Données projet'!$A$36&gt;35,N32+M33-V32,IF(A33&lt;'Données projet'!$A$36,$K$205^A33,IF(A33='Données projet'!$A$36,'Données projet'!$B$36,N32+M33-V32)))</f>
        <v>57.115384615384613</v>
      </c>
      <c r="O33" s="14">
        <f>N33*VLOOKUP('Données projet'!$B$9,Paramètres!$A$1:$I$89,3,0)*VLOOKUP('Données projet'!$B$9,Paramètres!$A$1:$I$89,5,0)</f>
        <v>26.73</v>
      </c>
      <c r="P33" s="14">
        <f t="shared" si="33"/>
        <v>8.4032705229333438</v>
      </c>
      <c r="Q33" s="22">
        <f t="shared" si="2"/>
        <v>61.190446160775572</v>
      </c>
      <c r="R33" s="60">
        <f t="shared" si="0"/>
        <v>272.10039872566603</v>
      </c>
      <c r="S33" s="60">
        <f ca="1">AVERAGE(OFFSET($R$3,0,0,'Données projet'!$E$9+1,1))-AVERAGE(OFFSET($H$3,0,0,'Données projet'!$E$9+1,1))</f>
        <v>291.44524568678776</v>
      </c>
      <c r="T33" s="60">
        <f t="shared" si="34"/>
        <v>136.43373205899937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131.9</v>
      </c>
      <c r="AG33" s="13">
        <f>VLOOKUP(A33,'Données projet'!$A$61:$I$81,9,0)</f>
        <v>4.5</v>
      </c>
      <c r="AH33" s="13">
        <f t="array" ref="AH33">INDEX(AG:AG,MIN(IF(ISNUMBER(AG33:AG229),ROW(AG33:AG229),"")))</f>
        <v>4.5</v>
      </c>
      <c r="AI33" s="14">
        <f>IF('Données projet'!$A$62&gt;35,AI32+AH33-AQ32,IF(A33&lt;'Données projet'!$A$62,$AF$205^A33,IF(A33='Données projet'!$A$62,'Données projet'!$B$62,AI32+AH33-AQ32)))</f>
        <v>131.89999999999998</v>
      </c>
      <c r="AJ33" s="14">
        <f>AI33*VLOOKUP('Données projet'!$B$10,Paramètres!$A$1:$I$89,3,0)*VLOOKUP('Données projet'!$B$10,Paramètres!$A$1:$I$89,5,0)</f>
        <v>68.587999999999994</v>
      </c>
      <c r="AK33" s="14">
        <f t="shared" si="35"/>
        <v>19.322393428437586</v>
      </c>
      <c r="AL33" s="22">
        <f t="shared" si="4"/>
        <v>153.11060188786209</v>
      </c>
      <c r="AM33" s="60">
        <f t="shared" si="5"/>
        <v>364.02055445275255</v>
      </c>
      <c r="AN33" s="60">
        <f ca="1">AVERAGE(OFFSET($AM$3,0,0,'Données projet'!$E$10+1,1))-AVERAGE(OFFSET($H$3,0,0,'Données projet'!$E$10+1,1))</f>
        <v>300.72820267660154</v>
      </c>
      <c r="AO33" s="60">
        <f t="shared" si="36"/>
        <v>228.35388778608589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86.669230769230765</v>
      </c>
      <c r="BB33" s="13">
        <f>VLOOKUP(A33,'Données projet'!$A$87:$I$107,9,0)</f>
        <v>5.6261538461538461</v>
      </c>
      <c r="BC33" s="13">
        <f t="array" ref="BC33">INDEX(BB:BB,MIN(IF(ISNUMBER(BB33:BB229),ROW(BB33:BB229),"")))</f>
        <v>5.6261538461538461</v>
      </c>
      <c r="BD33" s="13">
        <f>IF('Données projet'!$A$88&gt;35,BD32+BC33-BL32,IF(A33&lt;'Données projet'!$A$88,$BA$205^A33,IF(A33='Données projet'!$A$88,'Données projet'!$B$88,BD32+BC33-BL32)))</f>
        <v>86.669230769230751</v>
      </c>
      <c r="BE33" s="14">
        <f>BD33*VLOOKUP('Données projet'!$B$11,Paramètres!$A$1:$I$89,3,0)*VLOOKUP('Données projet'!$B$11,Paramètres!$A$1:$I$89,5,0)</f>
        <v>50.701499999999996</v>
      </c>
      <c r="BF33" s="14">
        <f t="shared" si="37"/>
        <v>14.794777934288117</v>
      </c>
      <c r="BG33" s="22">
        <f t="shared" si="7"/>
        <v>114.07268406888512</v>
      </c>
      <c r="BH33" s="60">
        <f t="shared" si="8"/>
        <v>324.98263663377554</v>
      </c>
      <c r="BI33" s="60">
        <f ca="1">AVERAGE(OFFSET($BH$3,0,0,'Données projet'!$E$11+1,1))-AVERAGE(OFFSET($H$3,0,0,'Données projet'!$E$11+1,1))</f>
        <v>221.18884567967481</v>
      </c>
      <c r="BJ33" s="60">
        <f t="shared" si="38"/>
        <v>189.31596996710888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54.787500000000009</v>
      </c>
      <c r="BW33" s="13">
        <f>VLOOKUP(A33,'Données projet'!$A$113:$I$133,9,0)</f>
        <v>1.9887500000000009</v>
      </c>
      <c r="BX33" s="13">
        <f t="array" ref="BX33">INDEX(BW:BW,MIN(IF(ISNUMBER(BW33:BW229),ROW(BW33:BW229),"")))</f>
        <v>1.9887500000000009</v>
      </c>
      <c r="BY33" s="13">
        <f>IF('Données projet'!$A$114&gt;35,BY32+BX33-CG32,IF(A33&lt;'Données projet'!$A$114,$BV$205^A33,IF(A33='Données projet'!$A$114,'Données projet'!$B$114,BY32+BX33-CG32)))</f>
        <v>54.787500000000037</v>
      </c>
      <c r="BZ33" s="14">
        <f>BY33*VLOOKUP('Données projet'!$B$12,Paramètres!$A$1:$I$89,3,0)*VLOOKUP('Données projet'!$B$12,Paramètres!$A$1:$I$89,5,0)</f>
        <v>63.115200000000037</v>
      </c>
      <c r="CA33" s="14">
        <f t="shared" si="39"/>
        <v>17.953554085320896</v>
      </c>
      <c r="CB33" s="22">
        <f t="shared" si="10"/>
        <v>141.19474669860062</v>
      </c>
      <c r="CC33" s="60">
        <f t="shared" si="11"/>
        <v>352.10469926349106</v>
      </c>
      <c r="CD33" s="60">
        <f ca="1">AVERAGE(OFFSET($CC$3,0,0,'Données projet'!$E$12+1,1))-AVERAGE(OFFSET($H$3,0,0,'Données projet'!$E$12+1,1))</f>
        <v>314.72063458462026</v>
      </c>
      <c r="CE33" s="60">
        <f t="shared" si="40"/>
        <v>216.4380325968244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11.375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58.125599999999977</v>
      </c>
      <c r="CV33" s="14">
        <f t="shared" si="41"/>
        <v>16.693490054590161</v>
      </c>
      <c r="CW33" s="22">
        <f t="shared" si="13"/>
        <v>130.30991517841116</v>
      </c>
      <c r="CX33" s="60">
        <f t="shared" si="14"/>
        <v>341.21986774330162</v>
      </c>
      <c r="CY33" s="60">
        <f ca="1">AVERAGE(OFFSET($CX$3,0,0,'Données projet'!$E$13+1,1))-AVERAGE(OFFSET($H$3,0,0,'Données projet'!$E$13+1,1))</f>
        <v>465.51503238626822</v>
      </c>
      <c r="CZ33" s="60">
        <f t="shared" si="42"/>
        <v>205.55320107663496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54</v>
      </c>
      <c r="DM33" s="13">
        <f>VLOOKUP(A33,'Données projet'!$A$165:$I$185,9,0)</f>
        <v>4.8</v>
      </c>
      <c r="DN33" s="13">
        <f t="array" ref="DN33">INDEX(DM:DM,MIN(IF(ISNUMBER(DM33:DM229),ROW(DM33:DM229),"")))</f>
        <v>4.8</v>
      </c>
      <c r="DO33" s="13">
        <f>IF('Données projet'!$A$166&gt;35,DO32+DN33-DW32,IF(A33&lt;'Données projet'!$A$166,$DL$205^A33,IF(A33='Données projet'!$A$166,'Données projet'!$B$166,DO32+DN33-DW32)))</f>
        <v>53.999999999999986</v>
      </c>
      <c r="DP33" s="18">
        <f>DO33*VLOOKUP('Données projet'!$B$14,Paramètres!$A$1:$I$89,3,0)*VLOOKUP('Données projet'!$B$14,Paramètres!$A$1:$I$89,5,0)</f>
        <v>46.331999999999994</v>
      </c>
      <c r="DQ33" s="14">
        <f t="shared" si="43"/>
        <v>13.662323315513062</v>
      </c>
      <c r="DR33" s="22">
        <f t="shared" si="16"/>
        <v>104.49011310785191</v>
      </c>
      <c r="DS33" s="60">
        <f t="shared" si="17"/>
        <v>315.40006567274236</v>
      </c>
      <c r="DT33" s="60">
        <f ca="1">AVERAGE(OFFSET($DS$3,0,0,'Données projet'!$E$14+1,1))-AVERAGE(OFFSET($H$3,0,0,'Données projet'!$E$14+1,1))</f>
        <v>393.79546872270964</v>
      </c>
      <c r="DU33" s="60">
        <f t="shared" si="44"/>
        <v>179.7333990060757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135.66666666666666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5.0453846153846156</v>
      </c>
      <c r="N34" s="14">
        <f>IF('Données projet'!$A$36&gt;35,N33+M34-V33,IF(A34&lt;'Données projet'!$A$36,$K$205^A34,IF(A34='Données projet'!$A$36,'Données projet'!$B$36,N33+M34-V33)))</f>
        <v>62.160769230769226</v>
      </c>
      <c r="O34" s="14">
        <f>N34*VLOOKUP('Données projet'!$B$9,Paramètres!$A$1:$I$89,3,0)*VLOOKUP('Données projet'!$B$9,Paramètres!$A$1:$I$89,5,0)</f>
        <v>29.091239999999999</v>
      </c>
      <c r="P34" s="14">
        <f t="shared" si="33"/>
        <v>9.0559157639316421</v>
      </c>
      <c r="Q34" s="22">
        <f t="shared" si="2"/>
        <v>66.439629622180931</v>
      </c>
      <c r="R34" s="60">
        <f t="shared" si="0"/>
        <v>278.77944357233025</v>
      </c>
      <c r="S34" s="60">
        <f ca="1">AVERAGE(OFFSET($R$3,0,0,'Données projet'!$E$9+1,1))-AVERAGE(OFFSET($H$3,0,0,'Données projet'!$E$9+1,1))</f>
        <v>291.44524568678776</v>
      </c>
      <c r="T34" s="60">
        <f t="shared" si="34"/>
        <v>136.43373205899937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4.2199999999999989</v>
      </c>
      <c r="AI34" s="14">
        <f>IF('Données projet'!$A$62&gt;35,AI33+AH34-AQ33,IF(A34&lt;'Données projet'!$A$62,$AF$205^A34,IF(A34='Données projet'!$A$62,'Données projet'!$B$62,AI33+AH34-AQ33)))</f>
        <v>136.11999999999998</v>
      </c>
      <c r="AJ34" s="14">
        <f>AI34*VLOOKUP('Données projet'!$B$10,Paramètres!$A$1:$I$89,3,0)*VLOOKUP('Données projet'!$B$10,Paramètres!$A$1:$I$89,5,0)</f>
        <v>70.782399999999996</v>
      </c>
      <c r="AK34" s="14">
        <f t="shared" si="35"/>
        <v>19.867629196840106</v>
      </c>
      <c r="AL34" s="22">
        <f t="shared" si="4"/>
        <v>157.88213418449652</v>
      </c>
      <c r="AM34" s="60">
        <f t="shared" si="5"/>
        <v>370.2219481346458</v>
      </c>
      <c r="AN34" s="60">
        <f ca="1">AVERAGE(OFFSET($AM$3,0,0,'Données projet'!$E$10+1,1))-AVERAGE(OFFSET($H$3,0,0,'Données projet'!$E$10+1,1))</f>
        <v>300.72820267660154</v>
      </c>
      <c r="AO34" s="60">
        <f t="shared" si="36"/>
        <v>228.35388778608589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6.5333333333333341</v>
      </c>
      <c r="BD34" s="13">
        <f>IF('Données projet'!$A$88&gt;35,BD33+BC34-BL33,IF(A34&lt;'Données projet'!$A$88,$BA$205^A34,IF(A34='Données projet'!$A$88,'Données projet'!$B$88,BD33+BC34-BL33)))</f>
        <v>93.202564102564082</v>
      </c>
      <c r="BE34" s="14">
        <f>BD34*VLOOKUP('Données projet'!$B$11,Paramètres!$A$1:$I$89,3,0)*VLOOKUP('Données projet'!$B$11,Paramètres!$A$1:$I$89,5,0)</f>
        <v>54.523499999999991</v>
      </c>
      <c r="BF34" s="14">
        <f t="shared" si="37"/>
        <v>15.776019906965951</v>
      </c>
      <c r="BG34" s="22">
        <f t="shared" si="7"/>
        <v>122.43833050463235</v>
      </c>
      <c r="BH34" s="60">
        <f t="shared" si="8"/>
        <v>334.77814445478168</v>
      </c>
      <c r="BI34" s="60">
        <f ca="1">AVERAGE(OFFSET($BH$3,0,0,'Données projet'!$E$11+1,1))-AVERAGE(OFFSET($H$3,0,0,'Données projet'!$E$11+1,1))</f>
        <v>221.18884567967481</v>
      </c>
      <c r="BJ34" s="60">
        <f t="shared" si="38"/>
        <v>189.31596996710888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1.9254166666666663</v>
      </c>
      <c r="BY34" s="13">
        <f>IF('Données projet'!$A$114&gt;35,BY33+BX34-CG33,IF(A34&lt;'Données projet'!$A$114,$BV$205^A34,IF(A34='Données projet'!$A$114,'Données projet'!$B$114,BY33+BX34-CG33)))</f>
        <v>45.3379166666667</v>
      </c>
      <c r="BZ34" s="14">
        <f>BY34*VLOOKUP('Données projet'!$B$12,Paramètres!$A$1:$I$89,3,0)*VLOOKUP('Données projet'!$B$12,Paramètres!$A$1:$I$89,5,0)</f>
        <v>52.229280000000031</v>
      </c>
      <c r="CA34" s="14">
        <f t="shared" si="39"/>
        <v>15.188011234079523</v>
      </c>
      <c r="CB34" s="22">
        <f t="shared" si="10"/>
        <v>117.41844889935521</v>
      </c>
      <c r="CC34" s="60">
        <f t="shared" si="11"/>
        <v>329.75826284950449</v>
      </c>
      <c r="CD34" s="60">
        <f ca="1">AVERAGE(OFFSET($CC$3,0,0,'Données projet'!$E$12+1,1))-AVERAGE(OFFSET($H$3,0,0,'Données projet'!$E$12+1,1))</f>
        <v>314.72063458462026</v>
      </c>
      <c r="CE34" s="60">
        <f t="shared" si="40"/>
        <v>216.4380325968244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63.507599999999982</v>
      </c>
      <c r="CV34" s="14">
        <f t="shared" si="41"/>
        <v>18.052146695841799</v>
      </c>
      <c r="CW34" s="22">
        <f t="shared" si="13"/>
        <v>142.04989216192442</v>
      </c>
      <c r="CX34" s="60">
        <f t="shared" si="14"/>
        <v>354.38970611207372</v>
      </c>
      <c r="CY34" s="60">
        <f ca="1">AVERAGE(OFFSET($CX$3,0,0,'Données projet'!$E$13+1,1))-AVERAGE(OFFSET($H$3,0,0,'Données projet'!$E$13+1,1))</f>
        <v>465.51503238626822</v>
      </c>
      <c r="CZ34" s="60">
        <f t="shared" si="42"/>
        <v>205.55320107663496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</v>
      </c>
      <c r="DO34" s="13">
        <f>IF('Données projet'!$A$166&gt;35,DO33+DN34-DW33,IF(A34&lt;'Données projet'!$A$166,$DL$205^A34,IF(A34='Données projet'!$A$166,'Données projet'!$B$166,DO33+DN34-DW33)))</f>
        <v>58.999999999999986</v>
      </c>
      <c r="DP34" s="18">
        <f>DO34*VLOOKUP('Données projet'!$B$14,Paramètres!$A$1:$I$89,3,0)*VLOOKUP('Données projet'!$B$14,Paramètres!$A$1:$I$89,5,0)</f>
        <v>50.621999999999993</v>
      </c>
      <c r="DQ34" s="14">
        <f t="shared" si="43"/>
        <v>14.774278110277189</v>
      </c>
      <c r="DR34" s="22">
        <f t="shared" si="16"/>
        <v>113.89851770873275</v>
      </c>
      <c r="DS34" s="60">
        <f t="shared" si="17"/>
        <v>326.23833165888209</v>
      </c>
      <c r="DT34" s="60">
        <f ca="1">AVERAGE(OFFSET($DS$3,0,0,'Données projet'!$E$14+1,1))-AVERAGE(OFFSET($H$3,0,0,'Données projet'!$E$14+1,1))</f>
        <v>393.79546872270964</v>
      </c>
      <c r="DU34" s="60">
        <f t="shared" si="44"/>
        <v>179.7333990060757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135.66666666666666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5.0453846153846156</v>
      </c>
      <c r="N35" s="14">
        <f>IF('Données projet'!$A$36&gt;35,N34+M35-V34,IF(A35&lt;'Données projet'!$A$36,$K$205^A35,IF(A35='Données projet'!$A$36,'Données projet'!$B$36,N34+M35-V34)))</f>
        <v>67.206153846153839</v>
      </c>
      <c r="O35" s="14">
        <f>N35*VLOOKUP('Données projet'!$B$9,Paramètres!$A$1:$I$89,3,0)*VLOOKUP('Données projet'!$B$9,Paramètres!$A$1:$I$89,5,0)</f>
        <v>31.452479999999998</v>
      </c>
      <c r="P35" s="14">
        <f t="shared" si="33"/>
        <v>9.7024168602761751</v>
      </c>
      <c r="Q35" s="22">
        <f t="shared" ref="Q35:Q66" si="53">(O35+P35)*0.475*44/12</f>
        <v>71.678112031647672</v>
      </c>
      <c r="R35" s="60">
        <f t="shared" si="0"/>
        <v>285.4229824687128</v>
      </c>
      <c r="S35" s="60">
        <f ca="1">AVERAGE(OFFSET($R$3,0,0,'Données projet'!$E$9+1,1))-AVERAGE(OFFSET($H$3,0,0,'Données projet'!$E$9+1,1))</f>
        <v>291.44524568678776</v>
      </c>
      <c r="T35" s="60">
        <f t="shared" si="34"/>
        <v>136.43373205899937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4.2199999999999989</v>
      </c>
      <c r="AI35" s="14">
        <f>IF('Données projet'!$A$62&gt;35,AI34+AH35-AQ34,IF(A35&lt;'Données projet'!$A$62,$AF$205^A35,IF(A35='Données projet'!$A$62,'Données projet'!$B$62,AI34+AH35-AQ34)))</f>
        <v>140.33999999999997</v>
      </c>
      <c r="AJ35" s="14">
        <f>AI35*VLOOKUP('Données projet'!$B$10,Paramètres!$A$1:$I$89,3,0)*VLOOKUP('Données projet'!$B$10,Paramètres!$A$1:$I$89,5,0)</f>
        <v>72.976799999999997</v>
      </c>
      <c r="AK35" s="14">
        <f t="shared" si="35"/>
        <v>20.410900619331521</v>
      </c>
      <c r="AL35" s="22">
        <f t="shared" si="4"/>
        <v>162.65024524533573</v>
      </c>
      <c r="AM35" s="60">
        <f t="shared" si="5"/>
        <v>376.39511568240084</v>
      </c>
      <c r="AN35" s="60">
        <f ca="1">AVERAGE(OFFSET($AM$3,0,0,'Données projet'!$E$10+1,1))-AVERAGE(OFFSET($H$3,0,0,'Données projet'!$E$10+1,1))</f>
        <v>300.72820267660154</v>
      </c>
      <c r="AO35" s="60">
        <f t="shared" si="36"/>
        <v>228.35388778608589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6.5333333333333341</v>
      </c>
      <c r="BD35" s="13">
        <f>IF('Données projet'!$A$88&gt;35,BD34+BC35-BL34,IF(A35&lt;'Données projet'!$A$88,$BA$205^A35,IF(A35='Données projet'!$A$88,'Données projet'!$B$88,BD34+BC35-BL34)))</f>
        <v>99.735897435897414</v>
      </c>
      <c r="BE35" s="14">
        <f>BD35*VLOOKUP('Données projet'!$B$11,Paramètres!$A$1:$I$89,3,0)*VLOOKUP('Données projet'!$B$11,Paramètres!$A$1:$I$89,5,0)</f>
        <v>58.345499999999987</v>
      </c>
      <c r="BF35" s="14">
        <f t="shared" si="37"/>
        <v>16.749281181106795</v>
      </c>
      <c r="BG35" s="22">
        <f t="shared" si="7"/>
        <v>130.79007722376096</v>
      </c>
      <c r="BH35" s="60">
        <f t="shared" si="8"/>
        <v>344.53494766082611</v>
      </c>
      <c r="BI35" s="60">
        <f ca="1">AVERAGE(OFFSET($BH$3,0,0,'Données projet'!$E$11+1,1))-AVERAGE(OFFSET($H$3,0,0,'Données projet'!$E$11+1,1))</f>
        <v>221.18884567967481</v>
      </c>
      <c r="BJ35" s="60">
        <f t="shared" si="38"/>
        <v>189.31596996710888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1.9254166666666663</v>
      </c>
      <c r="BY35" s="13">
        <f>IF('Données projet'!$A$114&gt;35,BY34+BX35-CG34,IF(A35&lt;'Données projet'!$A$114,$BV$205^A35,IF(A35='Données projet'!$A$114,'Données projet'!$B$114,BY34+BX35-CG34)))</f>
        <v>47.263333333333364</v>
      </c>
      <c r="BZ35" s="14">
        <f>BY35*VLOOKUP('Données projet'!$B$12,Paramètres!$A$1:$I$89,3,0)*VLOOKUP('Données projet'!$B$12,Paramètres!$A$1:$I$89,5,0)</f>
        <v>54.447360000000032</v>
      </c>
      <c r="CA35" s="14">
        <f t="shared" si="39"/>
        <v>15.756552073943871</v>
      </c>
      <c r="CB35" s="22">
        <f t="shared" si="10"/>
        <v>122.27181352878561</v>
      </c>
      <c r="CC35" s="60">
        <f t="shared" si="11"/>
        <v>336.01668396585075</v>
      </c>
      <c r="CD35" s="60">
        <f ca="1">AVERAGE(OFFSET($CC$3,0,0,'Données projet'!$E$12+1,1))-AVERAGE(OFFSET($H$3,0,0,'Données projet'!$E$12+1,1))</f>
        <v>314.72063458462026</v>
      </c>
      <c r="CE35" s="60">
        <f t="shared" si="40"/>
        <v>216.4380325968244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68.889599999999987</v>
      </c>
      <c r="CV35" s="14">
        <f t="shared" si="41"/>
        <v>19.397450021635805</v>
      </c>
      <c r="CW35" s="22">
        <f t="shared" si="13"/>
        <v>153.76661212101567</v>
      </c>
      <c r="CX35" s="60">
        <f t="shared" si="14"/>
        <v>367.51148255808084</v>
      </c>
      <c r="CY35" s="60">
        <f ca="1">AVERAGE(OFFSET($CX$3,0,0,'Données projet'!$E$13+1,1))-AVERAGE(OFFSET($H$3,0,0,'Données projet'!$E$13+1,1))</f>
        <v>465.51503238626822</v>
      </c>
      <c r="CZ35" s="60">
        <f t="shared" si="42"/>
        <v>205.55320107663496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</v>
      </c>
      <c r="DO35" s="13">
        <f>IF('Données projet'!$A$166&gt;35,DO34+DN35-DW34,IF(A35&lt;'Données projet'!$A$166,$DL$205^A35,IF(A35='Données projet'!$A$166,'Données projet'!$B$166,DO34+DN35-DW34)))</f>
        <v>63.999999999999986</v>
      </c>
      <c r="DP35" s="18">
        <f>DO35*VLOOKUP('Données projet'!$B$14,Paramètres!$A$1:$I$89,3,0)*VLOOKUP('Données projet'!$B$14,Paramètres!$A$1:$I$89,5,0)</f>
        <v>54.911999999999992</v>
      </c>
      <c r="DQ35" s="14">
        <f t="shared" si="43"/>
        <v>15.875304254859749</v>
      </c>
      <c r="DR35" s="22">
        <f t="shared" si="16"/>
        <v>123.28788824388072</v>
      </c>
      <c r="DS35" s="60">
        <f t="shared" si="17"/>
        <v>337.03275868094585</v>
      </c>
      <c r="DT35" s="60">
        <f ca="1">AVERAGE(OFFSET($DS$3,0,0,'Données projet'!$E$14+1,1))-AVERAGE(OFFSET($H$3,0,0,'Données projet'!$E$14+1,1))</f>
        <v>393.79546872270964</v>
      </c>
      <c r="DU35" s="60">
        <f t="shared" si="44"/>
        <v>179.7333990060757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135.66666666666666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5.0453846153846156</v>
      </c>
      <c r="N36" s="14">
        <f>IF('Données projet'!$A$36&gt;35,N35+M36-V35,IF(A36&lt;'Données projet'!$A$36,$K$205^A36,IF(A36='Données projet'!$A$36,'Données projet'!$B$36,N35+M36-V35)))</f>
        <v>72.251538461538459</v>
      </c>
      <c r="O36" s="14">
        <f>N36*VLOOKUP('Données projet'!$B$9,Paramètres!$A$1:$I$89,3,0)*VLOOKUP('Données projet'!$B$9,Paramètres!$A$1:$I$89,5,0)</f>
        <v>33.813719999999996</v>
      </c>
      <c r="P36" s="14">
        <f t="shared" si="33"/>
        <v>10.343287521925109</v>
      </c>
      <c r="Q36" s="22">
        <f t="shared" si="53"/>
        <v>76.906788100686228</v>
      </c>
      <c r="R36" s="60">
        <f t="shared" si="0"/>
        <v>292.03234043585491</v>
      </c>
      <c r="S36" s="60">
        <f ca="1">AVERAGE(OFFSET($R$3,0,0,'Données projet'!$E$9+1,1))-AVERAGE(OFFSET($H$3,0,0,'Données projet'!$E$9+1,1))</f>
        <v>291.44524568678776</v>
      </c>
      <c r="T36" s="60">
        <f t="shared" si="34"/>
        <v>136.43373205899937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4.2199999999999989</v>
      </c>
      <c r="AI36" s="14">
        <f>IF('Données projet'!$A$62&gt;35,AI35+AH36-AQ35,IF(A36&lt;'Données projet'!$A$62,$AF$205^A36,IF(A36='Données projet'!$A$62,'Données projet'!$B$62,AI35+AH36-AQ35)))</f>
        <v>144.55999999999997</v>
      </c>
      <c r="AJ36" s="14">
        <f>AI36*VLOOKUP('Données projet'!$B$10,Paramètres!$A$1:$I$89,3,0)*VLOOKUP('Données projet'!$B$10,Paramètres!$A$1:$I$89,5,0)</f>
        <v>75.171199999999985</v>
      </c>
      <c r="AK36" s="14">
        <f t="shared" si="35"/>
        <v>20.952273543776592</v>
      </c>
      <c r="AL36" s="22">
        <f t="shared" si="4"/>
        <v>167.41504975541088</v>
      </c>
      <c r="AM36" s="60">
        <f t="shared" si="5"/>
        <v>382.54060209057957</v>
      </c>
      <c r="AN36" s="60">
        <f ca="1">AVERAGE(OFFSET($AM$3,0,0,'Données projet'!$E$10+1,1))-AVERAGE(OFFSET($H$3,0,0,'Données projet'!$E$10+1,1))</f>
        <v>300.72820267660154</v>
      </c>
      <c r="AO36" s="60">
        <f t="shared" si="36"/>
        <v>228.35388778608589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6.5333333333333341</v>
      </c>
      <c r="BD36" s="13">
        <f>IF('Données projet'!$A$88&gt;35,BD35+BC36-BL35,IF(A36&lt;'Données projet'!$A$88,$BA$205^A36,IF(A36='Données projet'!$A$88,'Données projet'!$B$88,BD35+BC36-BL35)))</f>
        <v>106.26923076923075</v>
      </c>
      <c r="BE36" s="14">
        <f>BD36*VLOOKUP('Données projet'!$B$11,Paramètres!$A$1:$I$89,3,0)*VLOOKUP('Données projet'!$B$11,Paramètres!$A$1:$I$89,5,0)</f>
        <v>62.167499999999983</v>
      </c>
      <c r="BF36" s="14">
        <f t="shared" si="37"/>
        <v>17.715144035839788</v>
      </c>
      <c r="BG36" s="22">
        <f t="shared" si="7"/>
        <v>139.12893836242094</v>
      </c>
      <c r="BH36" s="60">
        <f t="shared" si="8"/>
        <v>354.25449069758963</v>
      </c>
      <c r="BI36" s="60">
        <f ca="1">AVERAGE(OFFSET($BH$3,0,0,'Données projet'!$E$11+1,1))-AVERAGE(OFFSET($H$3,0,0,'Données projet'!$E$11+1,1))</f>
        <v>221.18884567967481</v>
      </c>
      <c r="BJ36" s="60">
        <f t="shared" si="38"/>
        <v>189.31596996710888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1.9254166666666663</v>
      </c>
      <c r="BY36" s="13">
        <f>IF('Données projet'!$A$114&gt;35,BY35+BX36-CG35,IF(A36&lt;'Données projet'!$A$114,$BV$205^A36,IF(A36='Données projet'!$A$114,'Données projet'!$B$114,BY35+BX36-CG35)))</f>
        <v>49.188750000000027</v>
      </c>
      <c r="BZ36" s="14">
        <f>BY36*VLOOKUP('Données projet'!$B$12,Paramètres!$A$1:$I$89,3,0)*VLOOKUP('Données projet'!$B$12,Paramètres!$A$1:$I$89,5,0)</f>
        <v>56.665440000000025</v>
      </c>
      <c r="CA36" s="14">
        <f t="shared" si="39"/>
        <v>16.322402540008241</v>
      </c>
      <c r="CB36" s="22">
        <f t="shared" si="10"/>
        <v>127.12049242384775</v>
      </c>
      <c r="CC36" s="60">
        <f t="shared" si="11"/>
        <v>342.2460447590164</v>
      </c>
      <c r="CD36" s="60">
        <f ca="1">AVERAGE(OFFSET($CC$3,0,0,'Données projet'!$E$12+1,1))-AVERAGE(OFFSET($H$3,0,0,'Données projet'!$E$12+1,1))</f>
        <v>314.72063458462026</v>
      </c>
      <c r="CE36" s="60">
        <f t="shared" si="40"/>
        <v>216.4380325968244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74.271599999999978</v>
      </c>
      <c r="CV36" s="14">
        <f t="shared" si="41"/>
        <v>20.730561869473863</v>
      </c>
      <c r="CW36" s="22">
        <f t="shared" si="13"/>
        <v>165.46209858933358</v>
      </c>
      <c r="CX36" s="60">
        <f t="shared" si="14"/>
        <v>380.58765092450221</v>
      </c>
      <c r="CY36" s="60">
        <f ca="1">AVERAGE(OFFSET($CX$3,0,0,'Données projet'!$E$13+1,1))-AVERAGE(OFFSET($H$3,0,0,'Données projet'!$E$13+1,1))</f>
        <v>465.51503238626822</v>
      </c>
      <c r="CZ36" s="60">
        <f t="shared" si="42"/>
        <v>205.55320107663496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</v>
      </c>
      <c r="DO36" s="13">
        <f>IF('Données projet'!$A$166&gt;35,DO35+DN36-DW35,IF(A36&lt;'Données projet'!$A$166,$DL$205^A36,IF(A36='Données projet'!$A$166,'Données projet'!$B$166,DO35+DN36-DW35)))</f>
        <v>68.999999999999986</v>
      </c>
      <c r="DP36" s="18">
        <f>DO36*VLOOKUP('Données projet'!$B$14,Paramètres!$A$1:$I$89,3,0)*VLOOKUP('Données projet'!$B$14,Paramètres!$A$1:$I$89,5,0)</f>
        <v>59.201999999999998</v>
      </c>
      <c r="DQ36" s="14">
        <f t="shared" si="43"/>
        <v>16.966352622896878</v>
      </c>
      <c r="DR36" s="22">
        <f t="shared" si="16"/>
        <v>132.65988081821206</v>
      </c>
      <c r="DS36" s="60">
        <f t="shared" si="17"/>
        <v>347.78543315338072</v>
      </c>
      <c r="DT36" s="60">
        <f ca="1">AVERAGE(OFFSET($DS$3,0,0,'Données projet'!$E$14+1,1))-AVERAGE(OFFSET($H$3,0,0,'Données projet'!$E$14+1,1))</f>
        <v>393.79546872270964</v>
      </c>
      <c r="DU36" s="60">
        <f t="shared" si="44"/>
        <v>179.7333990060757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135.66666666666666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5.0453846153846156</v>
      </c>
      <c r="N37" s="14">
        <f>IF('Données projet'!$A$36&gt;35,N36+M37-V36,IF(A37&lt;'Données projet'!$A$36,$K$205^A37,IF(A37='Données projet'!$A$36,'Données projet'!$B$36,N36+M37-V36)))</f>
        <v>77.296923076923079</v>
      </c>
      <c r="O37" s="14">
        <f>N37*VLOOKUP('Données projet'!$B$9,Paramètres!$A$1:$I$89,3,0)*VLOOKUP('Données projet'!$B$9,Paramètres!$A$1:$I$89,5,0)</f>
        <v>36.174959999999999</v>
      </c>
      <c r="P37" s="14">
        <f t="shared" si="33"/>
        <v>10.978965650221506</v>
      </c>
      <c r="Q37" s="22">
        <f t="shared" si="53"/>
        <v>82.126420507469106</v>
      </c>
      <c r="R37" s="60">
        <f t="shared" si="0"/>
        <v>298.60870299655153</v>
      </c>
      <c r="S37" s="60">
        <f ca="1">AVERAGE(OFFSET($R$3,0,0,'Données projet'!$E$9+1,1))-AVERAGE(OFFSET($H$3,0,0,'Données projet'!$E$9+1,1))</f>
        <v>291.44524568678776</v>
      </c>
      <c r="T37" s="60">
        <f t="shared" si="34"/>
        <v>136.43373205899937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4.2199999999999989</v>
      </c>
      <c r="AI37" s="14">
        <f>IF('Données projet'!$A$62&gt;35,AI36+AH37-AQ36,IF(A37&lt;'Données projet'!$A$62,$AF$205^A37,IF(A37='Données projet'!$A$62,'Données projet'!$B$62,AI36+AH37-AQ36)))</f>
        <v>148.77999999999997</v>
      </c>
      <c r="AJ37" s="14">
        <f>AI37*VLOOKUP('Données projet'!$B$10,Paramètres!$A$1:$I$89,3,0)*VLOOKUP('Données projet'!$B$10,Paramètres!$A$1:$I$89,5,0)</f>
        <v>77.365600000000001</v>
      </c>
      <c r="AK37" s="14">
        <f t="shared" si="35"/>
        <v>21.491809754983127</v>
      </c>
      <c r="AL37" s="22">
        <f t="shared" si="4"/>
        <v>172.17665532326225</v>
      </c>
      <c r="AM37" s="60">
        <f t="shared" si="5"/>
        <v>388.65893781234467</v>
      </c>
      <c r="AN37" s="60">
        <f ca="1">AVERAGE(OFFSET($AM$3,0,0,'Données projet'!$E$10+1,1))-AVERAGE(OFFSET($H$3,0,0,'Données projet'!$E$10+1,1))</f>
        <v>300.72820267660154</v>
      </c>
      <c r="AO37" s="60">
        <f t="shared" si="36"/>
        <v>228.35388778608589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6.5333333333333341</v>
      </c>
      <c r="BD37" s="13">
        <f>IF('Données projet'!$A$88&gt;35,BD36+BC37-BL36,IF(A37&lt;'Données projet'!$A$88,$BA$205^A37,IF(A37='Données projet'!$A$88,'Données projet'!$B$88,BD36+BC37-BL36)))</f>
        <v>112.80256410256408</v>
      </c>
      <c r="BE37" s="14">
        <f>BD37*VLOOKUP('Données projet'!$B$11,Paramètres!$A$1:$I$89,3,0)*VLOOKUP('Données projet'!$B$11,Paramètres!$A$1:$I$89,5,0)</f>
        <v>65.989499999999992</v>
      </c>
      <c r="BF37" s="14">
        <f t="shared" si="37"/>
        <v>18.674115108430158</v>
      </c>
      <c r="BG37" s="22">
        <f t="shared" si="7"/>
        <v>147.45579631384916</v>
      </c>
      <c r="BH37" s="60">
        <f t="shared" si="8"/>
        <v>363.93807880293156</v>
      </c>
      <c r="BI37" s="60">
        <f ca="1">AVERAGE(OFFSET($BH$3,0,0,'Données projet'!$E$11+1,1))-AVERAGE(OFFSET($H$3,0,0,'Données projet'!$E$11+1,1))</f>
        <v>221.18884567967481</v>
      </c>
      <c r="BJ37" s="60">
        <f t="shared" si="38"/>
        <v>189.31596996710888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1.9254166666666663</v>
      </c>
      <c r="BY37" s="13">
        <f>IF('Données projet'!$A$114&gt;35,BY36+BX37-CG36,IF(A37&lt;'Données projet'!$A$114,$BV$205^A37,IF(A37='Données projet'!$A$114,'Données projet'!$B$114,BY36+BX37-CG36)))</f>
        <v>51.114166666666691</v>
      </c>
      <c r="BZ37" s="14">
        <f>BY37*VLOOKUP('Données projet'!$B$12,Paramètres!$A$1:$I$89,3,0)*VLOOKUP('Données projet'!$B$12,Paramètres!$A$1:$I$89,5,0)</f>
        <v>58.883520000000026</v>
      </c>
      <c r="CA37" s="14">
        <f t="shared" si="39"/>
        <v>16.885679994502389</v>
      </c>
      <c r="CB37" s="22">
        <f t="shared" si="10"/>
        <v>131.96468999042506</v>
      </c>
      <c r="CC37" s="60">
        <f t="shared" si="11"/>
        <v>348.44697247950745</v>
      </c>
      <c r="CD37" s="60">
        <f ca="1">AVERAGE(OFFSET($CC$3,0,0,'Données projet'!$E$12+1,1))-AVERAGE(OFFSET($H$3,0,0,'Données projet'!$E$12+1,1))</f>
        <v>314.72063458462026</v>
      </c>
      <c r="CE37" s="60">
        <f t="shared" si="40"/>
        <v>216.4380325968244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79.653599999999983</v>
      </c>
      <c r="CV37" s="14">
        <f t="shared" si="41"/>
        <v>22.052466149308238</v>
      </c>
      <c r="CW37" s="22">
        <f t="shared" si="13"/>
        <v>177.13806521004514</v>
      </c>
      <c r="CX37" s="60">
        <f t="shared" si="14"/>
        <v>393.62034769912754</v>
      </c>
      <c r="CY37" s="60">
        <f ca="1">AVERAGE(OFFSET($CX$3,0,0,'Données projet'!$E$13+1,1))-AVERAGE(OFFSET($H$3,0,0,'Données projet'!$E$13+1,1))</f>
        <v>465.51503238626822</v>
      </c>
      <c r="CZ37" s="60">
        <f t="shared" si="42"/>
        <v>205.55320107663496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</v>
      </c>
      <c r="DO37" s="13">
        <f>IF('Données projet'!$A$166&gt;35,DO36+DN37-DW36,IF(A37&lt;'Données projet'!$A$166,$DL$205^A37,IF(A37='Données projet'!$A$166,'Données projet'!$B$166,DO36+DN37-DW36)))</f>
        <v>73.999999999999986</v>
      </c>
      <c r="DP37" s="18">
        <f>DO37*VLOOKUP('Données projet'!$B$14,Paramètres!$A$1:$I$89,3,0)*VLOOKUP('Données projet'!$B$14,Paramètres!$A$1:$I$89,5,0)</f>
        <v>63.491999999999997</v>
      </c>
      <c r="DQ37" s="14">
        <f t="shared" si="43"/>
        <v>18.048228468163369</v>
      </c>
      <c r="DR37" s="22">
        <f t="shared" si="16"/>
        <v>142.01589791538453</v>
      </c>
      <c r="DS37" s="60">
        <f t="shared" si="17"/>
        <v>358.49818040446689</v>
      </c>
      <c r="DT37" s="60">
        <f ca="1">AVERAGE(OFFSET($DS$3,0,0,'Données projet'!$E$14+1,1))-AVERAGE(OFFSET($H$3,0,0,'Données projet'!$E$14+1,1))</f>
        <v>393.79546872270964</v>
      </c>
      <c r="DU37" s="60">
        <f t="shared" si="44"/>
        <v>179.7333990060757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135.66666666666666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5.0453846153846156</v>
      </c>
      <c r="N38" s="14">
        <f>IF('Données projet'!$A$36&gt;35,N37+M38-V37,IF(A38&lt;'Données projet'!$A$36,$K$205^A38,IF(A38='Données projet'!$A$36,'Données projet'!$B$36,N37+M38-V37)))</f>
        <v>82.342307692307699</v>
      </c>
      <c r="O38" s="14">
        <f>N38*VLOOKUP('Données projet'!$B$9,Paramètres!$A$1:$I$89,3,0)*VLOOKUP('Données projet'!$B$9,Paramètres!$A$1:$I$89,5,0)</f>
        <v>38.536200000000001</v>
      </c>
      <c r="P38" s="14">
        <f t="shared" si="33"/>
        <v>11.609828747473435</v>
      </c>
      <c r="Q38" s="22">
        <f t="shared" si="53"/>
        <v>87.337666735182893</v>
      </c>
      <c r="R38" s="60">
        <f t="shared" si="0"/>
        <v>305.15314314320278</v>
      </c>
      <c r="S38" s="60">
        <f ca="1">AVERAGE(OFFSET($R$3,0,0,'Données projet'!$E$9+1,1))-AVERAGE(OFFSET($H$3,0,0,'Données projet'!$E$9+1,1))</f>
        <v>291.44524568678776</v>
      </c>
      <c r="T38" s="60">
        <f t="shared" si="34"/>
        <v>136.43373205899937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153</v>
      </c>
      <c r="AG38" s="13">
        <f>VLOOKUP(A38,'Données projet'!$A$61:$I$81,9,0)</f>
        <v>4.2199999999999989</v>
      </c>
      <c r="AH38" s="13">
        <f t="array" ref="AH38">INDEX(AG:AG,MIN(IF(ISNUMBER(AG38:AG234),ROW(AG38:AG234),"")))</f>
        <v>4.2199999999999989</v>
      </c>
      <c r="AI38" s="14">
        <f>IF('Données projet'!$A$62&gt;35,AI37+AH38-AQ37,IF(A38&lt;'Données projet'!$A$62,$AF$205^A38,IF(A38='Données projet'!$A$62,'Données projet'!$B$62,AI37+AH38-AQ37)))</f>
        <v>152.99999999999997</v>
      </c>
      <c r="AJ38" s="14">
        <f>AI38*VLOOKUP('Données projet'!$B$10,Paramètres!$A$1:$I$89,3,0)*VLOOKUP('Données projet'!$B$10,Paramètres!$A$1:$I$89,5,0)</f>
        <v>79.559999999999988</v>
      </c>
      <c r="AK38" s="14">
        <f t="shared" si="35"/>
        <v>22.029567333453311</v>
      </c>
      <c r="AL38" s="22">
        <f t="shared" si="4"/>
        <v>176.93516310576447</v>
      </c>
      <c r="AM38" s="60">
        <f t="shared" si="5"/>
        <v>394.75063951378439</v>
      </c>
      <c r="AN38" s="60">
        <f ca="1">AVERAGE(OFFSET($AM$3,0,0,'Données projet'!$E$10+1,1))-AVERAGE(OFFSET($H$3,0,0,'Données projet'!$E$10+1,1))</f>
        <v>300.72820267660154</v>
      </c>
      <c r="AO38" s="60">
        <f t="shared" si="36"/>
        <v>228.35388778608589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6.5333333333333341</v>
      </c>
      <c r="BD38" s="13">
        <f>IF('Données projet'!$A$88&gt;35,BD37+BC38-BL37,IF(A38&lt;'Données projet'!$A$88,$BA$205^A38,IF(A38='Données projet'!$A$88,'Données projet'!$B$88,BD37+BC38-BL37)))</f>
        <v>119.33589743589741</v>
      </c>
      <c r="BE38" s="14">
        <f>BD38*VLOOKUP('Données projet'!$B$11,Paramètres!$A$1:$I$89,3,0)*VLOOKUP('Données projet'!$B$11,Paramètres!$A$1:$I$89,5,0)</f>
        <v>69.811499999999995</v>
      </c>
      <c r="BF38" s="14">
        <f t="shared" si="37"/>
        <v>19.626639033990816</v>
      </c>
      <c r="BG38" s="22">
        <f t="shared" si="7"/>
        <v>155.77142548420065</v>
      </c>
      <c r="BH38" s="60">
        <f t="shared" si="8"/>
        <v>373.58690189222057</v>
      </c>
      <c r="BI38" s="60">
        <f ca="1">AVERAGE(OFFSET($BH$3,0,0,'Données projet'!$E$11+1,1))-AVERAGE(OFFSET($H$3,0,0,'Données projet'!$E$11+1,1))</f>
        <v>221.18884567967481</v>
      </c>
      <c r="BJ38" s="60">
        <f t="shared" si="38"/>
        <v>189.31596996710888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1.9254166666666663</v>
      </c>
      <c r="BY38" s="13">
        <f>IF('Données projet'!$A$114&gt;35,BY37+BX38-CG37,IF(A38&lt;'Données projet'!$A$114,$BV$205^A38,IF(A38='Données projet'!$A$114,'Données projet'!$B$114,BY37+BX38-CG37)))</f>
        <v>53.039583333333354</v>
      </c>
      <c r="BZ38" s="14">
        <f>BY38*VLOOKUP('Données projet'!$B$12,Paramètres!$A$1:$I$89,3,0)*VLOOKUP('Données projet'!$B$12,Paramètres!$A$1:$I$89,5,0)</f>
        <v>61.101600000000019</v>
      </c>
      <c r="CA38" s="14">
        <f t="shared" si="39"/>
        <v>17.446492456972504</v>
      </c>
      <c r="CB38" s="22">
        <f t="shared" si="10"/>
        <v>136.80459436256049</v>
      </c>
      <c r="CC38" s="60">
        <f t="shared" si="11"/>
        <v>354.62007077058041</v>
      </c>
      <c r="CD38" s="60">
        <f ca="1">AVERAGE(OFFSET($CC$3,0,0,'Données projet'!$E$12+1,1))-AVERAGE(OFFSET($H$3,0,0,'Données projet'!$E$12+1,1))</f>
        <v>314.72063458462026</v>
      </c>
      <c r="CE38" s="60">
        <f t="shared" si="40"/>
        <v>216.4380325968244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85.035599999999974</v>
      </c>
      <c r="CV38" s="14">
        <f t="shared" si="41"/>
        <v>23.364006286119412</v>
      </c>
      <c r="CW38" s="22">
        <f t="shared" si="13"/>
        <v>188.79598094832463</v>
      </c>
      <c r="CX38" s="60">
        <f t="shared" si="14"/>
        <v>406.61145735634454</v>
      </c>
      <c r="CY38" s="60">
        <f ca="1">AVERAGE(OFFSET($CX$3,0,0,'Données projet'!$E$13+1,1))-AVERAGE(OFFSET($H$3,0,0,'Données projet'!$E$13+1,1))</f>
        <v>465.51503238626822</v>
      </c>
      <c r="CZ38" s="60">
        <f t="shared" si="42"/>
        <v>205.55320107663496</v>
      </c>
      <c r="DA38" s="16">
        <f>IF(ISNA(VLOOKUP(A38,'Données projet'!$A$139:$I$159,3,0)),0,VLOOKUP(A38,'Données projet'!$A$139:$I$159,3,0))</f>
        <v>1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79</v>
      </c>
      <c r="DM38" s="13">
        <f>VLOOKUP(A38,'Données projet'!$A$165:$I$185,9,0)</f>
        <v>5</v>
      </c>
      <c r="DN38" s="13">
        <f t="array" ref="DN38">INDEX(DM:DM,MIN(IF(ISNUMBER(DM38:DM234),ROW(DM38:DM234),"")))</f>
        <v>5</v>
      </c>
      <c r="DO38" s="13">
        <f>IF('Données projet'!$A$166&gt;35,DO37+DN38-DW37,IF(A38&lt;'Données projet'!$A$166,$DL$205^A38,IF(A38='Données projet'!$A$166,'Données projet'!$B$166,DO37+DN38-DW37)))</f>
        <v>78.999999999999986</v>
      </c>
      <c r="DP38" s="18">
        <f>DO38*VLOOKUP('Données projet'!$B$14,Paramètres!$A$1:$I$89,3,0)*VLOOKUP('Données projet'!$B$14,Paramètres!$A$1:$I$89,5,0)</f>
        <v>67.781999999999996</v>
      </c>
      <c r="DQ38" s="14">
        <f t="shared" si="43"/>
        <v>19.121622068410542</v>
      </c>
      <c r="DR38" s="22">
        <f t="shared" si="16"/>
        <v>151.35714176914834</v>
      </c>
      <c r="DS38" s="60">
        <f t="shared" si="17"/>
        <v>369.17261817716826</v>
      </c>
      <c r="DT38" s="60">
        <f ca="1">AVERAGE(OFFSET($DS$3,0,0,'Données projet'!$E$14+1,1))-AVERAGE(OFFSET($H$3,0,0,'Données projet'!$E$14+1,1))</f>
        <v>393.79546872270964</v>
      </c>
      <c r="DU38" s="60">
        <f t="shared" si="44"/>
        <v>179.7333990060757</v>
      </c>
      <c r="DV38" s="16">
        <f>IF(ISNA(VLOOKUP(A38,'Données projet'!$A$165:$I$185,3,0)),0,VLOOKUP(A38,'Données projet'!$A$165:$I$185,3,0))</f>
        <v>1</v>
      </c>
      <c r="DW38" s="16">
        <f>IF(ISNA(VLOOKUP(A38,'Données projet'!$A$165:$I$185,4,0)),0,VLOOKUP(A38,'Données projet'!$A$165:$I$185,4,0))</f>
        <v>13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135.66666666666666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5.0453846153846156</v>
      </c>
      <c r="N39" s="14">
        <f>IF('Données projet'!$A$36&gt;35,N38+M39-V38,IF(A39&lt;'Données projet'!$A$36,$K$205^A39,IF(A39='Données projet'!$A$36,'Données projet'!$B$36,N38+M39-V38)))</f>
        <v>87.387692307692319</v>
      </c>
      <c r="O39" s="14">
        <f>N39*VLOOKUP('Données projet'!$B$9,Paramètres!$A$1:$I$89,3,0)*VLOOKUP('Données projet'!$B$9,Paramètres!$A$1:$I$89,5,0)</f>
        <v>40.897440000000003</v>
      </c>
      <c r="P39" s="14">
        <f t="shared" si="33"/>
        <v>12.236205440195681</v>
      </c>
      <c r="Q39" s="22">
        <f t="shared" si="53"/>
        <v>92.541099141674138</v>
      </c>
      <c r="R39" s="60">
        <f t="shared" si="0"/>
        <v>311.66664153471311</v>
      </c>
      <c r="S39" s="60">
        <f ca="1">AVERAGE(OFFSET($R$3,0,0,'Données projet'!$E$9+1,1))-AVERAGE(OFFSET($H$3,0,0,'Données projet'!$E$9+1,1))</f>
        <v>291.44524568678776</v>
      </c>
      <c r="T39" s="60">
        <f t="shared" si="34"/>
        <v>136.43373205899937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</v>
      </c>
      <c r="AI39" s="14">
        <f>IF('Données projet'!$A$62&gt;35,AI38+AH39-AQ38,IF(A39&lt;'Données projet'!$A$62,$AF$205^A39,IF(A39='Données projet'!$A$62,'Données projet'!$B$62,AI38+AH39-AQ38)))</f>
        <v>156.99999999999997</v>
      </c>
      <c r="AJ39" s="14">
        <f>AI39*VLOOKUP('Données projet'!$B$10,Paramètres!$A$1:$I$89,3,0)*VLOOKUP('Données projet'!$B$10,Paramètres!$A$1:$I$89,5,0)</f>
        <v>81.639999999999986</v>
      </c>
      <c r="AK39" s="14">
        <f t="shared" si="35"/>
        <v>22.537697845766751</v>
      </c>
      <c r="AL39" s="22">
        <f t="shared" si="4"/>
        <v>181.44282374804376</v>
      </c>
      <c r="AM39" s="60">
        <f t="shared" si="5"/>
        <v>400.56836614108272</v>
      </c>
      <c r="AN39" s="60">
        <f ca="1">AVERAGE(OFFSET($AM$3,0,0,'Données projet'!$E$10+1,1))-AVERAGE(OFFSET($H$3,0,0,'Données projet'!$E$10+1,1))</f>
        <v>300.72820267660154</v>
      </c>
      <c r="AO39" s="60">
        <f t="shared" si="36"/>
        <v>228.35388778608589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125.86923076923077</v>
      </c>
      <c r="BB39" s="13">
        <f>VLOOKUP(A39,'Données projet'!$A$87:$I$107,9,0)</f>
        <v>6.5333333333333341</v>
      </c>
      <c r="BC39" s="13">
        <f t="array" ref="BC39">INDEX(BB:BB,MIN(IF(ISNUMBER(BB39:BB235),ROW(BB39:BB235),"")))</f>
        <v>6.5333333333333341</v>
      </c>
      <c r="BD39" s="13">
        <f>IF('Données projet'!$A$88&gt;35,BD38+BC39-BL38,IF(A39&lt;'Données projet'!$A$88,$BA$205^A39,IF(A39='Données projet'!$A$88,'Données projet'!$B$88,BD38+BC39-BL38)))</f>
        <v>125.86923076923074</v>
      </c>
      <c r="BE39" s="14">
        <f>BD39*VLOOKUP('Données projet'!$B$11,Paramètres!$A$1:$I$89,3,0)*VLOOKUP('Données projet'!$B$11,Paramètres!$A$1:$I$89,5,0)</f>
        <v>73.633499999999984</v>
      </c>
      <c r="BF39" s="14">
        <f t="shared" si="37"/>
        <v>20.57310901272707</v>
      </c>
      <c r="BG39" s="22">
        <f t="shared" si="7"/>
        <v>164.07651069716627</v>
      </c>
      <c r="BH39" s="60">
        <f t="shared" si="8"/>
        <v>383.20205309020525</v>
      </c>
      <c r="BI39" s="60">
        <f ca="1">AVERAGE(OFFSET($BH$3,0,0,'Données projet'!$E$11+1,1))-AVERAGE(OFFSET($H$3,0,0,'Données projet'!$E$11+1,1))</f>
        <v>221.18884567967481</v>
      </c>
      <c r="BJ39" s="60">
        <f t="shared" si="38"/>
        <v>189.31596996710888</v>
      </c>
      <c r="BK39" s="16">
        <f>IF(ISNA(VLOOKUP(A39,'Données projet'!$A$87:$I$107,3,0)),0,VLOOKUP(A39,'Données projet'!$A$87:$I$107,3,0))</f>
        <v>1</v>
      </c>
      <c r="BL39" s="16">
        <f>IF(ISNA(VLOOKUP(A39,'Données projet'!$A$87:$I$107,4,0)),0,VLOOKUP(A39,'Données projet'!$A$87:$I$107,4,0))</f>
        <v>34.892307692307689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1.9254166666666663</v>
      </c>
      <c r="BY39" s="13">
        <f>IF('Données projet'!$A$114&gt;35,BY38+BX39-CG38,IF(A39&lt;'Données projet'!$A$114,$BV$205^A39,IF(A39='Données projet'!$A$114,'Données projet'!$B$114,BY38+BX39-CG38)))</f>
        <v>54.965000000000018</v>
      </c>
      <c r="BZ39" s="14">
        <f>BY39*VLOOKUP('Données projet'!$B$12,Paramètres!$A$1:$I$89,3,0)*VLOOKUP('Données projet'!$B$12,Paramètres!$A$1:$I$89,5,0)</f>
        <v>63.319680000000012</v>
      </c>
      <c r="CA39" s="14">
        <f t="shared" si="39"/>
        <v>18.004939659941751</v>
      </c>
      <c r="CB39" s="22">
        <f t="shared" si="10"/>
        <v>141.64037924106523</v>
      </c>
      <c r="CC39" s="60">
        <f t="shared" si="11"/>
        <v>360.76592163410419</v>
      </c>
      <c r="CD39" s="60">
        <f ca="1">AVERAGE(OFFSET($CC$3,0,0,'Données projet'!$E$12+1,1))-AVERAGE(OFFSET($H$3,0,0,'Données projet'!$E$12+1,1))</f>
        <v>314.72063458462026</v>
      </c>
      <c r="CE39" s="60">
        <f t="shared" si="40"/>
        <v>216.4380325968244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76.854959999999991</v>
      </c>
      <c r="CV39" s="14">
        <f t="shared" si="41"/>
        <v>21.366419773799993</v>
      </c>
      <c r="CW39" s="22">
        <f t="shared" si="13"/>
        <v>171.06890310603498</v>
      </c>
      <c r="CX39" s="60">
        <f t="shared" si="14"/>
        <v>390.19444549907394</v>
      </c>
      <c r="CY39" s="60">
        <f ca="1">AVERAGE(OFFSET($CX$3,0,0,'Données projet'!$E$13+1,1))-AVERAGE(OFFSET($H$3,0,0,'Données projet'!$E$13+1,1))</f>
        <v>465.51503238626822</v>
      </c>
      <c r="CZ39" s="60">
        <f t="shared" si="42"/>
        <v>205.55320107663496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5.4</v>
      </c>
      <c r="DO39" s="13">
        <f>IF('Données projet'!$A$166&gt;35,DO38+DN39-DW38,IF(A39&lt;'Données projet'!$A$166,$DL$205^A39,IF(A39='Données projet'!$A$166,'Données projet'!$B$166,DO38+DN39-DW38)))</f>
        <v>71.399999999999991</v>
      </c>
      <c r="DP39" s="18">
        <f>DO39*VLOOKUP('Données projet'!$B$14,Paramètres!$A$1:$I$89,3,0)*VLOOKUP('Données projet'!$B$14,Paramètres!$A$1:$I$89,5,0)</f>
        <v>61.261199999999995</v>
      </c>
      <c r="DQ39" s="14">
        <f t="shared" si="43"/>
        <v>17.486752865339852</v>
      </c>
      <c r="DR39" s="22">
        <f t="shared" si="16"/>
        <v>137.15268457380023</v>
      </c>
      <c r="DS39" s="60">
        <f t="shared" si="17"/>
        <v>356.27822696683916</v>
      </c>
      <c r="DT39" s="60">
        <f ca="1">AVERAGE(OFFSET($DS$3,0,0,'Données projet'!$E$14+1,1))-AVERAGE(OFFSET($H$3,0,0,'Données projet'!$E$14+1,1))</f>
        <v>393.79546872270964</v>
      </c>
      <c r="DU39" s="60">
        <f t="shared" si="44"/>
        <v>179.7333990060757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135.66666666666666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5.0453846153846156</v>
      </c>
      <c r="N40" s="14">
        <f>IF('Données projet'!$A$36&gt;35,N39+M40-V39,IF(A40&lt;'Données projet'!$A$36,$K$205^A40,IF(A40='Données projet'!$A$36,'Données projet'!$B$36,N39+M40-V39)))</f>
        <v>92.433076923076939</v>
      </c>
      <c r="O40" s="14">
        <f>N40*VLOOKUP('Données projet'!$B$9,Paramètres!$A$1:$I$89,3,0)*VLOOKUP('Données projet'!$B$9,Paramètres!$A$1:$I$89,5,0)</f>
        <v>43.258680000000005</v>
      </c>
      <c r="P40" s="14">
        <f t="shared" si="33"/>
        <v>12.858384264532724</v>
      </c>
      <c r="Q40" s="22">
        <f t="shared" si="53"/>
        <v>97.737220260727824</v>
      </c>
      <c r="R40" s="60">
        <f t="shared" si="0"/>
        <v>318.1501019228146</v>
      </c>
      <c r="S40" s="60">
        <f ca="1">AVERAGE(OFFSET($R$3,0,0,'Données projet'!$E$9+1,1))-AVERAGE(OFFSET($H$3,0,0,'Données projet'!$E$9+1,1))</f>
        <v>291.44524568678776</v>
      </c>
      <c r="T40" s="60">
        <f t="shared" si="34"/>
        <v>136.43373205899937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</v>
      </c>
      <c r="AI40" s="14">
        <f>IF('Données projet'!$A$62&gt;35,AI39+AH40-AQ39,IF(A40&lt;'Données projet'!$A$62,$AF$205^A40,IF(A40='Données projet'!$A$62,'Données projet'!$B$62,AI39+AH40-AQ39)))</f>
        <v>160.99999999999997</v>
      </c>
      <c r="AJ40" s="14">
        <f>AI40*VLOOKUP('Données projet'!$B$10,Paramètres!$A$1:$I$89,3,0)*VLOOKUP('Données projet'!$B$10,Paramètres!$A$1:$I$89,5,0)</f>
        <v>83.72</v>
      </c>
      <c r="AK40" s="14">
        <f t="shared" si="35"/>
        <v>23.044323503842598</v>
      </c>
      <c r="AL40" s="22">
        <f t="shared" si="4"/>
        <v>185.9478634358592</v>
      </c>
      <c r="AM40" s="60">
        <f t="shared" si="5"/>
        <v>406.36074509794594</v>
      </c>
      <c r="AN40" s="60">
        <f ca="1">AVERAGE(OFFSET($AM$3,0,0,'Données projet'!$E$10+1,1))-AVERAGE(OFFSET($H$3,0,0,'Données projet'!$E$10+1,1))</f>
        <v>300.72820267660154</v>
      </c>
      <c r="AO40" s="60">
        <f t="shared" si="36"/>
        <v>228.35388778608589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5.9557692307692314</v>
      </c>
      <c r="BD40" s="13">
        <f>IF('Données projet'!$A$88&gt;35,BD39+BC40-BL39,IF(A40&lt;'Données projet'!$A$88,$BA$205^A40,IF(A40='Données projet'!$A$88,'Données projet'!$B$88,BD39+BC40-BL39)))</f>
        <v>96.932692307692264</v>
      </c>
      <c r="BE40" s="14">
        <f>BD40*VLOOKUP('Données projet'!$B$11,Paramètres!$A$1:$I$89,3,0)*VLOOKUP('Données projet'!$B$11,Paramètres!$A$1:$I$89,5,0)</f>
        <v>56.705624999999984</v>
      </c>
      <c r="BF40" s="14">
        <f t="shared" si="37"/>
        <v>16.332629995030498</v>
      </c>
      <c r="BG40" s="22">
        <f t="shared" si="7"/>
        <v>127.20829411634475</v>
      </c>
      <c r="BH40" s="60">
        <f t="shared" si="8"/>
        <v>347.62117577843151</v>
      </c>
      <c r="BI40" s="60">
        <f ca="1">AVERAGE(OFFSET($BH$3,0,0,'Données projet'!$E$11+1,1))-AVERAGE(OFFSET($H$3,0,0,'Données projet'!$E$11+1,1))</f>
        <v>221.18884567967481</v>
      </c>
      <c r="BJ40" s="60">
        <f t="shared" si="38"/>
        <v>189.31596996710888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1.9254166666666663</v>
      </c>
      <c r="BY40" s="13">
        <f>IF('Données projet'!$A$114&gt;35,BY39+BX40-CG39,IF(A40&lt;'Données projet'!$A$114,$BV$205^A40,IF(A40='Données projet'!$A$114,'Données projet'!$B$114,BY39+BX40-CG39)))</f>
        <v>56.890416666666681</v>
      </c>
      <c r="BZ40" s="14">
        <f>BY40*VLOOKUP('Données projet'!$B$12,Paramètres!$A$1:$I$89,3,0)*VLOOKUP('Données projet'!$B$12,Paramètres!$A$1:$I$89,5,0)</f>
        <v>65.537760000000006</v>
      </c>
      <c r="CA40" s="14">
        <f t="shared" si="39"/>
        <v>18.561113952495973</v>
      </c>
      <c r="CB40" s="22">
        <f t="shared" si="10"/>
        <v>146.47220546726382</v>
      </c>
      <c r="CC40" s="60">
        <f t="shared" si="11"/>
        <v>366.88508712935061</v>
      </c>
      <c r="CD40" s="60">
        <f ca="1">AVERAGE(OFFSET($CC$3,0,0,'Données projet'!$E$12+1,1))-AVERAGE(OFFSET($H$3,0,0,'Données projet'!$E$12+1,1))</f>
        <v>314.72063458462026</v>
      </c>
      <c r="CE40" s="60">
        <f t="shared" si="40"/>
        <v>216.4380325968244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82.667519999999996</v>
      </c>
      <c r="CV40" s="14">
        <f t="shared" si="41"/>
        <v>22.788156353818806</v>
      </c>
      <c r="CW40" s="22">
        <f t="shared" si="13"/>
        <v>183.6686363162344</v>
      </c>
      <c r="CX40" s="60">
        <f t="shared" si="14"/>
        <v>404.08151797832113</v>
      </c>
      <c r="CY40" s="60">
        <f ca="1">AVERAGE(OFFSET($CX$3,0,0,'Données projet'!$E$13+1,1))-AVERAGE(OFFSET($H$3,0,0,'Données projet'!$E$13+1,1))</f>
        <v>465.51503238626822</v>
      </c>
      <c r="CZ40" s="60">
        <f t="shared" si="42"/>
        <v>205.55320107663496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5.4</v>
      </c>
      <c r="DO40" s="13">
        <f>IF('Données projet'!$A$166&gt;35,DO39+DN40-DW39,IF(A40&lt;'Données projet'!$A$166,$DL$205^A40,IF(A40='Données projet'!$A$166,'Données projet'!$B$166,DO39+DN40-DW39)))</f>
        <v>76.8</v>
      </c>
      <c r="DP40" s="18">
        <f>DO40*VLOOKUP('Données projet'!$B$14,Paramètres!$A$1:$I$89,3,0)*VLOOKUP('Données projet'!$B$14,Paramètres!$A$1:$I$89,5,0)</f>
        <v>65.894400000000005</v>
      </c>
      <c r="DQ40" s="14">
        <f t="shared" si="43"/>
        <v>18.650333684101465</v>
      </c>
      <c r="DR40" s="22">
        <f t="shared" si="16"/>
        <v>147.24874449981004</v>
      </c>
      <c r="DS40" s="60">
        <f t="shared" si="17"/>
        <v>367.66162616189683</v>
      </c>
      <c r="DT40" s="60">
        <f ca="1">AVERAGE(OFFSET($DS$3,0,0,'Données projet'!$E$14+1,1))-AVERAGE(OFFSET($H$3,0,0,'Données projet'!$E$14+1,1))</f>
        <v>393.79546872270964</v>
      </c>
      <c r="DU40" s="60">
        <f t="shared" si="44"/>
        <v>179.7333990060757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135.66666666666666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5.0453846153846156</v>
      </c>
      <c r="N41" s="14">
        <f>IF('Données projet'!$A$36&gt;35,N40+M41-V40,IF(A41&lt;'Données projet'!$A$36,$K$205^A41,IF(A41='Données projet'!$A$36,'Données projet'!$B$36,N40+M41-V40)))</f>
        <v>97.478461538461559</v>
      </c>
      <c r="O41" s="14">
        <f>N41*VLOOKUP('Données projet'!$B$9,Paramètres!$A$1:$I$89,3,0)*VLOOKUP('Données projet'!$B$9,Paramètres!$A$1:$I$89,5,0)</f>
        <v>45.619920000000015</v>
      </c>
      <c r="P41" s="14">
        <f t="shared" si="33"/>
        <v>13.476620478602955</v>
      </c>
      <c r="Q41" s="22">
        <f t="shared" si="53"/>
        <v>102.92647466690016</v>
      </c>
      <c r="R41" s="60">
        <f t="shared" si="0"/>
        <v>324.60436313977607</v>
      </c>
      <c r="S41" s="60">
        <f ca="1">AVERAGE(OFFSET($R$3,0,0,'Données projet'!$E$9+1,1))-AVERAGE(OFFSET($H$3,0,0,'Données projet'!$E$9+1,1))</f>
        <v>291.44524568678776</v>
      </c>
      <c r="T41" s="60">
        <f t="shared" si="34"/>
        <v>136.43373205899937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</v>
      </c>
      <c r="AI41" s="14">
        <f>IF('Données projet'!$A$62&gt;35,AI40+AH41-AQ40,IF(A41&lt;'Données projet'!$A$62,$AF$205^A41,IF(A41='Données projet'!$A$62,'Données projet'!$B$62,AI40+AH41-AQ40)))</f>
        <v>164.99999999999997</v>
      </c>
      <c r="AJ41" s="14">
        <f>AI41*VLOOKUP('Données projet'!$B$10,Paramètres!$A$1:$I$89,3,0)*VLOOKUP('Données projet'!$B$10,Paramètres!$A$1:$I$89,5,0)</f>
        <v>85.799999999999983</v>
      </c>
      <c r="AK41" s="14">
        <f t="shared" si="35"/>
        <v>23.549485995669766</v>
      </c>
      <c r="AL41" s="22">
        <f t="shared" si="4"/>
        <v>190.45035477579145</v>
      </c>
      <c r="AM41" s="60">
        <f t="shared" si="5"/>
        <v>412.12824324866739</v>
      </c>
      <c r="AN41" s="60">
        <f ca="1">AVERAGE(OFFSET($AM$3,0,0,'Données projet'!$E$10+1,1))-AVERAGE(OFFSET($H$3,0,0,'Données projet'!$E$10+1,1))</f>
        <v>300.72820267660154</v>
      </c>
      <c r="AO41" s="60">
        <f t="shared" si="36"/>
        <v>228.35388778608589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5.9557692307692314</v>
      </c>
      <c r="BD41" s="13">
        <f>IF('Données projet'!$A$88&gt;35,BD40+BC41-BL40,IF(A41&lt;'Données projet'!$A$88,$BA$205^A41,IF(A41='Données projet'!$A$88,'Données projet'!$B$88,BD40+BC41-BL40)))</f>
        <v>102.8884615384615</v>
      </c>
      <c r="BE41" s="14">
        <f>BD41*VLOOKUP('Données projet'!$B$11,Paramètres!$A$1:$I$89,3,0)*VLOOKUP('Données projet'!$B$11,Paramètres!$A$1:$I$89,5,0)</f>
        <v>60.189749999999975</v>
      </c>
      <c r="BF41" s="14">
        <f t="shared" si="37"/>
        <v>17.216234946163169</v>
      </c>
      <c r="BG41" s="22">
        <f t="shared" si="7"/>
        <v>134.81542378123416</v>
      </c>
      <c r="BH41" s="60">
        <f t="shared" si="8"/>
        <v>356.49331225411009</v>
      </c>
      <c r="BI41" s="60">
        <f ca="1">AVERAGE(OFFSET($BH$3,0,0,'Données projet'!$E$11+1,1))-AVERAGE(OFFSET($H$3,0,0,'Données projet'!$E$11+1,1))</f>
        <v>221.18884567967481</v>
      </c>
      <c r="BJ41" s="60">
        <f t="shared" si="38"/>
        <v>189.31596996710888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1.9254166666666663</v>
      </c>
      <c r="BY41" s="13">
        <f>IF('Données projet'!$A$114&gt;35,BY40+BX41-CG40,IF(A41&lt;'Données projet'!$A$114,$BV$205^A41,IF(A41='Données projet'!$A$114,'Données projet'!$B$114,BY40+BX41-CG40)))</f>
        <v>58.815833333333345</v>
      </c>
      <c r="BZ41" s="14">
        <f>BY41*VLOOKUP('Données projet'!$B$12,Paramètres!$A$1:$I$89,3,0)*VLOOKUP('Données projet'!$B$12,Paramètres!$A$1:$I$89,5,0)</f>
        <v>67.755840000000006</v>
      </c>
      <c r="CA41" s="14">
        <f t="shared" si="39"/>
        <v>19.115101078108083</v>
      </c>
      <c r="CB41" s="22">
        <f t="shared" si="10"/>
        <v>151.3002223777049</v>
      </c>
      <c r="CC41" s="60">
        <f t="shared" si="11"/>
        <v>372.97811085058083</v>
      </c>
      <c r="CD41" s="60">
        <f ca="1">AVERAGE(OFFSET($CC$3,0,0,'Données projet'!$E$12+1,1))-AVERAGE(OFFSET($H$3,0,0,'Données projet'!$E$12+1,1))</f>
        <v>314.72063458462026</v>
      </c>
      <c r="CE41" s="60">
        <f t="shared" si="40"/>
        <v>216.4380325968244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88.480080000000001</v>
      </c>
      <c r="CV41" s="14">
        <f t="shared" si="41"/>
        <v>24.1982943117189</v>
      </c>
      <c r="CW41" s="22">
        <f t="shared" si="13"/>
        <v>196.24816859291039</v>
      </c>
      <c r="CX41" s="60">
        <f t="shared" si="14"/>
        <v>417.92605706578632</v>
      </c>
      <c r="CY41" s="60">
        <f ca="1">AVERAGE(OFFSET($CX$3,0,0,'Données projet'!$E$13+1,1))-AVERAGE(OFFSET($H$3,0,0,'Données projet'!$E$13+1,1))</f>
        <v>465.51503238626822</v>
      </c>
      <c r="CZ41" s="60">
        <f t="shared" si="42"/>
        <v>205.55320107663496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5.4</v>
      </c>
      <c r="DO41" s="13">
        <f>IF('Données projet'!$A$166&gt;35,DO40+DN41-DW40,IF(A41&lt;'Données projet'!$A$166,$DL$205^A41,IF(A41='Données projet'!$A$166,'Données projet'!$B$166,DO40+DN41-DW40)))</f>
        <v>82.2</v>
      </c>
      <c r="DP41" s="18">
        <f>DO41*VLOOKUP('Données projet'!$B$14,Paramètres!$A$1:$I$89,3,0)*VLOOKUP('Données projet'!$B$14,Paramètres!$A$1:$I$89,5,0)</f>
        <v>70.527600000000021</v>
      </c>
      <c r="DQ41" s="14">
        <f t="shared" si="43"/>
        <v>19.804421932712561</v>
      </c>
      <c r="DR41" s="22">
        <f t="shared" si="16"/>
        <v>157.32827153280772</v>
      </c>
      <c r="DS41" s="60">
        <f t="shared" si="17"/>
        <v>379.00616000568368</v>
      </c>
      <c r="DT41" s="60">
        <f ca="1">AVERAGE(OFFSET($DS$3,0,0,'Données projet'!$E$14+1,1))-AVERAGE(OFFSET($H$3,0,0,'Données projet'!$E$14+1,1))</f>
        <v>393.79546872270964</v>
      </c>
      <c r="DU41" s="60">
        <f t="shared" si="44"/>
        <v>179.7333990060757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135.66666666666666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5.0453846153846156</v>
      </c>
      <c r="N42" s="14">
        <f>IF('Données projet'!$A$36&gt;35,N41+M42-V41,IF(A42&lt;'Données projet'!$A$36,$K$205^A42,IF(A42='Données projet'!$A$36,'Données projet'!$B$36,N41+M42-V41)))</f>
        <v>102.52384615384618</v>
      </c>
      <c r="O42" s="14">
        <f>N42*VLOOKUP('Données projet'!$B$9,Paramètres!$A$1:$I$89,3,0)*VLOOKUP('Données projet'!$B$9,Paramètres!$A$1:$I$89,5,0)</f>
        <v>47.981160000000017</v>
      </c>
      <c r="P42" s="14">
        <f t="shared" si="33"/>
        <v>14.091141424261529</v>
      </c>
      <c r="Q42" s="22">
        <f t="shared" si="53"/>
        <v>108.10925831392218</v>
      </c>
      <c r="R42" s="60">
        <f t="shared" si="0"/>
        <v>331.0302085575517</v>
      </c>
      <c r="S42" s="60">
        <f ca="1">AVERAGE(OFFSET($R$3,0,0,'Données projet'!$E$9+1,1))-AVERAGE(OFFSET($H$3,0,0,'Données projet'!$E$9+1,1))</f>
        <v>291.44524568678776</v>
      </c>
      <c r="T42" s="60">
        <f t="shared" si="34"/>
        <v>136.43373205899937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</v>
      </c>
      <c r="AI42" s="14">
        <f>IF('Données projet'!$A$62&gt;35,AI41+AH42-AQ41,IF(A42&lt;'Données projet'!$A$62,$AF$205^A42,IF(A42='Données projet'!$A$62,'Données projet'!$B$62,AI41+AH42-AQ41)))</f>
        <v>168.99999999999997</v>
      </c>
      <c r="AJ42" s="14">
        <f>AI42*VLOOKUP('Données projet'!$B$10,Paramètres!$A$1:$I$89,3,0)*VLOOKUP('Données projet'!$B$10,Paramètres!$A$1:$I$89,5,0)</f>
        <v>87.88</v>
      </c>
      <c r="AK42" s="14">
        <f t="shared" si="35"/>
        <v>24.053224872750018</v>
      </c>
      <c r="AL42" s="22">
        <f t="shared" si="4"/>
        <v>194.95036665337292</v>
      </c>
      <c r="AM42" s="60">
        <f t="shared" si="5"/>
        <v>417.87131689700243</v>
      </c>
      <c r="AN42" s="60">
        <f ca="1">AVERAGE(OFFSET($AM$3,0,0,'Données projet'!$E$10+1,1))-AVERAGE(OFFSET($H$3,0,0,'Données projet'!$E$10+1,1))</f>
        <v>300.72820267660154</v>
      </c>
      <c r="AO42" s="60">
        <f t="shared" si="36"/>
        <v>228.35388778608589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5.9557692307692314</v>
      </c>
      <c r="BD42" s="13">
        <f>IF('Données projet'!$A$88&gt;35,BD41+BC42-BL41,IF(A42&lt;'Données projet'!$A$88,$BA$205^A42,IF(A42='Données projet'!$A$88,'Données projet'!$B$88,BD41+BC42-BL41)))</f>
        <v>108.84423076923073</v>
      </c>
      <c r="BE42" s="14">
        <f>BD42*VLOOKUP('Données projet'!$B$11,Paramètres!$A$1:$I$89,3,0)*VLOOKUP('Données projet'!$B$11,Paramètres!$A$1:$I$89,5,0)</f>
        <v>63.673874999999981</v>
      </c>
      <c r="BF42" s="14">
        <f t="shared" si="37"/>
        <v>18.093902773742549</v>
      </c>
      <c r="BG42" s="22">
        <f t="shared" si="7"/>
        <v>142.41221295593488</v>
      </c>
      <c r="BH42" s="60">
        <f t="shared" si="8"/>
        <v>365.33316319956441</v>
      </c>
      <c r="BI42" s="60">
        <f ca="1">AVERAGE(OFFSET($BH$3,0,0,'Données projet'!$E$11+1,1))-AVERAGE(OFFSET($H$3,0,0,'Données projet'!$E$11+1,1))</f>
        <v>221.18884567967481</v>
      </c>
      <c r="BJ42" s="60">
        <f t="shared" si="38"/>
        <v>189.31596996710888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1.9254166666666663</v>
      </c>
      <c r="BY42" s="13">
        <f>IF('Données projet'!$A$114&gt;35,BY41+BX42-CG41,IF(A42&lt;'Données projet'!$A$114,$BV$205^A42,IF(A42='Données projet'!$A$114,'Données projet'!$B$114,BY41+BX42-CG41)))</f>
        <v>60.741250000000008</v>
      </c>
      <c r="BZ42" s="14">
        <f>BY42*VLOOKUP('Données projet'!$B$12,Paramètres!$A$1:$I$89,3,0)*VLOOKUP('Données projet'!$B$12,Paramètres!$A$1:$I$89,5,0)</f>
        <v>69.973920000000007</v>
      </c>
      <c r="CA42" s="14">
        <f t="shared" si="39"/>
        <v>19.666980847748825</v>
      </c>
      <c r="CB42" s="22">
        <f t="shared" si="10"/>
        <v>156.12456897649591</v>
      </c>
      <c r="CC42" s="60">
        <f t="shared" si="11"/>
        <v>379.04551922012541</v>
      </c>
      <c r="CD42" s="60">
        <f ca="1">AVERAGE(OFFSET($CC$3,0,0,'Données projet'!$E$12+1,1))-AVERAGE(OFFSET($H$3,0,0,'Données projet'!$E$12+1,1))</f>
        <v>314.72063458462026</v>
      </c>
      <c r="CE42" s="60">
        <f t="shared" si="40"/>
        <v>216.4380325968244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94.292640000000006</v>
      </c>
      <c r="CV42" s="14">
        <f t="shared" si="41"/>
        <v>25.597682308724192</v>
      </c>
      <c r="CW42" s="22">
        <f t="shared" si="13"/>
        <v>208.80897802102797</v>
      </c>
      <c r="CX42" s="60">
        <f t="shared" si="14"/>
        <v>431.72992826465747</v>
      </c>
      <c r="CY42" s="60">
        <f ca="1">AVERAGE(OFFSET($CX$3,0,0,'Données projet'!$E$13+1,1))-AVERAGE(OFFSET($H$3,0,0,'Données projet'!$E$13+1,1))</f>
        <v>465.51503238626822</v>
      </c>
      <c r="CZ42" s="60">
        <f t="shared" si="42"/>
        <v>205.55320107663496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5.4</v>
      </c>
      <c r="DO42" s="13">
        <f>IF('Données projet'!$A$166&gt;35,DO41+DN42-DW41,IF(A42&lt;'Données projet'!$A$166,$DL$205^A42,IF(A42='Données projet'!$A$166,'Données projet'!$B$166,DO41+DN42-DW41)))</f>
        <v>87.600000000000009</v>
      </c>
      <c r="DP42" s="18">
        <f>DO42*VLOOKUP('Données projet'!$B$14,Paramètres!$A$1:$I$89,3,0)*VLOOKUP('Données projet'!$B$14,Paramètres!$A$1:$I$89,5,0)</f>
        <v>75.160800000000009</v>
      </c>
      <c r="DQ42" s="14">
        <f t="shared" si="43"/>
        <v>20.949712174382363</v>
      </c>
      <c r="DR42" s="22">
        <f t="shared" si="16"/>
        <v>167.39247537038261</v>
      </c>
      <c r="DS42" s="60">
        <f t="shared" si="17"/>
        <v>390.31342561401209</v>
      </c>
      <c r="DT42" s="60">
        <f ca="1">AVERAGE(OFFSET($DS$3,0,0,'Données projet'!$E$14+1,1))-AVERAGE(OFFSET($H$3,0,0,'Données projet'!$E$14+1,1))</f>
        <v>393.79546872270964</v>
      </c>
      <c r="DU42" s="60">
        <f t="shared" si="44"/>
        <v>179.7333990060757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135.66666666666666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107.56923076923077</v>
      </c>
      <c r="L43" s="13">
        <f>VLOOKUP(A43,'Données projet'!$A$35:$I$55,9,0)</f>
        <v>5.0453846153846156</v>
      </c>
      <c r="M43" s="13">
        <f t="array" ref="M43">INDEX(L:L,MIN(IF(ISNUMBER(L43:L239),ROW(L43:L239),"")))</f>
        <v>5.0453846153846156</v>
      </c>
      <c r="N43" s="14">
        <f>IF('Données projet'!$A$36&gt;35,N42+M43-V42,IF(A43&lt;'Données projet'!$A$36,$K$205^A43,IF(A43='Données projet'!$A$36,'Données projet'!$B$36,N42+M43-V42)))</f>
        <v>107.5692307692308</v>
      </c>
      <c r="O43" s="14">
        <f>N43*VLOOKUP('Données projet'!$B$9,Paramètres!$A$1:$I$89,3,0)*VLOOKUP('Données projet'!$B$9,Paramètres!$A$1:$I$89,5,0)</f>
        <v>50.342400000000012</v>
      </c>
      <c r="P43" s="14">
        <f t="shared" si="33"/>
        <v>14.702150803452023</v>
      </c>
      <c r="Q43" s="22">
        <f t="shared" si="53"/>
        <v>113.28592598267896</v>
      </c>
      <c r="R43" s="60">
        <f t="shared" si="0"/>
        <v>337.42837365440926</v>
      </c>
      <c r="S43" s="60">
        <f ca="1">AVERAGE(OFFSET($R$3,0,0,'Données projet'!$E$9+1,1))-AVERAGE(OFFSET($H$3,0,0,'Données projet'!$E$9+1,1))</f>
        <v>291.44524568678776</v>
      </c>
      <c r="T43" s="60">
        <f t="shared" si="34"/>
        <v>136.43373205899937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173</v>
      </c>
      <c r="AG43" s="13">
        <f>VLOOKUP(A43,'Données projet'!$A$61:$I$81,9,0)</f>
        <v>4</v>
      </c>
      <c r="AH43" s="13">
        <f t="array" ref="AH43">INDEX(AG:AG,MIN(IF(ISNUMBER(AG43:AG239),ROW(AG43:AG239),"")))</f>
        <v>4</v>
      </c>
      <c r="AI43" s="14">
        <f>IF('Données projet'!$A$62&gt;35,AI42+AH43-AQ42,IF(A43&lt;'Données projet'!$A$62,$AF$205^A43,IF(A43='Données projet'!$A$62,'Données projet'!$B$62,AI42+AH43-AQ42)))</f>
        <v>172.99999999999997</v>
      </c>
      <c r="AJ43" s="14">
        <f>AI43*VLOOKUP('Données projet'!$B$10,Paramètres!$A$1:$I$89,3,0)*VLOOKUP('Données projet'!$B$10,Paramètres!$A$1:$I$89,5,0)</f>
        <v>89.96</v>
      </c>
      <c r="AK43" s="14">
        <f t="shared" si="35"/>
        <v>24.555577707529412</v>
      </c>
      <c r="AL43" s="22">
        <f t="shared" si="4"/>
        <v>199.44796450728037</v>
      </c>
      <c r="AM43" s="60">
        <f t="shared" si="5"/>
        <v>423.59041217901068</v>
      </c>
      <c r="AN43" s="60">
        <f ca="1">AVERAGE(OFFSET($AM$3,0,0,'Données projet'!$E$10+1,1))-AVERAGE(OFFSET($H$3,0,0,'Données projet'!$E$10+1,1))</f>
        <v>300.72820267660154</v>
      </c>
      <c r="AO43" s="60">
        <f t="shared" si="36"/>
        <v>228.35388778608589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5.9557692307692314</v>
      </c>
      <c r="BD43" s="13">
        <f>IF('Données projet'!$A$88&gt;35,BD42+BC43-BL42,IF(A43&lt;'Données projet'!$A$88,$BA$205^A43,IF(A43='Données projet'!$A$88,'Données projet'!$B$88,BD42+BC43-BL42)))</f>
        <v>114.79999999999997</v>
      </c>
      <c r="BE43" s="14">
        <f>BD43*VLOOKUP('Données projet'!$B$11,Paramètres!$A$1:$I$89,3,0)*VLOOKUP('Données projet'!$B$11,Paramètres!$A$1:$I$89,5,0)</f>
        <v>67.157999999999987</v>
      </c>
      <c r="BF43" s="14">
        <f t="shared" si="37"/>
        <v>18.965995379979955</v>
      </c>
      <c r="BG43" s="22">
        <f t="shared" si="7"/>
        <v>149.99929195346505</v>
      </c>
      <c r="BH43" s="60">
        <f t="shared" si="8"/>
        <v>374.14173962519533</v>
      </c>
      <c r="BI43" s="60">
        <f ca="1">AVERAGE(OFFSET($BH$3,0,0,'Données projet'!$E$11+1,1))-AVERAGE(OFFSET($H$3,0,0,'Données projet'!$E$11+1,1))</f>
        <v>221.18884567967481</v>
      </c>
      <c r="BJ43" s="60">
        <f t="shared" si="38"/>
        <v>189.31596996710888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62.666666666666671</v>
      </c>
      <c r="BW43" s="13">
        <f>VLOOKUP(A43,'Données projet'!$A$113:$I$133,9,0)</f>
        <v>1.9254166666666663</v>
      </c>
      <c r="BX43" s="13">
        <f t="array" ref="BX43">INDEX(BW:BW,MIN(IF(ISNUMBER(BW43:BW239),ROW(BW43:BW239),"")))</f>
        <v>1.9254166666666663</v>
      </c>
      <c r="BY43" s="13">
        <f>IF('Données projet'!$A$114&gt;35,BY42+BX43-CG42,IF(A43&lt;'Données projet'!$A$114,$BV$205^A43,IF(A43='Données projet'!$A$114,'Données projet'!$B$114,BY42+BX43-CG42)))</f>
        <v>62.666666666666671</v>
      </c>
      <c r="BZ43" s="14">
        <f>BY43*VLOOKUP('Données projet'!$B$12,Paramètres!$A$1:$I$89,3,0)*VLOOKUP('Données projet'!$B$12,Paramètres!$A$1:$I$89,5,0)</f>
        <v>72.192000000000007</v>
      </c>
      <c r="CA43" s="14">
        <f t="shared" si="39"/>
        <v>20.216827725253115</v>
      </c>
      <c r="CB43" s="22">
        <f t="shared" si="10"/>
        <v>160.94537495481583</v>
      </c>
      <c r="CC43" s="60">
        <f t="shared" si="11"/>
        <v>385.08782262654614</v>
      </c>
      <c r="CD43" s="60">
        <f ca="1">AVERAGE(OFFSET($CC$3,0,0,'Données projet'!$E$12+1,1))-AVERAGE(OFFSET($H$3,0,0,'Données projet'!$E$12+1,1))</f>
        <v>314.72063458462026</v>
      </c>
      <c r="CE43" s="60">
        <f t="shared" si="40"/>
        <v>216.4380325968244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7.0000000000000009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100.10520000000001</v>
      </c>
      <c r="CV43" s="14">
        <f t="shared" si="41"/>
        <v>26.987058463795307</v>
      </c>
      <c r="CW43" s="22">
        <f t="shared" si="13"/>
        <v>221.35235015777684</v>
      </c>
      <c r="CX43" s="60">
        <f t="shared" si="14"/>
        <v>445.49479782950715</v>
      </c>
      <c r="CY43" s="60">
        <f ca="1">AVERAGE(OFFSET($CX$3,0,0,'Données projet'!$E$13+1,1))-AVERAGE(OFFSET($H$3,0,0,'Données projet'!$E$13+1,1))</f>
        <v>465.51503238626822</v>
      </c>
      <c r="CZ43" s="60">
        <f t="shared" si="42"/>
        <v>205.55320107663496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93</v>
      </c>
      <c r="DM43" s="13">
        <f>VLOOKUP(A43,'Données projet'!$A$165:$I$185,9,0)</f>
        <v>5.4</v>
      </c>
      <c r="DN43" s="13">
        <f t="array" ref="DN43">INDEX(DM:DM,MIN(IF(ISNUMBER(DM43:DM239),ROW(DM43:DM239),"")))</f>
        <v>5.4</v>
      </c>
      <c r="DO43" s="13">
        <f>IF('Données projet'!$A$166&gt;35,DO42+DN43-DW42,IF(A43&lt;'Données projet'!$A$166,$DL$205^A43,IF(A43='Données projet'!$A$166,'Données projet'!$B$166,DO42+DN43-DW42)))</f>
        <v>93.000000000000014</v>
      </c>
      <c r="DP43" s="18">
        <f>DO43*VLOOKUP('Données projet'!$B$14,Paramètres!$A$1:$I$89,3,0)*VLOOKUP('Données projet'!$B$14,Paramètres!$A$1:$I$89,5,0)</f>
        <v>79.794000000000025</v>
      </c>
      <c r="DQ43" s="14">
        <f t="shared" si="43"/>
        <v>22.086808502074899</v>
      </c>
      <c r="DR43" s="22">
        <f t="shared" si="16"/>
        <v>177.44240814111382</v>
      </c>
      <c r="DS43" s="60">
        <f t="shared" si="17"/>
        <v>401.58485581284413</v>
      </c>
      <c r="DT43" s="60">
        <f ca="1">AVERAGE(OFFSET($DS$3,0,0,'Données projet'!$E$14+1,1))-AVERAGE(OFFSET($H$3,0,0,'Données projet'!$E$14+1,1))</f>
        <v>393.79546872270964</v>
      </c>
      <c r="DU43" s="60">
        <f t="shared" si="44"/>
        <v>179.7333990060757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135.66666666666666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5.9392307692307682</v>
      </c>
      <c r="N44" s="14">
        <f>IF('Données projet'!$A$36&gt;35,N43+M44-V43,IF(A44&lt;'Données projet'!$A$36,$K$205^A44,IF(A44='Données projet'!$A$36,'Données projet'!$B$36,N43+M44-V43)))</f>
        <v>113.50846153846157</v>
      </c>
      <c r="O44" s="14">
        <f>N44*VLOOKUP('Données projet'!$B$9,Paramètres!$A$1:$I$89,3,0)*VLOOKUP('Données projet'!$B$9,Paramètres!$A$1:$I$89,5,0)</f>
        <v>53.121960000000016</v>
      </c>
      <c r="P44" s="14">
        <f t="shared" si="33"/>
        <v>15.417155444193579</v>
      </c>
      <c r="Q44" s="22">
        <f t="shared" si="53"/>
        <v>119.37229273197052</v>
      </c>
      <c r="R44" s="60">
        <f t="shared" si="0"/>
        <v>344.71504758228315</v>
      </c>
      <c r="S44" s="60">
        <f ca="1">AVERAGE(OFFSET($R$3,0,0,'Données projet'!$E$9+1,1))-AVERAGE(OFFSET($H$3,0,0,'Données projet'!$E$9+1,1))</f>
        <v>291.44524568678776</v>
      </c>
      <c r="T44" s="60">
        <f t="shared" si="34"/>
        <v>136.43373205899937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3.7399999999999975</v>
      </c>
      <c r="AI44" s="14">
        <f>IF('Données projet'!$A$62&gt;35,AI43+AH44-AQ43,IF(A44&lt;'Données projet'!$A$62,$AF$205^A44,IF(A44='Données projet'!$A$62,'Données projet'!$B$62,AI43+AH44-AQ43)))</f>
        <v>176.73999999999998</v>
      </c>
      <c r="AJ44" s="14">
        <f>AI44*VLOOKUP('Données projet'!$B$10,Paramètres!$A$1:$I$89,3,0)*VLOOKUP('Données projet'!$B$10,Paramètres!$A$1:$I$89,5,0)</f>
        <v>91.904799999999994</v>
      </c>
      <c r="AK44" s="14">
        <f t="shared" si="35"/>
        <v>25.024055428460866</v>
      </c>
      <c r="AL44" s="22">
        <f t="shared" si="4"/>
        <v>203.651089871236</v>
      </c>
      <c r="AM44" s="60">
        <f t="shared" si="5"/>
        <v>428.99384472154861</v>
      </c>
      <c r="AN44" s="60">
        <f ca="1">AVERAGE(OFFSET($AM$3,0,0,'Données projet'!$E$10+1,1))-AVERAGE(OFFSET($H$3,0,0,'Données projet'!$E$10+1,1))</f>
        <v>300.72820267660154</v>
      </c>
      <c r="AO44" s="60">
        <f t="shared" si="36"/>
        <v>228.35388778608589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5.9557692307692314</v>
      </c>
      <c r="BD44" s="13">
        <f>IF('Données projet'!$A$88&gt;35,BD43+BC44-BL43,IF(A44&lt;'Données projet'!$A$88,$BA$205^A44,IF(A44='Données projet'!$A$88,'Données projet'!$B$88,BD43+BC44-BL43)))</f>
        <v>120.7557692307692</v>
      </c>
      <c r="BE44" s="14">
        <f>BD44*VLOOKUP('Données projet'!$B$11,Paramètres!$A$1:$I$89,3,0)*VLOOKUP('Données projet'!$B$11,Paramètres!$A$1:$I$89,5,0)</f>
        <v>70.642124999999979</v>
      </c>
      <c r="BF44" s="14">
        <f t="shared" si="37"/>
        <v>19.832834995536956</v>
      </c>
      <c r="BG44" s="22">
        <f t="shared" si="7"/>
        <v>157.57722199222684</v>
      </c>
      <c r="BH44" s="60">
        <f t="shared" si="8"/>
        <v>382.91997684253948</v>
      </c>
      <c r="BI44" s="60">
        <f ca="1">AVERAGE(OFFSET($BH$3,0,0,'Données projet'!$E$11+1,1))-AVERAGE(OFFSET($H$3,0,0,'Données projet'!$E$11+1,1))</f>
        <v>221.18884567967481</v>
      </c>
      <c r="BJ44" s="60">
        <f t="shared" si="38"/>
        <v>189.31596996710888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1.8720833333333331</v>
      </c>
      <c r="BY44" s="13">
        <f>IF('Données projet'!$A$114&gt;35,BY43+BX44-CG43,IF(A44&lt;'Données projet'!$A$114,$BV$205^A44,IF(A44='Données projet'!$A$114,'Données projet'!$B$114,BY43+BX44-CG43)))</f>
        <v>57.538750000000007</v>
      </c>
      <c r="BZ44" s="14">
        <f>BY44*VLOOKUP('Données projet'!$B$12,Paramètres!$A$1:$I$89,3,0)*VLOOKUP('Données projet'!$B$12,Paramètres!$A$1:$I$89,5,0)</f>
        <v>66.28464000000001</v>
      </c>
      <c r="CA44" s="14">
        <f t="shared" si="39"/>
        <v>18.747894674998243</v>
      </c>
      <c r="CB44" s="22">
        <f t="shared" si="10"/>
        <v>148.09833122562196</v>
      </c>
      <c r="CC44" s="60">
        <f t="shared" si="11"/>
        <v>373.44108607593461</v>
      </c>
      <c r="CD44" s="60">
        <f ca="1">AVERAGE(OFFSET($CC$3,0,0,'Données projet'!$E$12+1,1))-AVERAGE(OFFSET($H$3,0,0,'Données projet'!$E$12+1,1))</f>
        <v>314.72063458462026</v>
      </c>
      <c r="CE44" s="60">
        <f t="shared" si="40"/>
        <v>216.4380325968244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98.600000000000009</v>
      </c>
      <c r="CU44" s="18">
        <f>CT44*VLOOKUP('Données projet'!$B$13,Paramètres!$A$1:$I$89,3,0)*VLOOKUP('Données projet'!$B$13,Paramètres!$A$1:$I$89,5,0)</f>
        <v>106.13304000000001</v>
      </c>
      <c r="CV44" s="14">
        <f t="shared" si="41"/>
        <v>28.418009728368016</v>
      </c>
      <c r="CW44" s="22">
        <f t="shared" si="13"/>
        <v>234.34307827690762</v>
      </c>
      <c r="CX44" s="60">
        <f t="shared" si="14"/>
        <v>459.68583312722023</v>
      </c>
      <c r="CY44" s="60">
        <f ca="1">AVERAGE(OFFSET($CX$3,0,0,'Données projet'!$E$13+1,1))-AVERAGE(OFFSET($H$3,0,0,'Données projet'!$E$13+1,1))</f>
        <v>465.51503238626822</v>
      </c>
      <c r="CZ44" s="60">
        <f t="shared" si="42"/>
        <v>205.55320107663496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5.6</v>
      </c>
      <c r="DO44" s="13">
        <f>IF('Données projet'!$A$166&gt;35,DO43+DN44-DW43,IF(A44&lt;'Données projet'!$A$166,$DL$205^A44,IF(A44='Données projet'!$A$166,'Données projet'!$B$166,DO43+DN44-DW43)))</f>
        <v>98.600000000000009</v>
      </c>
      <c r="DP44" s="18">
        <f>DO44*VLOOKUP('Données projet'!$B$14,Paramètres!$A$1:$I$89,3,0)*VLOOKUP('Données projet'!$B$14,Paramètres!$A$1:$I$89,5,0)</f>
        <v>84.598800000000026</v>
      </c>
      <c r="DQ44" s="14">
        <f t="shared" si="43"/>
        <v>23.257930823494966</v>
      </c>
      <c r="DR44" s="22">
        <f t="shared" si="16"/>
        <v>187.8504728509204</v>
      </c>
      <c r="DS44" s="60">
        <f t="shared" si="17"/>
        <v>413.19322770123301</v>
      </c>
      <c r="DT44" s="60">
        <f ca="1">AVERAGE(OFFSET($DS$3,0,0,'Données projet'!$E$14+1,1))-AVERAGE(OFFSET($H$3,0,0,'Données projet'!$E$14+1,1))</f>
        <v>393.79546872270964</v>
      </c>
      <c r="DU44" s="60">
        <f t="shared" si="44"/>
        <v>179.7333990060757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135.66666666666666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5.9392307692307682</v>
      </c>
      <c r="N45" s="14">
        <f>IF('Données projet'!$A$36&gt;35,N44+M45-V44,IF(A45&lt;'Données projet'!$A$36,$K$205^A45,IF(A45='Données projet'!$A$36,'Données projet'!$B$36,N44+M45-V44)))</f>
        <v>119.44769230769234</v>
      </c>
      <c r="O45" s="14">
        <f>N45*VLOOKUP('Données projet'!$B$9,Paramètres!$A$1:$I$89,3,0)*VLOOKUP('Données projet'!$B$9,Paramètres!$A$1:$I$89,5,0)</f>
        <v>55.901520000000005</v>
      </c>
      <c r="P45" s="14">
        <f t="shared" si="33"/>
        <v>16.127816471297937</v>
      </c>
      <c r="Q45" s="22">
        <f t="shared" si="53"/>
        <v>125.45109435417721</v>
      </c>
      <c r="R45" s="60">
        <f t="shared" si="0"/>
        <v>351.97333373700866</v>
      </c>
      <c r="S45" s="60">
        <f ca="1">AVERAGE(OFFSET($R$3,0,0,'Données projet'!$E$9+1,1))-AVERAGE(OFFSET($H$3,0,0,'Données projet'!$E$9+1,1))</f>
        <v>291.44524568678776</v>
      </c>
      <c r="T45" s="60">
        <f t="shared" si="34"/>
        <v>136.43373205899937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3.7399999999999975</v>
      </c>
      <c r="AI45" s="14">
        <f>IF('Données projet'!$A$62&gt;35,AI44+AH45-AQ44,IF(A45&lt;'Données projet'!$A$62,$AF$205^A45,IF(A45='Données projet'!$A$62,'Données projet'!$B$62,AI44+AH45-AQ44)))</f>
        <v>180.48</v>
      </c>
      <c r="AJ45" s="14">
        <f>AI45*VLOOKUP('Données projet'!$B$10,Paramètres!$A$1:$I$89,3,0)*VLOOKUP('Données projet'!$B$10,Paramètres!$A$1:$I$89,5,0)</f>
        <v>93.849599999999995</v>
      </c>
      <c r="AK45" s="14">
        <f t="shared" si="35"/>
        <v>25.491380550546467</v>
      </c>
      <c r="AL45" s="22">
        <f t="shared" si="4"/>
        <v>207.85220779220174</v>
      </c>
      <c r="AM45" s="60">
        <f t="shared" si="5"/>
        <v>434.3744471750332</v>
      </c>
      <c r="AN45" s="60">
        <f ca="1">AVERAGE(OFFSET($AM$3,0,0,'Données projet'!$E$10+1,1))-AVERAGE(OFFSET($H$3,0,0,'Données projet'!$E$10+1,1))</f>
        <v>300.72820267660154</v>
      </c>
      <c r="AO45" s="60">
        <f t="shared" si="36"/>
        <v>228.35388778608589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5.9557692307692314</v>
      </c>
      <c r="BD45" s="13">
        <f>IF('Données projet'!$A$88&gt;35,BD44+BC45-BL44,IF(A45&lt;'Données projet'!$A$88,$BA$205^A45,IF(A45='Données projet'!$A$88,'Données projet'!$B$88,BD44+BC45-BL44)))</f>
        <v>126.71153846153844</v>
      </c>
      <c r="BE45" s="14">
        <f>BD45*VLOOKUP('Données projet'!$B$11,Paramètres!$A$1:$I$89,3,0)*VLOOKUP('Données projet'!$B$11,Paramètres!$A$1:$I$89,5,0)</f>
        <v>74.126249999999985</v>
      </c>
      <c r="BF45" s="14">
        <f t="shared" si="37"/>
        <v>20.694710270075731</v>
      </c>
      <c r="BG45" s="22">
        <f t="shared" si="7"/>
        <v>165.1465058037152</v>
      </c>
      <c r="BH45" s="60">
        <f t="shared" si="8"/>
        <v>391.66874518654663</v>
      </c>
      <c r="BI45" s="60">
        <f ca="1">AVERAGE(OFFSET($BH$3,0,0,'Données projet'!$E$11+1,1))-AVERAGE(OFFSET($H$3,0,0,'Données projet'!$E$11+1,1))</f>
        <v>221.18884567967481</v>
      </c>
      <c r="BJ45" s="60">
        <f t="shared" si="38"/>
        <v>189.31596996710888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1.8720833333333331</v>
      </c>
      <c r="BY45" s="13">
        <f>IF('Données projet'!$A$114&gt;35,BY44+BX45-CG44,IF(A45&lt;'Données projet'!$A$114,$BV$205^A45,IF(A45='Données projet'!$A$114,'Données projet'!$B$114,BY44+BX45-CG44)))</f>
        <v>59.410833333333343</v>
      </c>
      <c r="BZ45" s="14">
        <f>BY45*VLOOKUP('Données projet'!$B$12,Paramètres!$A$1:$I$89,3,0)*VLOOKUP('Données projet'!$B$12,Paramètres!$A$1:$I$89,5,0)</f>
        <v>68.441280000000006</v>
      </c>
      <c r="CA45" s="14">
        <f t="shared" si="39"/>
        <v>19.285866604126806</v>
      </c>
      <c r="CB45" s="22">
        <f t="shared" si="10"/>
        <v>152.79144700218751</v>
      </c>
      <c r="CC45" s="60">
        <f t="shared" si="11"/>
        <v>379.31368638501897</v>
      </c>
      <c r="CD45" s="60">
        <f ca="1">AVERAGE(OFFSET($CC$3,0,0,'Données projet'!$E$12+1,1))-AVERAGE(OFFSET($H$3,0,0,'Données projet'!$E$12+1,1))</f>
        <v>314.72063458462026</v>
      </c>
      <c r="CE45" s="60">
        <f t="shared" si="40"/>
        <v>216.4380325968244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104.2</v>
      </c>
      <c r="CU45" s="18">
        <f>CT45*VLOOKUP('Données projet'!$B$13,Paramètres!$A$1:$I$89,3,0)*VLOOKUP('Données projet'!$B$13,Paramètres!$A$1:$I$89,5,0)</f>
        <v>112.16087999999999</v>
      </c>
      <c r="CV45" s="14">
        <f t="shared" si="41"/>
        <v>29.839526888181876</v>
      </c>
      <c r="CW45" s="22">
        <f t="shared" si="13"/>
        <v>247.31737533025003</v>
      </c>
      <c r="CX45" s="60">
        <f t="shared" si="14"/>
        <v>473.83961471308146</v>
      </c>
      <c r="CY45" s="60">
        <f ca="1">AVERAGE(OFFSET($CX$3,0,0,'Données projet'!$E$13+1,1))-AVERAGE(OFFSET($H$3,0,0,'Données projet'!$E$13+1,1))</f>
        <v>465.51503238626822</v>
      </c>
      <c r="CZ45" s="60">
        <f t="shared" si="42"/>
        <v>205.55320107663496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5.6</v>
      </c>
      <c r="DO45" s="13">
        <f>IF('Données projet'!$A$166&gt;35,DO44+DN45-DW44,IF(A45&lt;'Données projet'!$A$166,$DL$205^A45,IF(A45='Données projet'!$A$166,'Données projet'!$B$166,DO44+DN45-DW44)))</f>
        <v>104.2</v>
      </c>
      <c r="DP45" s="18">
        <f>DO45*VLOOKUP('Données projet'!$B$14,Paramètres!$A$1:$I$89,3,0)*VLOOKUP('Données projet'!$B$14,Paramètres!$A$1:$I$89,5,0)</f>
        <v>89.403600000000012</v>
      </c>
      <c r="DQ45" s="14">
        <f t="shared" si="43"/>
        <v>24.421332063883675</v>
      </c>
      <c r="DR45" s="22">
        <f t="shared" si="16"/>
        <v>198.2450900112641</v>
      </c>
      <c r="DS45" s="60">
        <f t="shared" si="17"/>
        <v>424.76732939409555</v>
      </c>
      <c r="DT45" s="60">
        <f ca="1">AVERAGE(OFFSET($DS$3,0,0,'Données projet'!$E$14+1,1))-AVERAGE(OFFSET($H$3,0,0,'Données projet'!$E$14+1,1))</f>
        <v>393.79546872270964</v>
      </c>
      <c r="DU45" s="60">
        <f t="shared" si="44"/>
        <v>179.7333990060757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135.66666666666666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5.9392307692307682</v>
      </c>
      <c r="N46" s="14">
        <f>IF('Données projet'!$A$36&gt;35,N45+M46-V45,IF(A46&lt;'Données projet'!$A$36,$K$205^A46,IF(A46='Données projet'!$A$36,'Données projet'!$B$36,N45+M46-V45)))</f>
        <v>125.3869230769231</v>
      </c>
      <c r="O46" s="14">
        <f>N46*VLOOKUP('Données projet'!$B$9,Paramètres!$A$1:$I$89,3,0)*VLOOKUP('Données projet'!$B$9,Paramètres!$A$1:$I$89,5,0)</f>
        <v>58.681080000000009</v>
      </c>
      <c r="P46" s="14">
        <f t="shared" si="33"/>
        <v>16.834374505976218</v>
      </c>
      <c r="Q46" s="22">
        <f t="shared" si="53"/>
        <v>131.52274993124192</v>
      </c>
      <c r="R46" s="60">
        <f t="shared" si="0"/>
        <v>359.2040124268853</v>
      </c>
      <c r="S46" s="60">
        <f ca="1">AVERAGE(OFFSET($R$3,0,0,'Données projet'!$E$9+1,1))-AVERAGE(OFFSET($H$3,0,0,'Données projet'!$E$9+1,1))</f>
        <v>291.44524568678776</v>
      </c>
      <c r="T46" s="60">
        <f t="shared" si="34"/>
        <v>136.43373205899937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3.7399999999999975</v>
      </c>
      <c r="AI46" s="14">
        <f>IF('Données projet'!$A$62&gt;35,AI45+AH46-AQ45,IF(A46&lt;'Données projet'!$A$62,$AF$205^A46,IF(A46='Données projet'!$A$62,'Données projet'!$B$62,AI45+AH46-AQ45)))</f>
        <v>184.22</v>
      </c>
      <c r="AJ46" s="14">
        <f>AI46*VLOOKUP('Données projet'!$B$10,Paramètres!$A$1:$I$89,3,0)*VLOOKUP('Données projet'!$B$10,Paramètres!$A$1:$I$89,5,0)</f>
        <v>95.79440000000001</v>
      </c>
      <c r="AK46" s="14">
        <f t="shared" si="35"/>
        <v>25.957579710436612</v>
      </c>
      <c r="AL46" s="22">
        <f t="shared" si="4"/>
        <v>212.05136466234376</v>
      </c>
      <c r="AM46" s="60">
        <f t="shared" si="5"/>
        <v>439.73262715798717</v>
      </c>
      <c r="AN46" s="60">
        <f ca="1">AVERAGE(OFFSET($AM$3,0,0,'Données projet'!$E$10+1,1))-AVERAGE(OFFSET($H$3,0,0,'Données projet'!$E$10+1,1))</f>
        <v>300.72820267660154</v>
      </c>
      <c r="AO46" s="60">
        <f t="shared" si="36"/>
        <v>228.35388778608589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5.9557692307692314</v>
      </c>
      <c r="BD46" s="13">
        <f>IF('Données projet'!$A$88&gt;35,BD45+BC46-BL45,IF(A46&lt;'Données projet'!$A$88,$BA$205^A46,IF(A46='Données projet'!$A$88,'Données projet'!$B$88,BD45+BC46-BL45)))</f>
        <v>132.66730769230767</v>
      </c>
      <c r="BE46" s="14">
        <f>BD46*VLOOKUP('Données projet'!$B$11,Paramètres!$A$1:$I$89,3,0)*VLOOKUP('Données projet'!$B$11,Paramètres!$A$1:$I$89,5,0)</f>
        <v>77.610374999999991</v>
      </c>
      <c r="BF46" s="14">
        <f t="shared" si="37"/>
        <v>21.551881185301518</v>
      </c>
      <c r="BG46" s="22">
        <f t="shared" si="7"/>
        <v>172.70759618940016</v>
      </c>
      <c r="BH46" s="60">
        <f t="shared" si="8"/>
        <v>400.38885868504354</v>
      </c>
      <c r="BI46" s="60">
        <f ca="1">AVERAGE(OFFSET($BH$3,0,0,'Données projet'!$E$11+1,1))-AVERAGE(OFFSET($H$3,0,0,'Données projet'!$E$11+1,1))</f>
        <v>221.18884567967481</v>
      </c>
      <c r="BJ46" s="60">
        <f t="shared" si="38"/>
        <v>189.31596996710888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1.8720833333333331</v>
      </c>
      <c r="BY46" s="13">
        <f>IF('Données projet'!$A$114&gt;35,BY45+BX46-CG45,IF(A46&lt;'Données projet'!$A$114,$BV$205^A46,IF(A46='Données projet'!$A$114,'Données projet'!$B$114,BY45+BX46-CG45)))</f>
        <v>61.282916666666679</v>
      </c>
      <c r="BZ46" s="14">
        <f>BY46*VLOOKUP('Données projet'!$B$12,Paramètres!$A$1:$I$89,3,0)*VLOOKUP('Données projet'!$B$12,Paramètres!$A$1:$I$89,5,0)</f>
        <v>70.597920000000002</v>
      </c>
      <c r="CA46" s="14">
        <f t="shared" si="39"/>
        <v>19.821868598485771</v>
      </c>
      <c r="CB46" s="22">
        <f t="shared" si="10"/>
        <v>157.48113180902939</v>
      </c>
      <c r="CC46" s="60">
        <f t="shared" si="11"/>
        <v>385.16239430467277</v>
      </c>
      <c r="CD46" s="60">
        <f ca="1">AVERAGE(OFFSET($CC$3,0,0,'Données projet'!$E$12+1,1))-AVERAGE(OFFSET($H$3,0,0,'Données projet'!$E$12+1,1))</f>
        <v>314.72063458462026</v>
      </c>
      <c r="CE46" s="60">
        <f t="shared" si="40"/>
        <v>216.4380325968244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109.8</v>
      </c>
      <c r="CU46" s="18">
        <f>CT46*VLOOKUP('Données projet'!$B$13,Paramètres!$A$1:$I$89,3,0)*VLOOKUP('Données projet'!$B$13,Paramètres!$A$1:$I$89,5,0)</f>
        <v>118.18871999999999</v>
      </c>
      <c r="CV46" s="14">
        <f t="shared" si="41"/>
        <v>31.252174766242543</v>
      </c>
      <c r="CW46" s="22">
        <f t="shared" si="13"/>
        <v>260.27622505120576</v>
      </c>
      <c r="CX46" s="60">
        <f t="shared" si="14"/>
        <v>487.95748754684917</v>
      </c>
      <c r="CY46" s="60">
        <f ca="1">AVERAGE(OFFSET($CX$3,0,0,'Données projet'!$E$13+1,1))-AVERAGE(OFFSET($H$3,0,0,'Données projet'!$E$13+1,1))</f>
        <v>465.51503238626822</v>
      </c>
      <c r="CZ46" s="60">
        <f t="shared" si="42"/>
        <v>205.55320107663496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5.6</v>
      </c>
      <c r="DO46" s="13">
        <f>IF('Données projet'!$A$166&gt;35,DO45+DN46-DW45,IF(A46&lt;'Données projet'!$A$166,$DL$205^A46,IF(A46='Données projet'!$A$166,'Données projet'!$B$166,DO45+DN46-DW45)))</f>
        <v>109.8</v>
      </c>
      <c r="DP46" s="18">
        <f>DO46*VLOOKUP('Données projet'!$B$14,Paramètres!$A$1:$I$89,3,0)*VLOOKUP('Données projet'!$B$14,Paramètres!$A$1:$I$89,5,0)</f>
        <v>94.208399999999997</v>
      </c>
      <c r="DQ46" s="14">
        <f t="shared" si="43"/>
        <v>25.577474486943462</v>
      </c>
      <c r="DR46" s="22">
        <f t="shared" si="16"/>
        <v>208.62706473142649</v>
      </c>
      <c r="DS46" s="60">
        <f t="shared" si="17"/>
        <v>436.30832722706987</v>
      </c>
      <c r="DT46" s="60">
        <f ca="1">AVERAGE(OFFSET($DS$3,0,0,'Données projet'!$E$14+1,1))-AVERAGE(OFFSET($H$3,0,0,'Données projet'!$E$14+1,1))</f>
        <v>393.79546872270964</v>
      </c>
      <c r="DU46" s="60">
        <f t="shared" si="44"/>
        <v>179.7333990060757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135.66666666666666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5.9392307692307682</v>
      </c>
      <c r="N47" s="14">
        <f>IF('Données projet'!$A$36&gt;35,N46+M47-V46,IF(A47&lt;'Données projet'!$A$36,$K$205^A47,IF(A47='Données projet'!$A$36,'Données projet'!$B$36,N46+M47-V46)))</f>
        <v>131.32615384615386</v>
      </c>
      <c r="O47" s="14">
        <f>N47*VLOOKUP('Données projet'!$B$9,Paramètres!$A$1:$I$89,3,0)*VLOOKUP('Données projet'!$B$9,Paramètres!$A$1:$I$89,5,0)</f>
        <v>61.460640000000005</v>
      </c>
      <c r="P47" s="14">
        <f t="shared" si="33"/>
        <v>17.537046086220098</v>
      </c>
      <c r="Q47" s="22">
        <f t="shared" si="53"/>
        <v>137.58763660016666</v>
      </c>
      <c r="R47" s="60">
        <f t="shared" si="0"/>
        <v>366.40781574880225</v>
      </c>
      <c r="S47" s="60">
        <f ca="1">AVERAGE(OFFSET($R$3,0,0,'Données projet'!$E$9+1,1))-AVERAGE(OFFSET($H$3,0,0,'Données projet'!$E$9+1,1))</f>
        <v>291.44524568678776</v>
      </c>
      <c r="T47" s="60">
        <f t="shared" si="34"/>
        <v>136.43373205899937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3.7399999999999975</v>
      </c>
      <c r="AI47" s="14">
        <f>IF('Données projet'!$A$62&gt;35,AI46+AH47-AQ46,IF(A47&lt;'Données projet'!$A$62,$AF$205^A47,IF(A47='Données projet'!$A$62,'Données projet'!$B$62,AI46+AH47-AQ46)))</f>
        <v>187.96</v>
      </c>
      <c r="AJ47" s="14">
        <f>AI47*VLOOKUP('Données projet'!$B$10,Paramètres!$A$1:$I$89,3,0)*VLOOKUP('Données projet'!$B$10,Paramètres!$A$1:$I$89,5,0)</f>
        <v>97.739200000000025</v>
      </c>
      <c r="AK47" s="14">
        <f t="shared" si="35"/>
        <v>26.422678401406777</v>
      </c>
      <c r="AL47" s="22">
        <f t="shared" si="4"/>
        <v>216.24860488245017</v>
      </c>
      <c r="AM47" s="60">
        <f t="shared" si="5"/>
        <v>445.06878403108573</v>
      </c>
      <c r="AN47" s="60">
        <f ca="1">AVERAGE(OFFSET($AM$3,0,0,'Données projet'!$E$10+1,1))-AVERAGE(OFFSET($H$3,0,0,'Données projet'!$E$10+1,1))</f>
        <v>300.72820267660154</v>
      </c>
      <c r="AO47" s="60">
        <f t="shared" si="36"/>
        <v>228.35388778608589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138.62307692307692</v>
      </c>
      <c r="BB47" s="13">
        <f>VLOOKUP(A47,'Données projet'!$A$87:$I$107,9,0)</f>
        <v>5.9557692307692314</v>
      </c>
      <c r="BC47" s="13">
        <f t="array" ref="BC47">INDEX(BB:BB,MIN(IF(ISNUMBER(BB47:BB243),ROW(BB47:BB243),"")))</f>
        <v>5.9557692307692314</v>
      </c>
      <c r="BD47" s="13">
        <f>IF('Données projet'!$A$88&gt;35,BD46+BC47-BL46,IF(A47&lt;'Données projet'!$A$88,$BA$205^A47,IF(A47='Données projet'!$A$88,'Données projet'!$B$88,BD46+BC47-BL46)))</f>
        <v>138.62307692307689</v>
      </c>
      <c r="BE47" s="14">
        <f>BD47*VLOOKUP('Données projet'!$B$11,Paramètres!$A$1:$I$89,3,0)*VLOOKUP('Données projet'!$B$11,Paramètres!$A$1:$I$89,5,0)</f>
        <v>81.094499999999996</v>
      </c>
      <c r="BF47" s="14">
        <f t="shared" si="37"/>
        <v>22.404583060844672</v>
      </c>
      <c r="BG47" s="22">
        <f t="shared" si="7"/>
        <v>180.2609029976378</v>
      </c>
      <c r="BH47" s="60">
        <f t="shared" si="8"/>
        <v>409.08108214627339</v>
      </c>
      <c r="BI47" s="60">
        <f ca="1">AVERAGE(OFFSET($BH$3,0,0,'Données projet'!$E$11+1,1))-AVERAGE(OFFSET($H$3,0,0,'Données projet'!$E$11+1,1))</f>
        <v>221.18884567967481</v>
      </c>
      <c r="BJ47" s="60">
        <f t="shared" si="38"/>
        <v>189.31596996710888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1.8720833333333331</v>
      </c>
      <c r="BY47" s="13">
        <f>IF('Données projet'!$A$114&gt;35,BY46+BX47-CG46,IF(A47&lt;'Données projet'!$A$114,$BV$205^A47,IF(A47='Données projet'!$A$114,'Données projet'!$B$114,BY46+BX47-CG46)))</f>
        <v>63.155000000000015</v>
      </c>
      <c r="BZ47" s="14">
        <f>BY47*VLOOKUP('Données projet'!$B$12,Paramètres!$A$1:$I$89,3,0)*VLOOKUP('Données projet'!$B$12,Paramètres!$A$1:$I$89,5,0)</f>
        <v>72.754560000000012</v>
      </c>
      <c r="CA47" s="14">
        <f t="shared" si="39"/>
        <v>20.355967742631517</v>
      </c>
      <c r="CB47" s="22">
        <f t="shared" si="10"/>
        <v>162.16750248508325</v>
      </c>
      <c r="CC47" s="60">
        <f t="shared" si="11"/>
        <v>390.98768163371881</v>
      </c>
      <c r="CD47" s="60">
        <f ca="1">AVERAGE(OFFSET($CC$3,0,0,'Données projet'!$E$12+1,1))-AVERAGE(OFFSET($H$3,0,0,'Données projet'!$E$12+1,1))</f>
        <v>314.72063458462026</v>
      </c>
      <c r="CE47" s="60">
        <f t="shared" si="40"/>
        <v>216.4380325968244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115.39999999999999</v>
      </c>
      <c r="CU47" s="18">
        <f>CT47*VLOOKUP('Données projet'!$B$13,Paramètres!$A$1:$I$89,3,0)*VLOOKUP('Données projet'!$B$13,Paramètres!$A$1:$I$89,5,0)</f>
        <v>124.21655999999999</v>
      </c>
      <c r="CV47" s="14">
        <f t="shared" si="41"/>
        <v>32.656457317237347</v>
      </c>
      <c r="CW47" s="22">
        <f t="shared" si="13"/>
        <v>273.220505160855</v>
      </c>
      <c r="CX47" s="60">
        <f t="shared" si="14"/>
        <v>502.04068430949053</v>
      </c>
      <c r="CY47" s="60">
        <f ca="1">AVERAGE(OFFSET($CX$3,0,0,'Données projet'!$E$13+1,1))-AVERAGE(OFFSET($H$3,0,0,'Données projet'!$E$13+1,1))</f>
        <v>465.51503238626822</v>
      </c>
      <c r="CZ47" s="60">
        <f t="shared" si="42"/>
        <v>205.55320107663496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5.6</v>
      </c>
      <c r="DO47" s="13">
        <f>IF('Données projet'!$A$166&gt;35,DO46+DN47-DW46,IF(A47&lt;'Données projet'!$A$166,$DL$205^A47,IF(A47='Données projet'!$A$166,'Données projet'!$B$166,DO46+DN47-DW46)))</f>
        <v>115.39999999999999</v>
      </c>
      <c r="DP47" s="18">
        <f>DO47*VLOOKUP('Données projet'!$B$14,Paramètres!$A$1:$I$89,3,0)*VLOOKUP('Données projet'!$B$14,Paramètres!$A$1:$I$89,5,0)</f>
        <v>99.013199999999998</v>
      </c>
      <c r="DQ47" s="14">
        <f t="shared" si="43"/>
        <v>26.726770540392092</v>
      </c>
      <c r="DR47" s="22">
        <f t="shared" si="16"/>
        <v>218.99711535784957</v>
      </c>
      <c r="DS47" s="60">
        <f t="shared" si="17"/>
        <v>447.81729450648515</v>
      </c>
      <c r="DT47" s="60">
        <f ca="1">AVERAGE(OFFSET($DS$3,0,0,'Données projet'!$E$14+1,1))-AVERAGE(OFFSET($H$3,0,0,'Données projet'!$E$14+1,1))</f>
        <v>393.79546872270964</v>
      </c>
      <c r="DU47" s="60">
        <f t="shared" si="44"/>
        <v>179.7333990060757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135.66666666666666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5.9392307692307682</v>
      </c>
      <c r="N48" s="14">
        <f>IF('Données projet'!$A$36&gt;35,N47+M48-V47,IF(A48&lt;'Données projet'!$A$36,$K$205^A48,IF(A48='Données projet'!$A$36,'Données projet'!$B$36,N47+M48-V47)))</f>
        <v>137.26538461538462</v>
      </c>
      <c r="O48" s="14">
        <f>N48*VLOOKUP('Données projet'!$B$9,Paramètres!$A$1:$I$89,3,0)*VLOOKUP('Données projet'!$B$9,Paramètres!$A$1:$I$89,5,0)</f>
        <v>64.240200000000002</v>
      </c>
      <c r="P48" s="14">
        <f t="shared" si="33"/>
        <v>18.236027056975772</v>
      </c>
      <c r="Q48" s="22">
        <f t="shared" si="53"/>
        <v>143.64609545756613</v>
      </c>
      <c r="R48" s="60">
        <f t="shared" si="0"/>
        <v>373.58543360150065</v>
      </c>
      <c r="S48" s="60">
        <f ca="1">AVERAGE(OFFSET($R$3,0,0,'Données projet'!$E$9+1,1))-AVERAGE(OFFSET($H$3,0,0,'Données projet'!$E$9+1,1))</f>
        <v>291.44524568678776</v>
      </c>
      <c r="T48" s="60">
        <f t="shared" si="34"/>
        <v>136.43373205899937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191.7</v>
      </c>
      <c r="AG48" s="13">
        <f>VLOOKUP(A48,'Données projet'!$A$61:$I$81,9,0)</f>
        <v>3.7399999999999975</v>
      </c>
      <c r="AH48" s="13">
        <f t="array" ref="AH48">INDEX(AG:AG,MIN(IF(ISNUMBER(AG48:AG244),ROW(AG48:AG244),"")))</f>
        <v>3.7399999999999975</v>
      </c>
      <c r="AI48" s="14">
        <f>IF('Données projet'!$A$62&gt;35,AI47+AH48-AQ47,IF(A48&lt;'Données projet'!$A$62,$AF$205^A48,IF(A48='Données projet'!$A$62,'Données projet'!$B$62,AI47+AH48-AQ47)))</f>
        <v>191.70000000000002</v>
      </c>
      <c r="AJ48" s="14">
        <f>AI48*VLOOKUP('Données projet'!$B$10,Paramètres!$A$1:$I$89,3,0)*VLOOKUP('Données projet'!$B$10,Paramètres!$A$1:$I$89,5,0)</f>
        <v>99.684000000000012</v>
      </c>
      <c r="AK48" s="14">
        <f t="shared" si="35"/>
        <v>26.886701044194457</v>
      </c>
      <c r="AL48" s="22">
        <f t="shared" si="4"/>
        <v>220.44397098530536</v>
      </c>
      <c r="AM48" s="60">
        <f t="shared" si="5"/>
        <v>450.38330912923988</v>
      </c>
      <c r="AN48" s="60">
        <f ca="1">AVERAGE(OFFSET($AM$3,0,0,'Données projet'!$E$10+1,1))-AVERAGE(OFFSET($H$3,0,0,'Données projet'!$E$10+1,1))</f>
        <v>300.72820267660154</v>
      </c>
      <c r="AO48" s="60">
        <f t="shared" si="36"/>
        <v>228.35388778608589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6.4759615384615365</v>
      </c>
      <c r="BD48" s="13">
        <f>IF('Données projet'!$A$88&gt;35,BD47+BC48-BL47,IF(A48&lt;'Données projet'!$A$88,$BA$205^A48,IF(A48='Données projet'!$A$88,'Données projet'!$B$88,BD47+BC48-BL47)))</f>
        <v>145.09903846153844</v>
      </c>
      <c r="BE48" s="14">
        <f>BD48*VLOOKUP('Données projet'!$B$11,Paramètres!$A$1:$I$89,3,0)*VLOOKUP('Données projet'!$B$11,Paramètres!$A$1:$I$89,5,0)</f>
        <v>84.882937499999997</v>
      </c>
      <c r="BF48" s="14">
        <f t="shared" si="37"/>
        <v>23.326939919529902</v>
      </c>
      <c r="BG48" s="22">
        <f t="shared" si="7"/>
        <v>188.46553650568126</v>
      </c>
      <c r="BH48" s="60">
        <f t="shared" si="8"/>
        <v>418.40487464961575</v>
      </c>
      <c r="BI48" s="60">
        <f ca="1">AVERAGE(OFFSET($BH$3,0,0,'Données projet'!$E$11+1,1))-AVERAGE(OFFSET($H$3,0,0,'Données projet'!$E$11+1,1))</f>
        <v>221.18884567967481</v>
      </c>
      <c r="BJ48" s="60">
        <f t="shared" si="38"/>
        <v>189.31596996710888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1.8720833333333331</v>
      </c>
      <c r="BY48" s="13">
        <f>IF('Données projet'!$A$114&gt;35,BY47+BX48-CG47,IF(A48&lt;'Données projet'!$A$114,$BV$205^A48,IF(A48='Données projet'!$A$114,'Données projet'!$B$114,BY47+BX48-CG47)))</f>
        <v>65.027083333333351</v>
      </c>
      <c r="BZ48" s="14">
        <f>BY48*VLOOKUP('Données projet'!$B$12,Paramètres!$A$1:$I$89,3,0)*VLOOKUP('Données projet'!$B$12,Paramètres!$A$1:$I$89,5,0)</f>
        <v>74.911200000000022</v>
      </c>
      <c r="CA48" s="14">
        <f t="shared" si="39"/>
        <v>20.888226917907243</v>
      </c>
      <c r="CB48" s="22">
        <f t="shared" si="10"/>
        <v>166.8506685486885</v>
      </c>
      <c r="CC48" s="60">
        <f t="shared" si="11"/>
        <v>396.79000669262302</v>
      </c>
      <c r="CD48" s="60">
        <f ca="1">AVERAGE(OFFSET($CC$3,0,0,'Données projet'!$E$12+1,1))-AVERAGE(OFFSET($H$3,0,0,'Données projet'!$E$12+1,1))</f>
        <v>314.72063458462026</v>
      </c>
      <c r="CE48" s="60">
        <f t="shared" si="40"/>
        <v>216.4380325968244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121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120.99999999999999</v>
      </c>
      <c r="CU48" s="18">
        <f>CT48*VLOOKUP('Données projet'!$B$13,Paramètres!$A$1:$I$89,3,0)*VLOOKUP('Données projet'!$B$13,Paramètres!$A$1:$I$89,5,0)</f>
        <v>130.24439999999998</v>
      </c>
      <c r="CV48" s="14">
        <f t="shared" si="41"/>
        <v>34.052826821785409</v>
      </c>
      <c r="CW48" s="22">
        <f t="shared" si="13"/>
        <v>286.15100338127621</v>
      </c>
      <c r="CX48" s="60">
        <f t="shared" si="14"/>
        <v>516.09034152521076</v>
      </c>
      <c r="CY48" s="60">
        <f ca="1">AVERAGE(OFFSET($CX$3,0,0,'Données projet'!$E$13+1,1))-AVERAGE(OFFSET($H$3,0,0,'Données projet'!$E$13+1,1))</f>
        <v>465.51503238626822</v>
      </c>
      <c r="CZ48" s="60">
        <f t="shared" si="42"/>
        <v>205.55320107663496</v>
      </c>
      <c r="DA48" s="16">
        <f>IF(ISNA(VLOOKUP(A48,'Données projet'!$A$139:$I$159,3,0)),0,VLOOKUP(A48,'Données projet'!$A$139:$I$159,3,0))</f>
        <v>2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121</v>
      </c>
      <c r="DM48" s="13">
        <f>VLOOKUP(A48,'Données projet'!$A$165:$I$185,9,0)</f>
        <v>5.6</v>
      </c>
      <c r="DN48" s="13">
        <f t="array" ref="DN48">INDEX(DM:DM,MIN(IF(ISNUMBER(DM48:DM244),ROW(DM48:DM244),"")))</f>
        <v>5.6</v>
      </c>
      <c r="DO48" s="13">
        <f>IF('Données projet'!$A$166&gt;35,DO47+DN48-DW47,IF(A48&lt;'Données projet'!$A$166,$DL$205^A48,IF(A48='Données projet'!$A$166,'Données projet'!$B$166,DO47+DN48-DW47)))</f>
        <v>120.99999999999999</v>
      </c>
      <c r="DP48" s="18">
        <f>DO48*VLOOKUP('Données projet'!$B$14,Paramètres!$A$1:$I$89,3,0)*VLOOKUP('Données projet'!$B$14,Paramètres!$A$1:$I$89,5,0)</f>
        <v>103.818</v>
      </c>
      <c r="DQ48" s="14">
        <f t="shared" si="43"/>
        <v>27.869590380741339</v>
      </c>
      <c r="DR48" s="22">
        <f t="shared" si="16"/>
        <v>229.35588657979119</v>
      </c>
      <c r="DS48" s="60">
        <f t="shared" si="17"/>
        <v>459.29522472372571</v>
      </c>
      <c r="DT48" s="60">
        <f ca="1">AVERAGE(OFFSET($DS$3,0,0,'Données projet'!$E$14+1,1))-AVERAGE(OFFSET($H$3,0,0,'Données projet'!$E$14+1,1))</f>
        <v>393.79546872270964</v>
      </c>
      <c r="DU48" s="60">
        <f t="shared" si="44"/>
        <v>179.7333990060757</v>
      </c>
      <c r="DV48" s="16">
        <f>IF(ISNA(VLOOKUP(A48,'Données projet'!$A$165:$I$185,3,0)),0,VLOOKUP(A48,'Données projet'!$A$165:$I$185,3,0))</f>
        <v>2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135.66666666666666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5.9392307692307682</v>
      </c>
      <c r="N49" s="14">
        <f>IF('Données projet'!$A$36&gt;35,N48+M49-V48,IF(A49&lt;'Données projet'!$A$36,$K$205^A49,IF(A49='Données projet'!$A$36,'Données projet'!$B$36,N48+M49-V48)))</f>
        <v>143.20461538461538</v>
      </c>
      <c r="O49" s="14">
        <f>N49*VLOOKUP('Données projet'!$B$9,Paramètres!$A$1:$I$89,3,0)*VLOOKUP('Données projet'!$B$9,Paramètres!$A$1:$I$89,5,0)</f>
        <v>67.019759999999991</v>
      </c>
      <c r="P49" s="14">
        <f t="shared" si="33"/>
        <v>18.931495357017258</v>
      </c>
      <c r="Q49" s="22">
        <f t="shared" si="53"/>
        <v>149.69843641347168</v>
      </c>
      <c r="R49" s="60">
        <f t="shared" si="0"/>
        <v>380.73751864620135</v>
      </c>
      <c r="S49" s="60">
        <f ca="1">AVERAGE(OFFSET($R$3,0,0,'Données projet'!$E$9+1,1))-AVERAGE(OFFSET($H$3,0,0,'Données projet'!$E$9+1,1))</f>
        <v>291.44524568678776</v>
      </c>
      <c r="T49" s="60">
        <f t="shared" si="34"/>
        <v>136.43373205899937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3.5</v>
      </c>
      <c r="AI49" s="14">
        <f>IF('Données projet'!$A$62&gt;35,AI48+AH49-AQ48,IF(A49&lt;'Données projet'!$A$62,$AF$205^A49,IF(A49='Données projet'!$A$62,'Données projet'!$B$62,AI48+AH49-AQ48)))</f>
        <v>195.20000000000002</v>
      </c>
      <c r="AJ49" s="14">
        <f>AI49*VLOOKUP('Données projet'!$B$10,Paramètres!$A$1:$I$89,3,0)*VLOOKUP('Données projet'!$B$10,Paramètres!$A$1:$I$89,5,0)</f>
        <v>101.50400000000002</v>
      </c>
      <c r="AK49" s="14">
        <f t="shared" si="35"/>
        <v>27.31999291386828</v>
      </c>
      <c r="AL49" s="22">
        <f t="shared" si="4"/>
        <v>224.36845432498728</v>
      </c>
      <c r="AM49" s="60">
        <f t="shared" si="5"/>
        <v>455.40753655771698</v>
      </c>
      <c r="AN49" s="60">
        <f ca="1">AVERAGE(OFFSET($AM$3,0,0,'Données projet'!$E$10+1,1))-AVERAGE(OFFSET($H$3,0,0,'Données projet'!$E$10+1,1))</f>
        <v>300.72820267660154</v>
      </c>
      <c r="AO49" s="60">
        <f t="shared" si="36"/>
        <v>228.35388778608589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6.4759615384615365</v>
      </c>
      <c r="BD49" s="13">
        <f>IF('Données projet'!$A$88&gt;35,BD48+BC49-BL48,IF(A49&lt;'Données projet'!$A$88,$BA$205^A49,IF(A49='Données projet'!$A$88,'Données projet'!$B$88,BD48+BC49-BL48)))</f>
        <v>151.57499999999999</v>
      </c>
      <c r="BE49" s="14">
        <f>BD49*VLOOKUP('Données projet'!$B$11,Paramètres!$A$1:$I$89,3,0)*VLOOKUP('Données projet'!$B$11,Paramètres!$A$1:$I$89,5,0)</f>
        <v>88.671374999999998</v>
      </c>
      <c r="BF49" s="14">
        <f t="shared" si="37"/>
        <v>24.244515804498253</v>
      </c>
      <c r="BG49" s="22">
        <f t="shared" si="7"/>
        <v>196.66184315116777</v>
      </c>
      <c r="BH49" s="60">
        <f t="shared" si="8"/>
        <v>427.70092538389747</v>
      </c>
      <c r="BI49" s="60">
        <f ca="1">AVERAGE(OFFSET($BH$3,0,0,'Données projet'!$E$11+1,1))-AVERAGE(OFFSET($H$3,0,0,'Données projet'!$E$11+1,1))</f>
        <v>221.18884567967481</v>
      </c>
      <c r="BJ49" s="60">
        <f t="shared" si="38"/>
        <v>189.31596996710888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1.8720833333333331</v>
      </c>
      <c r="BY49" s="13">
        <f>IF('Données projet'!$A$114&gt;35,BY48+BX49-CG48,IF(A49&lt;'Données projet'!$A$114,$BV$205^A49,IF(A49='Données projet'!$A$114,'Données projet'!$B$114,BY48+BX49-CG48)))</f>
        <v>66.899166666666687</v>
      </c>
      <c r="BZ49" s="14">
        <f>BY49*VLOOKUP('Données projet'!$B$12,Paramètres!$A$1:$I$89,3,0)*VLOOKUP('Données projet'!$B$12,Paramètres!$A$1:$I$89,5,0)</f>
        <v>77.067840000000018</v>
      </c>
      <c r="CA49" s="14">
        <f t="shared" si="39"/>
        <v>21.418705179130875</v>
      </c>
      <c r="CB49" s="22">
        <f t="shared" si="10"/>
        <v>171.53073285365295</v>
      </c>
      <c r="CC49" s="60">
        <f t="shared" si="11"/>
        <v>402.56981508638262</v>
      </c>
      <c r="CD49" s="60">
        <f ca="1">AVERAGE(OFFSET($CC$3,0,0,'Données projet'!$E$12+1,1))-AVERAGE(OFFSET($H$3,0,0,'Données projet'!$E$12+1,1))</f>
        <v>314.72063458462026</v>
      </c>
      <c r="CE49" s="60">
        <f t="shared" si="40"/>
        <v>216.4380325968244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106.13303999999997</v>
      </c>
      <c r="CV49" s="14">
        <f t="shared" si="41"/>
        <v>28.418009728368016</v>
      </c>
      <c r="CW49" s="22">
        <f t="shared" si="13"/>
        <v>234.34307827690756</v>
      </c>
      <c r="CX49" s="60">
        <f t="shared" si="14"/>
        <v>465.38216050963729</v>
      </c>
      <c r="CY49" s="60">
        <f ca="1">AVERAGE(OFFSET($CX$3,0,0,'Données projet'!$E$13+1,1))-AVERAGE(OFFSET($H$3,0,0,'Données projet'!$E$13+1,1))</f>
        <v>465.51503238626822</v>
      </c>
      <c r="CZ49" s="60">
        <f t="shared" si="42"/>
        <v>205.55320107663496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5.6</v>
      </c>
      <c r="DO49" s="13">
        <f>IF('Données projet'!$A$166&gt;35,DO48+DN49-DW48,IF(A49&lt;'Données projet'!$A$166,$DL$205^A49,IF(A49='Données projet'!$A$166,'Données projet'!$B$166,DO48+DN49-DW48)))</f>
        <v>98.59999999999998</v>
      </c>
      <c r="DP49" s="18">
        <f>DO49*VLOOKUP('Données projet'!$B$14,Paramètres!$A$1:$I$89,3,0)*VLOOKUP('Données projet'!$B$14,Paramètres!$A$1:$I$89,5,0)</f>
        <v>84.598799999999997</v>
      </c>
      <c r="DQ49" s="14">
        <f t="shared" si="43"/>
        <v>23.257930823494966</v>
      </c>
      <c r="DR49" s="22">
        <f t="shared" si="16"/>
        <v>187.85047285092037</v>
      </c>
      <c r="DS49" s="60">
        <f t="shared" si="17"/>
        <v>418.88955508365007</v>
      </c>
      <c r="DT49" s="60">
        <f ca="1">AVERAGE(OFFSET($DS$3,0,0,'Données projet'!$E$14+1,1))-AVERAGE(OFFSET($H$3,0,0,'Données projet'!$E$14+1,1))</f>
        <v>393.79546872270964</v>
      </c>
      <c r="DU49" s="60">
        <f t="shared" si="44"/>
        <v>179.7333990060757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135.66666666666666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5.9392307692307682</v>
      </c>
      <c r="N50" s="14">
        <f>IF('Données projet'!$A$36&gt;35,N49+M50-V49,IF(A50&lt;'Données projet'!$A$36,$K$205^A50,IF(A50='Données projet'!$A$36,'Données projet'!$B$36,N49+M50-V49)))</f>
        <v>149.14384615384614</v>
      </c>
      <c r="O50" s="14">
        <f>N50*VLOOKUP('Données projet'!$B$9,Paramètres!$A$1:$I$89,3,0)*VLOOKUP('Données projet'!$B$9,Paramètres!$A$1:$I$89,5,0)</f>
        <v>69.799319999999994</v>
      </c>
      <c r="P50" s="14">
        <f t="shared" si="33"/>
        <v>19.623613330465506</v>
      </c>
      <c r="Q50" s="22">
        <f t="shared" si="53"/>
        <v>155.74494221722739</v>
      </c>
      <c r="R50" s="60">
        <f t="shared" si="0"/>
        <v>387.86469043747115</v>
      </c>
      <c r="S50" s="60">
        <f ca="1">AVERAGE(OFFSET($R$3,0,0,'Données projet'!$E$9+1,1))-AVERAGE(OFFSET($H$3,0,0,'Données projet'!$E$9+1,1))</f>
        <v>291.44524568678776</v>
      </c>
      <c r="T50" s="60">
        <f t="shared" si="34"/>
        <v>136.43373205899937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3.5</v>
      </c>
      <c r="AI50" s="14">
        <f>IF('Données projet'!$A$62&gt;35,AI49+AH50-AQ49,IF(A50&lt;'Données projet'!$A$62,$AF$205^A50,IF(A50='Données projet'!$A$62,'Données projet'!$B$62,AI49+AH50-AQ49)))</f>
        <v>198.70000000000002</v>
      </c>
      <c r="AJ50" s="14">
        <f>AI50*VLOOKUP('Données projet'!$B$10,Paramètres!$A$1:$I$89,3,0)*VLOOKUP('Données projet'!$B$10,Paramètres!$A$1:$I$89,5,0)</f>
        <v>103.32400000000003</v>
      </c>
      <c r="AK50" s="14">
        <f t="shared" si="35"/>
        <v>27.752381356208407</v>
      </c>
      <c r="AL50" s="22">
        <f t="shared" si="4"/>
        <v>228.29136419539634</v>
      </c>
      <c r="AM50" s="60">
        <f t="shared" si="5"/>
        <v>460.4111124156401</v>
      </c>
      <c r="AN50" s="60">
        <f ca="1">AVERAGE(OFFSET($AM$3,0,0,'Données projet'!$E$10+1,1))-AVERAGE(OFFSET($H$3,0,0,'Données projet'!$E$10+1,1))</f>
        <v>300.72820267660154</v>
      </c>
      <c r="AO50" s="60">
        <f t="shared" si="36"/>
        <v>228.35388778608589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6.4759615384615365</v>
      </c>
      <c r="BD50" s="13">
        <f>IF('Données projet'!$A$88&gt;35,BD49+BC50-BL49,IF(A50&lt;'Données projet'!$A$88,$BA$205^A50,IF(A50='Données projet'!$A$88,'Données projet'!$B$88,BD49+BC50-BL49)))</f>
        <v>158.05096153846154</v>
      </c>
      <c r="BE50" s="14">
        <f>BD50*VLOOKUP('Données projet'!$B$11,Paramètres!$A$1:$I$89,3,0)*VLOOKUP('Données projet'!$B$11,Paramètres!$A$1:$I$89,5,0)</f>
        <v>92.459812500000012</v>
      </c>
      <c r="BF50" s="14">
        <f t="shared" si="37"/>
        <v>25.157538331922787</v>
      </c>
      <c r="BG50" s="22">
        <f t="shared" si="7"/>
        <v>204.85021936559886</v>
      </c>
      <c r="BH50" s="60">
        <f t="shared" si="8"/>
        <v>436.9699675858426</v>
      </c>
      <c r="BI50" s="60">
        <f ca="1">AVERAGE(OFFSET($BH$3,0,0,'Données projet'!$E$11+1,1))-AVERAGE(OFFSET($H$3,0,0,'Données projet'!$E$11+1,1))</f>
        <v>221.18884567967481</v>
      </c>
      <c r="BJ50" s="60">
        <f t="shared" si="38"/>
        <v>189.31596996710888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1.8720833333333331</v>
      </c>
      <c r="BY50" s="13">
        <f>IF('Données projet'!$A$114&gt;35,BY49+BX50-CG49,IF(A50&lt;'Données projet'!$A$114,$BV$205^A50,IF(A50='Données projet'!$A$114,'Données projet'!$B$114,BY49+BX50-CG49)))</f>
        <v>68.771250000000023</v>
      </c>
      <c r="BZ50" s="14">
        <f>BY50*VLOOKUP('Données projet'!$B$12,Paramètres!$A$1:$I$89,3,0)*VLOOKUP('Données projet'!$B$12,Paramètres!$A$1:$I$89,5,0)</f>
        <v>79.224480000000028</v>
      </c>
      <c r="CA50" s="14">
        <f t="shared" si="39"/>
        <v>21.947458087932979</v>
      </c>
      <c r="CB50" s="22">
        <f t="shared" si="10"/>
        <v>176.20779216981666</v>
      </c>
      <c r="CC50" s="60">
        <f t="shared" si="11"/>
        <v>408.32754039006039</v>
      </c>
      <c r="CD50" s="60">
        <f ca="1">AVERAGE(OFFSET($CC$3,0,0,'Données projet'!$E$12+1,1))-AVERAGE(OFFSET($H$3,0,0,'Données projet'!$E$12+1,1))</f>
        <v>314.72063458462026</v>
      </c>
      <c r="CE50" s="60">
        <f t="shared" si="40"/>
        <v>216.4380325968244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112.16087999999998</v>
      </c>
      <c r="CV50" s="14">
        <f t="shared" si="41"/>
        <v>29.839526888181876</v>
      </c>
      <c r="CW50" s="22">
        <f t="shared" si="13"/>
        <v>247.31737533025003</v>
      </c>
      <c r="CX50" s="60">
        <f t="shared" si="14"/>
        <v>479.43712355049377</v>
      </c>
      <c r="CY50" s="60">
        <f ca="1">AVERAGE(OFFSET($CX$3,0,0,'Données projet'!$E$13+1,1))-AVERAGE(OFFSET($H$3,0,0,'Données projet'!$E$13+1,1))</f>
        <v>465.51503238626822</v>
      </c>
      <c r="CZ50" s="60">
        <f t="shared" si="42"/>
        <v>205.55320107663496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5.6</v>
      </c>
      <c r="DO50" s="13">
        <f>IF('Données projet'!$A$166&gt;35,DO49+DN50-DW49,IF(A50&lt;'Données projet'!$A$166,$DL$205^A50,IF(A50='Données projet'!$A$166,'Données projet'!$B$166,DO49+DN50-DW49)))</f>
        <v>104.19999999999997</v>
      </c>
      <c r="DP50" s="18">
        <f>DO50*VLOOKUP('Données projet'!$B$14,Paramètres!$A$1:$I$89,3,0)*VLOOKUP('Données projet'!$B$14,Paramètres!$A$1:$I$89,5,0)</f>
        <v>89.403599999999983</v>
      </c>
      <c r="DQ50" s="14">
        <f t="shared" si="43"/>
        <v>24.421332063883675</v>
      </c>
      <c r="DR50" s="22">
        <f t="shared" si="16"/>
        <v>198.24509001126407</v>
      </c>
      <c r="DS50" s="60">
        <f t="shared" si="17"/>
        <v>430.3648382315078</v>
      </c>
      <c r="DT50" s="60">
        <f ca="1">AVERAGE(OFFSET($DS$3,0,0,'Données projet'!$E$14+1,1))-AVERAGE(OFFSET($H$3,0,0,'Données projet'!$E$14+1,1))</f>
        <v>393.79546872270964</v>
      </c>
      <c r="DU50" s="60">
        <f t="shared" si="44"/>
        <v>179.7333990060757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135.66666666666666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5.9392307692307682</v>
      </c>
      <c r="N51" s="14">
        <f>IF('Données projet'!$A$36&gt;35,N50+M51-V50,IF(A51&lt;'Données projet'!$A$36,$K$205^A51,IF(A51='Données projet'!$A$36,'Données projet'!$B$36,N50+M51-V50)))</f>
        <v>155.0830769230769</v>
      </c>
      <c r="O51" s="14">
        <f>N51*VLOOKUP('Données projet'!$B$9,Paramètres!$A$1:$I$89,3,0)*VLOOKUP('Données projet'!$B$9,Paramètres!$A$1:$I$89,5,0)</f>
        <v>72.578879999999998</v>
      </c>
      <c r="P51" s="14">
        <f t="shared" si="33"/>
        <v>20.312529659745508</v>
      </c>
      <c r="Q51" s="22">
        <f t="shared" si="53"/>
        <v>161.78587182405676</v>
      </c>
      <c r="R51" s="60">
        <f t="shared" si="0"/>
        <v>394.96753889293831</v>
      </c>
      <c r="S51" s="60">
        <f ca="1">AVERAGE(OFFSET($R$3,0,0,'Données projet'!$E$9+1,1))-AVERAGE(OFFSET($H$3,0,0,'Données projet'!$E$9+1,1))</f>
        <v>291.44524568678776</v>
      </c>
      <c r="T51" s="60">
        <f t="shared" si="34"/>
        <v>136.43373205899937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3.5</v>
      </c>
      <c r="AI51" s="14">
        <f>IF('Données projet'!$A$62&gt;35,AI50+AH51-AQ50,IF(A51&lt;'Données projet'!$A$62,$AF$205^A51,IF(A51='Données projet'!$A$62,'Données projet'!$B$62,AI50+AH51-AQ50)))</f>
        <v>202.20000000000002</v>
      </c>
      <c r="AJ51" s="14">
        <f>AI51*VLOOKUP('Données projet'!$B$10,Paramètres!$A$1:$I$89,3,0)*VLOOKUP('Données projet'!$B$10,Paramètres!$A$1:$I$89,5,0)</f>
        <v>105.14400000000002</v>
      </c>
      <c r="AK51" s="14">
        <f t="shared" si="35"/>
        <v>28.183884120602002</v>
      </c>
      <c r="AL51" s="22">
        <f t="shared" si="4"/>
        <v>232.21273151004849</v>
      </c>
      <c r="AM51" s="60">
        <f t="shared" si="5"/>
        <v>465.39439857893001</v>
      </c>
      <c r="AN51" s="60">
        <f ca="1">AVERAGE(OFFSET($AM$3,0,0,'Données projet'!$E$10+1,1))-AVERAGE(OFFSET($H$3,0,0,'Données projet'!$E$10+1,1))</f>
        <v>300.72820267660154</v>
      </c>
      <c r="AO51" s="60">
        <f t="shared" si="36"/>
        <v>228.35388778608589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6.4759615384615365</v>
      </c>
      <c r="BD51" s="13">
        <f>IF('Données projet'!$A$88&gt;35,BD50+BC51-BL50,IF(A51&lt;'Données projet'!$A$88,$BA$205^A51,IF(A51='Données projet'!$A$88,'Données projet'!$B$88,BD50+BC51-BL50)))</f>
        <v>164.52692307692308</v>
      </c>
      <c r="BE51" s="14">
        <f>BD51*VLOOKUP('Données projet'!$B$11,Paramètres!$A$1:$I$89,3,0)*VLOOKUP('Données projet'!$B$11,Paramètres!$A$1:$I$89,5,0)</f>
        <v>96.248250000000013</v>
      </c>
      <c r="BF51" s="14">
        <f t="shared" si="37"/>
        <v>26.066215409845562</v>
      </c>
      <c r="BG51" s="22">
        <f t="shared" si="7"/>
        <v>213.03102725548104</v>
      </c>
      <c r="BH51" s="60">
        <f t="shared" si="8"/>
        <v>446.21269432436259</v>
      </c>
      <c r="BI51" s="60">
        <f ca="1">AVERAGE(OFFSET($BH$3,0,0,'Données projet'!$E$11+1,1))-AVERAGE(OFFSET($H$3,0,0,'Données projet'!$E$11+1,1))</f>
        <v>221.18884567967481</v>
      </c>
      <c r="BJ51" s="60">
        <f t="shared" si="38"/>
        <v>189.31596996710888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1.8720833333333331</v>
      </c>
      <c r="BY51" s="13">
        <f>IF('Données projet'!$A$114&gt;35,BY50+BX51-CG50,IF(A51&lt;'Données projet'!$A$114,$BV$205^A51,IF(A51='Données projet'!$A$114,'Données projet'!$B$114,BY50+BX51-CG50)))</f>
        <v>70.643333333333359</v>
      </c>
      <c r="BZ51" s="14">
        <f>BY51*VLOOKUP('Données projet'!$B$12,Paramètres!$A$1:$I$89,3,0)*VLOOKUP('Données projet'!$B$12,Paramètres!$A$1:$I$89,5,0)</f>
        <v>81.381120000000024</v>
      </c>
      <c r="CA51" s="14">
        <f t="shared" si="39"/>
        <v>22.474538008777976</v>
      </c>
      <c r="CB51" s="22">
        <f t="shared" si="10"/>
        <v>180.88193769862167</v>
      </c>
      <c r="CC51" s="60">
        <f t="shared" si="11"/>
        <v>414.06360476750319</v>
      </c>
      <c r="CD51" s="60">
        <f ca="1">AVERAGE(OFFSET($CC$3,0,0,'Données projet'!$E$12+1,1))-AVERAGE(OFFSET($H$3,0,0,'Données projet'!$E$12+1,1))</f>
        <v>314.72063458462026</v>
      </c>
      <c r="CE51" s="60">
        <f t="shared" si="40"/>
        <v>216.4380325968244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118.18871999999996</v>
      </c>
      <c r="CV51" s="14">
        <f t="shared" si="41"/>
        <v>31.252174766242543</v>
      </c>
      <c r="CW51" s="22">
        <f t="shared" si="13"/>
        <v>260.2762250512057</v>
      </c>
      <c r="CX51" s="60">
        <f t="shared" si="14"/>
        <v>493.45789212008725</v>
      </c>
      <c r="CY51" s="60">
        <f ca="1">AVERAGE(OFFSET($CX$3,0,0,'Données projet'!$E$13+1,1))-AVERAGE(OFFSET($H$3,0,0,'Données projet'!$E$13+1,1))</f>
        <v>465.51503238626822</v>
      </c>
      <c r="CZ51" s="60">
        <f t="shared" si="42"/>
        <v>205.55320107663496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5.6</v>
      </c>
      <c r="DO51" s="13">
        <f>IF('Données projet'!$A$166&gt;35,DO50+DN51-DW50,IF(A51&lt;'Données projet'!$A$166,$DL$205^A51,IF(A51='Données projet'!$A$166,'Données projet'!$B$166,DO50+DN51-DW50)))</f>
        <v>109.79999999999997</v>
      </c>
      <c r="DP51" s="18">
        <f>DO51*VLOOKUP('Données projet'!$B$14,Paramètres!$A$1:$I$89,3,0)*VLOOKUP('Données projet'!$B$14,Paramètres!$A$1:$I$89,5,0)</f>
        <v>94.208399999999983</v>
      </c>
      <c r="DQ51" s="14">
        <f t="shared" si="43"/>
        <v>25.577474486943462</v>
      </c>
      <c r="DR51" s="22">
        <f t="shared" si="16"/>
        <v>208.62706473142649</v>
      </c>
      <c r="DS51" s="60">
        <f t="shared" si="17"/>
        <v>441.80873180030801</v>
      </c>
      <c r="DT51" s="60">
        <f ca="1">AVERAGE(OFFSET($DS$3,0,0,'Données projet'!$E$14+1,1))-AVERAGE(OFFSET($H$3,0,0,'Données projet'!$E$14+1,1))</f>
        <v>393.79546872270964</v>
      </c>
      <c r="DU51" s="60">
        <f t="shared" si="44"/>
        <v>179.7333990060757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135.66666666666666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5.9392307692307682</v>
      </c>
      <c r="N52" s="14">
        <f>IF('Données projet'!$A$36&gt;35,N51+M52-V51,IF(A52&lt;'Données projet'!$A$36,$K$205^A52,IF(A52='Données projet'!$A$36,'Données projet'!$B$36,N51+M52-V51)))</f>
        <v>161.02230769230766</v>
      </c>
      <c r="O52" s="14">
        <f>N52*VLOOKUP('Données projet'!$B$9,Paramètres!$A$1:$I$89,3,0)*VLOOKUP('Données projet'!$B$9,Paramètres!$A$1:$I$89,5,0)</f>
        <v>75.358439999999987</v>
      </c>
      <c r="P52" s="14">
        <f t="shared" si="33"/>
        <v>20.998380994108675</v>
      </c>
      <c r="Q52" s="22">
        <f t="shared" si="53"/>
        <v>167.82146323140591</v>
      </c>
      <c r="R52" s="60">
        <f t="shared" si="0"/>
        <v>402.04662723099636</v>
      </c>
      <c r="S52" s="60">
        <f ca="1">AVERAGE(OFFSET($R$3,0,0,'Données projet'!$E$9+1,1))-AVERAGE(OFFSET($H$3,0,0,'Données projet'!$E$9+1,1))</f>
        <v>291.44524568678776</v>
      </c>
      <c r="T52" s="60">
        <f t="shared" si="34"/>
        <v>136.43373205899937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3.5</v>
      </c>
      <c r="AI52" s="14">
        <f>IF('Données projet'!$A$62&gt;35,AI51+AH52-AQ51,IF(A52&lt;'Données projet'!$A$62,$AF$205^A52,IF(A52='Données projet'!$A$62,'Données projet'!$B$62,AI51+AH52-AQ51)))</f>
        <v>205.70000000000002</v>
      </c>
      <c r="AJ52" s="14">
        <f>AI52*VLOOKUP('Données projet'!$B$10,Paramètres!$A$1:$I$89,3,0)*VLOOKUP('Données projet'!$B$10,Paramètres!$A$1:$I$89,5,0)</f>
        <v>106.96400000000003</v>
      </c>
      <c r="AK52" s="14">
        <f t="shared" si="35"/>
        <v>28.614518306762253</v>
      </c>
      <c r="AL52" s="22">
        <f t="shared" si="4"/>
        <v>236.1325860509443</v>
      </c>
      <c r="AM52" s="60">
        <f t="shared" si="5"/>
        <v>470.35775005053472</v>
      </c>
      <c r="AN52" s="60">
        <f ca="1">AVERAGE(OFFSET($AM$3,0,0,'Données projet'!$E$10+1,1))-AVERAGE(OFFSET($H$3,0,0,'Données projet'!$E$10+1,1))</f>
        <v>300.72820267660154</v>
      </c>
      <c r="AO52" s="60">
        <f t="shared" si="36"/>
        <v>228.35388778608589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6.4759615384615365</v>
      </c>
      <c r="BD52" s="13">
        <f>IF('Données projet'!$A$88&gt;35,BD51+BC52-BL51,IF(A52&lt;'Données projet'!$A$88,$BA$205^A52,IF(A52='Données projet'!$A$88,'Données projet'!$B$88,BD51+BC52-BL51)))</f>
        <v>171.00288461538463</v>
      </c>
      <c r="BE52" s="14">
        <f>BD52*VLOOKUP('Données projet'!$B$11,Paramètres!$A$1:$I$89,3,0)*VLOOKUP('Données projet'!$B$11,Paramètres!$A$1:$I$89,5,0)</f>
        <v>100.03668750000001</v>
      </c>
      <c r="BF52" s="14">
        <f t="shared" si="37"/>
        <v>26.970737652719411</v>
      </c>
      <c r="BG52" s="22">
        <f t="shared" si="7"/>
        <v>221.20459880765301</v>
      </c>
      <c r="BH52" s="60">
        <f t="shared" si="8"/>
        <v>455.42976280724349</v>
      </c>
      <c r="BI52" s="60">
        <f ca="1">AVERAGE(OFFSET($BH$3,0,0,'Données projet'!$E$11+1,1))-AVERAGE(OFFSET($H$3,0,0,'Données projet'!$E$11+1,1))</f>
        <v>221.18884567967481</v>
      </c>
      <c r="BJ52" s="60">
        <f t="shared" si="38"/>
        <v>189.31596996710888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1.8720833333333331</v>
      </c>
      <c r="BY52" s="13">
        <f>IF('Données projet'!$A$114&gt;35,BY51+BX52-CG51,IF(A52&lt;'Données projet'!$A$114,$BV$205^A52,IF(A52='Données projet'!$A$114,'Données projet'!$B$114,BY51+BX52-CG51)))</f>
        <v>72.515416666666695</v>
      </c>
      <c r="BZ52" s="14">
        <f>BY52*VLOOKUP('Données projet'!$B$12,Paramètres!$A$1:$I$89,3,0)*VLOOKUP('Données projet'!$B$12,Paramètres!$A$1:$I$89,5,0)</f>
        <v>83.537760000000034</v>
      </c>
      <c r="CA52" s="14">
        <f t="shared" si="39"/>
        <v>22.999994372723616</v>
      </c>
      <c r="CB52" s="22">
        <f t="shared" si="10"/>
        <v>185.55325553249369</v>
      </c>
      <c r="CC52" s="60">
        <f t="shared" si="11"/>
        <v>419.77841953208417</v>
      </c>
      <c r="CD52" s="60">
        <f ca="1">AVERAGE(OFFSET($CC$3,0,0,'Données projet'!$E$12+1,1))-AVERAGE(OFFSET($H$3,0,0,'Données projet'!$E$12+1,1))</f>
        <v>314.72063458462026</v>
      </c>
      <c r="CE52" s="60">
        <f t="shared" si="40"/>
        <v>216.4380325968244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124.21655999999994</v>
      </c>
      <c r="CV52" s="14">
        <f t="shared" si="41"/>
        <v>32.656457317237347</v>
      </c>
      <c r="CW52" s="22">
        <f t="shared" si="13"/>
        <v>273.220505160855</v>
      </c>
      <c r="CX52" s="60">
        <f t="shared" si="14"/>
        <v>507.44566916044545</v>
      </c>
      <c r="CY52" s="60">
        <f ca="1">AVERAGE(OFFSET($CX$3,0,0,'Données projet'!$E$13+1,1))-AVERAGE(OFFSET($H$3,0,0,'Données projet'!$E$13+1,1))</f>
        <v>465.51503238626822</v>
      </c>
      <c r="CZ52" s="60">
        <f t="shared" si="42"/>
        <v>205.55320107663496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5.6</v>
      </c>
      <c r="DO52" s="13">
        <f>IF('Données projet'!$A$166&gt;35,DO51+DN52-DW51,IF(A52&lt;'Données projet'!$A$166,$DL$205^A52,IF(A52='Données projet'!$A$166,'Données projet'!$B$166,DO51+DN52-DW51)))</f>
        <v>115.39999999999996</v>
      </c>
      <c r="DP52" s="18">
        <f>DO52*VLOOKUP('Données projet'!$B$14,Paramètres!$A$1:$I$89,3,0)*VLOOKUP('Données projet'!$B$14,Paramètres!$A$1:$I$89,5,0)</f>
        <v>99.013199999999983</v>
      </c>
      <c r="DQ52" s="14">
        <f t="shared" si="43"/>
        <v>26.726770540392092</v>
      </c>
      <c r="DR52" s="22">
        <f t="shared" si="16"/>
        <v>218.99711535784954</v>
      </c>
      <c r="DS52" s="60">
        <f t="shared" si="17"/>
        <v>453.22227935744002</v>
      </c>
      <c r="DT52" s="60">
        <f ca="1">AVERAGE(OFFSET($DS$3,0,0,'Données projet'!$E$14+1,1))-AVERAGE(OFFSET($H$3,0,0,'Données projet'!$E$14+1,1))</f>
        <v>393.79546872270964</v>
      </c>
      <c r="DU52" s="60">
        <f t="shared" si="44"/>
        <v>179.7333990060757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135.66666666666666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166.96153846153845</v>
      </c>
      <c r="L53" s="13">
        <f>VLOOKUP(A53,'Données projet'!$A$35:$I$55,9,0)</f>
        <v>5.9392307692307682</v>
      </c>
      <c r="M53" s="13">
        <f t="array" ref="M53">INDEX(L:L,MIN(IF(ISNUMBER(L53:L249),ROW(L53:L249),"")))</f>
        <v>5.9392307692307682</v>
      </c>
      <c r="N53" s="14">
        <f>IF('Données projet'!$A$36&gt;35,N52+M53-V52,IF(A53&lt;'Données projet'!$A$36,$K$205^A53,IF(A53='Données projet'!$A$36,'Données projet'!$B$36,N52+M53-V52)))</f>
        <v>166.96153846153842</v>
      </c>
      <c r="O53" s="14">
        <f>N53*VLOOKUP('Données projet'!$B$9,Paramètres!$A$1:$I$89,3,0)*VLOOKUP('Données projet'!$B$9,Paramètres!$A$1:$I$89,5,0)</f>
        <v>78.137999999999977</v>
      </c>
      <c r="P53" s="14">
        <f t="shared" si="33"/>
        <v>21.68129333113221</v>
      </c>
      <c r="Q53" s="22">
        <f t="shared" si="53"/>
        <v>173.85193588505524</v>
      </c>
      <c r="R53" s="60">
        <f t="shared" si="0"/>
        <v>409.10249447651643</v>
      </c>
      <c r="S53" s="60">
        <f ca="1">AVERAGE(OFFSET($R$3,0,0,'Données projet'!$E$9+1,1))-AVERAGE(OFFSET($H$3,0,0,'Données projet'!$E$9+1,1))</f>
        <v>291.44524568678776</v>
      </c>
      <c r="T53" s="60">
        <f t="shared" si="34"/>
        <v>136.43373205899937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209.2</v>
      </c>
      <c r="AG53" s="13">
        <f>VLOOKUP(A53,'Données projet'!$A$61:$I$81,9,0)</f>
        <v>3.5</v>
      </c>
      <c r="AH53" s="13">
        <f t="array" ref="AH53">INDEX(AG:AG,MIN(IF(ISNUMBER(AG53:AG249),ROW(AG53:AG249),"")))</f>
        <v>3.5</v>
      </c>
      <c r="AI53" s="14">
        <f>IF('Données projet'!$A$62&gt;35,AI52+AH53-AQ52,IF(A53&lt;'Données projet'!$A$62,$AF$205^A53,IF(A53='Données projet'!$A$62,'Données projet'!$B$62,AI52+AH53-AQ52)))</f>
        <v>209.20000000000002</v>
      </c>
      <c r="AJ53" s="14">
        <f>AI53*VLOOKUP('Données projet'!$B$10,Paramètres!$A$1:$I$89,3,0)*VLOOKUP('Données projet'!$B$10,Paramètres!$A$1:$I$89,5,0)</f>
        <v>108.78400000000001</v>
      </c>
      <c r="AK53" s="14">
        <f t="shared" si="35"/>
        <v>29.044300399150487</v>
      </c>
      <c r="AL53" s="22">
        <f t="shared" si="4"/>
        <v>240.05095652852046</v>
      </c>
      <c r="AM53" s="60">
        <f t="shared" si="5"/>
        <v>475.30151511998167</v>
      </c>
      <c r="AN53" s="60">
        <f ca="1">AVERAGE(OFFSET($AM$3,0,0,'Données projet'!$E$10+1,1))-AVERAGE(OFFSET($H$3,0,0,'Données projet'!$E$10+1,1))</f>
        <v>300.72820267660154</v>
      </c>
      <c r="AO53" s="60">
        <f t="shared" si="36"/>
        <v>228.35388778608589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6.4759615384615365</v>
      </c>
      <c r="BD53" s="13">
        <f>IF('Données projet'!$A$88&gt;35,BD52+BC53-BL52,IF(A53&lt;'Données projet'!$A$88,$BA$205^A53,IF(A53='Données projet'!$A$88,'Données projet'!$B$88,BD52+BC53-BL52)))</f>
        <v>177.47884615384618</v>
      </c>
      <c r="BE53" s="14">
        <f>BD53*VLOOKUP('Données projet'!$B$11,Paramètres!$A$1:$I$89,3,0)*VLOOKUP('Données projet'!$B$11,Paramètres!$A$1:$I$89,5,0)</f>
        <v>103.82512500000003</v>
      </c>
      <c r="BF53" s="14">
        <f t="shared" si="37"/>
        <v>27.871280419904867</v>
      </c>
      <c r="BG53" s="22">
        <f t="shared" si="7"/>
        <v>229.37123943966768</v>
      </c>
      <c r="BH53" s="60">
        <f t="shared" si="8"/>
        <v>464.62179803112883</v>
      </c>
      <c r="BI53" s="60">
        <f ca="1">AVERAGE(OFFSET($BH$3,0,0,'Données projet'!$E$11+1,1))-AVERAGE(OFFSET($H$3,0,0,'Données projet'!$E$11+1,1))</f>
        <v>221.18884567967481</v>
      </c>
      <c r="BJ53" s="60">
        <f t="shared" si="38"/>
        <v>189.31596996710888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74.387500000000003</v>
      </c>
      <c r="BW53" s="13">
        <f>VLOOKUP(A53,'Données projet'!$A$113:$I$133,9,0)</f>
        <v>1.8720833333333331</v>
      </c>
      <c r="BX53" s="13">
        <f t="array" ref="BX53">INDEX(BW:BW,MIN(IF(ISNUMBER(BW53:BW249),ROW(BW53:BW249),"")))</f>
        <v>1.8720833333333331</v>
      </c>
      <c r="BY53" s="13">
        <f>IF('Données projet'!$A$114&gt;35,BY52+BX53-CG52,IF(A53&lt;'Données projet'!$A$114,$BV$205^A53,IF(A53='Données projet'!$A$114,'Données projet'!$B$114,BY52+BX53-CG52)))</f>
        <v>74.387500000000031</v>
      </c>
      <c r="BZ53" s="14">
        <f>BY53*VLOOKUP('Données projet'!$B$12,Paramètres!$A$1:$I$89,3,0)*VLOOKUP('Données projet'!$B$12,Paramètres!$A$1:$I$89,5,0)</f>
        <v>85.694400000000016</v>
      </c>
      <c r="CA53" s="14">
        <f t="shared" si="39"/>
        <v>23.523873913177109</v>
      </c>
      <c r="CB53" s="22">
        <f t="shared" si="10"/>
        <v>190.22182706545016</v>
      </c>
      <c r="CC53" s="60">
        <f t="shared" si="11"/>
        <v>425.47238565691134</v>
      </c>
      <c r="CD53" s="60">
        <f ca="1">AVERAGE(OFFSET($CC$3,0,0,'Données projet'!$E$12+1,1))-AVERAGE(OFFSET($H$3,0,0,'Données projet'!$E$12+1,1))</f>
        <v>314.72063458462026</v>
      </c>
      <c r="CE53" s="60">
        <f t="shared" si="40"/>
        <v>216.4380325968244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7.7500000000000009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130.24439999999996</v>
      </c>
      <c r="CV53" s="14">
        <f t="shared" si="41"/>
        <v>34.052826821785409</v>
      </c>
      <c r="CW53" s="22">
        <f t="shared" si="13"/>
        <v>286.1510033812761</v>
      </c>
      <c r="CX53" s="60">
        <f t="shared" si="14"/>
        <v>521.40156197273723</v>
      </c>
      <c r="CY53" s="60">
        <f ca="1">AVERAGE(OFFSET($CX$3,0,0,'Données projet'!$E$13+1,1))-AVERAGE(OFFSET($H$3,0,0,'Données projet'!$E$13+1,1))</f>
        <v>465.51503238626822</v>
      </c>
      <c r="CZ53" s="60">
        <f t="shared" si="42"/>
        <v>205.55320107663496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121</v>
      </c>
      <c r="DM53" s="13">
        <f>VLOOKUP(A53,'Données projet'!$A$165:$I$185,9,0)</f>
        <v>5.6</v>
      </c>
      <c r="DN53" s="13">
        <f t="array" ref="DN53">INDEX(DM:DM,MIN(IF(ISNUMBER(DM53:DM249),ROW(DM53:DM249),"")))</f>
        <v>5.6</v>
      </c>
      <c r="DO53" s="13">
        <f>IF('Données projet'!$A$166&gt;35,DO52+DN53-DW52,IF(A53&lt;'Données projet'!$A$166,$DL$205^A53,IF(A53='Données projet'!$A$166,'Données projet'!$B$166,DO52+DN53-DW52)))</f>
        <v>120.99999999999996</v>
      </c>
      <c r="DP53" s="18">
        <f>DO53*VLOOKUP('Données projet'!$B$14,Paramètres!$A$1:$I$89,3,0)*VLOOKUP('Données projet'!$B$14,Paramètres!$A$1:$I$89,5,0)</f>
        <v>103.81799999999998</v>
      </c>
      <c r="DQ53" s="14">
        <f t="shared" si="43"/>
        <v>27.869590380741339</v>
      </c>
      <c r="DR53" s="22">
        <f t="shared" si="16"/>
        <v>229.3558865797911</v>
      </c>
      <c r="DS53" s="60">
        <f t="shared" si="17"/>
        <v>464.60644517125229</v>
      </c>
      <c r="DT53" s="60">
        <f ca="1">AVERAGE(OFFSET($DS$3,0,0,'Données projet'!$E$14+1,1))-AVERAGE(OFFSET($H$3,0,0,'Données projet'!$E$14+1,1))</f>
        <v>393.79546872270964</v>
      </c>
      <c r="DU53" s="60">
        <f t="shared" si="44"/>
        <v>179.7333990060757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135.66666666666666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6.4369230769230796</v>
      </c>
      <c r="N54" s="14">
        <f>IF('Données projet'!$A$36&gt;35,N53+M54-V53,IF(A54&lt;'Données projet'!$A$36,$K$205^A54,IF(A54='Données projet'!$A$36,'Données projet'!$B$36,N53+M54-V53)))</f>
        <v>173.3984615384615</v>
      </c>
      <c r="O54" s="14">
        <f>N54*VLOOKUP('Données projet'!$B$9,Paramètres!$A$1:$I$89,3,0)*VLOOKUP('Données projet'!$B$9,Paramètres!$A$1:$I$89,5,0)</f>
        <v>81.150479999999973</v>
      </c>
      <c r="P54" s="14">
        <f t="shared" si="33"/>
        <v>22.418248280696297</v>
      </c>
      <c r="Q54" s="22">
        <f t="shared" si="53"/>
        <v>180.38220175554599</v>
      </c>
      <c r="R54" s="60">
        <f t="shared" si="0"/>
        <v>416.64036663514781</v>
      </c>
      <c r="S54" s="60">
        <f ca="1">AVERAGE(OFFSET($R$3,0,0,'Données projet'!$E$9+1,1))-AVERAGE(OFFSET($H$3,0,0,'Données projet'!$E$9+1,1))</f>
        <v>291.44524568678776</v>
      </c>
      <c r="T54" s="60">
        <f t="shared" si="34"/>
        <v>136.43373205899937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3.2600000000000025</v>
      </c>
      <c r="AI54" s="14">
        <f>IF('Données projet'!$A$62&gt;35,AI53+AH54-AQ53,IF(A54&lt;'Données projet'!$A$62,$AF$205^A54,IF(A54='Données projet'!$A$62,'Données projet'!$B$62,AI53+AH54-AQ53)))</f>
        <v>212.46</v>
      </c>
      <c r="AJ54" s="14">
        <f>AI54*VLOOKUP('Données projet'!$B$10,Paramètres!$A$1:$I$89,3,0)*VLOOKUP('Données projet'!$B$10,Paramètres!$A$1:$I$89,5,0)</f>
        <v>110.47920000000002</v>
      </c>
      <c r="AK54" s="14">
        <f t="shared" si="35"/>
        <v>29.443859250947572</v>
      </c>
      <c r="AL54" s="22">
        <f t="shared" si="4"/>
        <v>243.6993281954004</v>
      </c>
      <c r="AM54" s="60">
        <f t="shared" si="5"/>
        <v>479.95749307500222</v>
      </c>
      <c r="AN54" s="60">
        <f ca="1">AVERAGE(OFFSET($AM$3,0,0,'Données projet'!$E$10+1,1))-AVERAGE(OFFSET($H$3,0,0,'Données projet'!$E$10+1,1))</f>
        <v>300.72820267660154</v>
      </c>
      <c r="AO54" s="60">
        <f t="shared" si="36"/>
        <v>228.35388778608589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6.4759615384615365</v>
      </c>
      <c r="BD54" s="13">
        <f>IF('Données projet'!$A$88&gt;35,BD53+BC54-BL53,IF(A54&lt;'Données projet'!$A$88,$BA$205^A54,IF(A54='Données projet'!$A$88,'Données projet'!$B$88,BD53+BC54-BL53)))</f>
        <v>183.95480769230772</v>
      </c>
      <c r="BE54" s="14">
        <f>BD54*VLOOKUP('Données projet'!$B$11,Paramètres!$A$1:$I$89,3,0)*VLOOKUP('Données projet'!$B$11,Paramètres!$A$1:$I$89,5,0)</f>
        <v>107.61356250000003</v>
      </c>
      <c r="BF54" s="14">
        <f t="shared" si="37"/>
        <v>28.768005548276541</v>
      </c>
      <c r="BG54" s="22">
        <f t="shared" si="7"/>
        <v>237.53123101741502</v>
      </c>
      <c r="BH54" s="60">
        <f t="shared" si="8"/>
        <v>473.78939589701685</v>
      </c>
      <c r="BI54" s="60">
        <f ca="1">AVERAGE(OFFSET($BH$3,0,0,'Données projet'!$E$11+1,1))-AVERAGE(OFFSET($H$3,0,0,'Données projet'!$E$11+1,1))</f>
        <v>221.18884567967481</v>
      </c>
      <c r="BJ54" s="60">
        <f t="shared" si="38"/>
        <v>189.31596996710888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1.7724999999999995</v>
      </c>
      <c r="BY54" s="13">
        <f>IF('Données projet'!$A$114&gt;35,BY53+BX54-CG53,IF(A54&lt;'Données projet'!$A$114,$BV$205^A54,IF(A54='Données projet'!$A$114,'Données projet'!$B$114,BY53+BX54-CG53)))</f>
        <v>68.410000000000025</v>
      </c>
      <c r="BZ54" s="14">
        <f>BY54*VLOOKUP('Données projet'!$B$12,Paramètres!$A$1:$I$89,3,0)*VLOOKUP('Données projet'!$B$12,Paramètres!$A$1:$I$89,5,0)</f>
        <v>78.808320000000023</v>
      </c>
      <c r="CA54" s="14">
        <f t="shared" si="39"/>
        <v>21.845558157973084</v>
      </c>
      <c r="CB54" s="22">
        <f t="shared" si="10"/>
        <v>175.30550445846984</v>
      </c>
      <c r="CC54" s="60">
        <f t="shared" si="11"/>
        <v>411.56366933807169</v>
      </c>
      <c r="CD54" s="60">
        <f ca="1">AVERAGE(OFFSET($CC$3,0,0,'Données projet'!$E$12+1,1))-AVERAGE(OFFSET($H$3,0,0,'Données projet'!$E$12+1,1))</f>
        <v>314.72063458462026</v>
      </c>
      <c r="CE54" s="60">
        <f t="shared" si="40"/>
        <v>216.4380325968244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126.59999999999995</v>
      </c>
      <c r="CU54" s="18">
        <f>CT54*VLOOKUP('Données projet'!$B$13,Paramètres!$A$1:$I$89,3,0)*VLOOKUP('Données projet'!$B$13,Paramètres!$A$1:$I$89,5,0)</f>
        <v>136.27223999999993</v>
      </c>
      <c r="CV54" s="14">
        <f t="shared" si="41"/>
        <v>35.441691330456997</v>
      </c>
      <c r="CW54" s="22">
        <f t="shared" si="13"/>
        <v>299.06843040054582</v>
      </c>
      <c r="CX54" s="60">
        <f t="shared" si="14"/>
        <v>535.32659528014767</v>
      </c>
      <c r="CY54" s="60">
        <f ca="1">AVERAGE(OFFSET($CX$3,0,0,'Données projet'!$E$13+1,1))-AVERAGE(OFFSET($H$3,0,0,'Données projet'!$E$13+1,1))</f>
        <v>465.51503238626822</v>
      </c>
      <c r="CZ54" s="60">
        <f t="shared" si="42"/>
        <v>205.55320107663496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</v>
      </c>
      <c r="DO54" s="13">
        <f>IF('Données projet'!$A$166&gt;35,DO53+DN54-DW53,IF(A54&lt;'Données projet'!$A$166,$DL$205^A54,IF(A54='Données projet'!$A$166,'Données projet'!$B$166,DO53+DN54-DW53)))</f>
        <v>126.59999999999995</v>
      </c>
      <c r="DP54" s="18">
        <f>DO54*VLOOKUP('Données projet'!$B$14,Paramètres!$A$1:$I$89,3,0)*VLOOKUP('Données projet'!$B$14,Paramètres!$A$1:$I$89,5,0)</f>
        <v>108.62279999999997</v>
      </c>
      <c r="DQ54" s="14">
        <f t="shared" si="43"/>
        <v>29.006267965647851</v>
      </c>
      <c r="DR54" s="22">
        <f t="shared" si="16"/>
        <v>239.70396004016996</v>
      </c>
      <c r="DS54" s="60">
        <f t="shared" si="17"/>
        <v>475.96212491977178</v>
      </c>
      <c r="DT54" s="60">
        <f ca="1">AVERAGE(OFFSET($DS$3,0,0,'Données projet'!$E$14+1,1))-AVERAGE(OFFSET($H$3,0,0,'Données projet'!$E$14+1,1))</f>
        <v>393.79546872270964</v>
      </c>
      <c r="DU54" s="60">
        <f t="shared" si="44"/>
        <v>179.7333990060757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135.66666666666666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6.4369230769230796</v>
      </c>
      <c r="N55" s="14">
        <f>IF('Données projet'!$A$36&gt;35,N54+M55-V54,IF(A55&lt;'Données projet'!$A$36,$K$205^A55,IF(A55='Données projet'!$A$36,'Données projet'!$B$36,N54+M55-V54)))</f>
        <v>179.83538461538458</v>
      </c>
      <c r="O55" s="14">
        <f>N55*VLOOKUP('Données projet'!$B$9,Paramètres!$A$1:$I$89,3,0)*VLOOKUP('Données projet'!$B$9,Paramètres!$A$1:$I$89,5,0)</f>
        <v>84.162959999999984</v>
      </c>
      <c r="P55" s="14">
        <f t="shared" si="33"/>
        <v>23.152024933738563</v>
      </c>
      <c r="Q55" s="22">
        <f t="shared" si="53"/>
        <v>186.90693209292795</v>
      </c>
      <c r="R55" s="60">
        <f t="shared" si="0"/>
        <v>424.15522354424138</v>
      </c>
      <c r="S55" s="60">
        <f ca="1">AVERAGE(OFFSET($R$3,0,0,'Données projet'!$E$9+1,1))-AVERAGE(OFFSET($H$3,0,0,'Données projet'!$E$9+1,1))</f>
        <v>291.44524568678776</v>
      </c>
      <c r="T55" s="60">
        <f t="shared" si="34"/>
        <v>136.43373205899937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3.2600000000000025</v>
      </c>
      <c r="AI55" s="14">
        <f>IF('Données projet'!$A$62&gt;35,AI54+AH55-AQ54,IF(A55&lt;'Données projet'!$A$62,$AF$205^A55,IF(A55='Données projet'!$A$62,'Données projet'!$B$62,AI54+AH55-AQ54)))</f>
        <v>215.72</v>
      </c>
      <c r="AJ55" s="14">
        <f>AI55*VLOOKUP('Données projet'!$B$10,Paramètres!$A$1:$I$89,3,0)*VLOOKUP('Données projet'!$B$10,Paramètres!$A$1:$I$89,5,0)</f>
        <v>112.17440000000002</v>
      </c>
      <c r="AK55" s="14">
        <f t="shared" si="35"/>
        <v>29.842705078330251</v>
      </c>
      <c r="AL55" s="22">
        <f t="shared" si="4"/>
        <v>247.34645801142526</v>
      </c>
      <c r="AM55" s="60">
        <f t="shared" si="5"/>
        <v>484.59474946273866</v>
      </c>
      <c r="AN55" s="60">
        <f ca="1">AVERAGE(OFFSET($AM$3,0,0,'Données projet'!$E$10+1,1))-AVERAGE(OFFSET($H$3,0,0,'Données projet'!$E$10+1,1))</f>
        <v>300.72820267660154</v>
      </c>
      <c r="AO55" s="60">
        <f t="shared" si="36"/>
        <v>228.35388778608589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190.43076923076922</v>
      </c>
      <c r="BB55" s="13">
        <f>VLOOKUP(A55,'Données projet'!$A$87:$I$107,9,0)</f>
        <v>6.4759615384615365</v>
      </c>
      <c r="BC55" s="13">
        <f t="array" ref="BC55">INDEX(BB:BB,MIN(IF(ISNUMBER(BB55:BB251),ROW(BB55:BB251),"")))</f>
        <v>6.4759615384615365</v>
      </c>
      <c r="BD55" s="13">
        <f>IF('Données projet'!$A$88&gt;35,BD54+BC55-BL54,IF(A55&lt;'Données projet'!$A$88,$BA$205^A55,IF(A55='Données projet'!$A$88,'Données projet'!$B$88,BD54+BC55-BL54)))</f>
        <v>190.43076923076927</v>
      </c>
      <c r="BE55" s="14">
        <f>BD55*VLOOKUP('Données projet'!$B$11,Paramètres!$A$1:$I$89,3,0)*VLOOKUP('Données projet'!$B$11,Paramètres!$A$1:$I$89,5,0)</f>
        <v>111.40200000000004</v>
      </c>
      <c r="BF55" s="14">
        <f t="shared" si="37"/>
        <v>29.661062833995075</v>
      </c>
      <c r="BG55" s="22">
        <f t="shared" si="7"/>
        <v>245.68483443587479</v>
      </c>
      <c r="BH55" s="60">
        <f t="shared" si="8"/>
        <v>482.93312588718823</v>
      </c>
      <c r="BI55" s="60">
        <f ca="1">AVERAGE(OFFSET($BH$3,0,0,'Données projet'!$E$11+1,1))-AVERAGE(OFFSET($H$3,0,0,'Données projet'!$E$11+1,1))</f>
        <v>221.18884567967481</v>
      </c>
      <c r="BJ55" s="60">
        <f t="shared" si="38"/>
        <v>189.31596996710888</v>
      </c>
      <c r="BK55" s="16">
        <f>IF(ISNA(VLOOKUP(A55,'Données projet'!$A$87:$I$107,3,0)),0,VLOOKUP(A55,'Données projet'!$A$87:$I$107,3,0))</f>
        <v>2</v>
      </c>
      <c r="BL55" s="16">
        <f>IF(ISNA(VLOOKUP(A55,'Données projet'!$A$87:$I$107,4,0)),0,VLOOKUP(A55,'Données projet'!$A$87:$I$107,4,0))</f>
        <v>77.107692307692304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1.7724999999999995</v>
      </c>
      <c r="BY55" s="13">
        <f>IF('Données projet'!$A$114&gt;35,BY54+BX55-CG54,IF(A55&lt;'Données projet'!$A$114,$BV$205^A55,IF(A55='Données projet'!$A$114,'Données projet'!$B$114,BY54+BX55-CG54)))</f>
        <v>70.182500000000019</v>
      </c>
      <c r="BZ55" s="14">
        <f>BY55*VLOOKUP('Données projet'!$B$12,Paramètres!$A$1:$I$89,3,0)*VLOOKUP('Données projet'!$B$12,Paramètres!$A$1:$I$89,5,0)</f>
        <v>80.850240000000028</v>
      </c>
      <c r="CA55" s="14">
        <f t="shared" si="39"/>
        <v>22.344944145436859</v>
      </c>
      <c r="CB55" s="22">
        <f t="shared" si="10"/>
        <v>179.7316123866359</v>
      </c>
      <c r="CC55" s="60">
        <f t="shared" si="11"/>
        <v>416.97990383794934</v>
      </c>
      <c r="CD55" s="60">
        <f ca="1">AVERAGE(OFFSET($CC$3,0,0,'Données projet'!$E$12+1,1))-AVERAGE(OFFSET($H$3,0,0,'Données projet'!$E$12+1,1))</f>
        <v>314.72063458462026</v>
      </c>
      <c r="CE55" s="60">
        <f t="shared" si="40"/>
        <v>216.4380325968244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132.19999999999996</v>
      </c>
      <c r="CU55" s="18">
        <f>CT55*VLOOKUP('Données projet'!$B$13,Paramètres!$A$1:$I$89,3,0)*VLOOKUP('Données projet'!$B$13,Paramètres!$A$1:$I$89,5,0)</f>
        <v>142.30007999999995</v>
      </c>
      <c r="CV55" s="14">
        <f t="shared" si="41"/>
        <v>36.823420753495235</v>
      </c>
      <c r="CW55" s="22">
        <f t="shared" si="13"/>
        <v>311.97343047900409</v>
      </c>
      <c r="CX55" s="60">
        <f t="shared" si="14"/>
        <v>549.22172193031747</v>
      </c>
      <c r="CY55" s="60">
        <f ca="1">AVERAGE(OFFSET($CX$3,0,0,'Données projet'!$E$13+1,1))-AVERAGE(OFFSET($H$3,0,0,'Données projet'!$E$13+1,1))</f>
        <v>465.51503238626822</v>
      </c>
      <c r="CZ55" s="60">
        <f t="shared" si="42"/>
        <v>205.55320107663496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</v>
      </c>
      <c r="DO55" s="13">
        <f>IF('Données projet'!$A$166&gt;35,DO54+DN55-DW54,IF(A55&lt;'Données projet'!$A$166,$DL$205^A55,IF(A55='Données projet'!$A$166,'Données projet'!$B$166,DO54+DN55-DW54)))</f>
        <v>132.19999999999996</v>
      </c>
      <c r="DP55" s="18">
        <f>DO55*VLOOKUP('Données projet'!$B$14,Paramètres!$A$1:$I$89,3,0)*VLOOKUP('Données projet'!$B$14,Paramètres!$A$1:$I$89,5,0)</f>
        <v>113.42759999999997</v>
      </c>
      <c r="DQ55" s="14">
        <f t="shared" si="43"/>
        <v>30.137106037876791</v>
      </c>
      <c r="DR55" s="22">
        <f t="shared" si="16"/>
        <v>250.04186301596869</v>
      </c>
      <c r="DS55" s="60">
        <f t="shared" si="17"/>
        <v>487.29015446728209</v>
      </c>
      <c r="DT55" s="60">
        <f ca="1">AVERAGE(OFFSET($DS$3,0,0,'Données projet'!$E$14+1,1))-AVERAGE(OFFSET($H$3,0,0,'Données projet'!$E$14+1,1))</f>
        <v>393.79546872270964</v>
      </c>
      <c r="DU55" s="60">
        <f t="shared" si="44"/>
        <v>179.7333990060757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135.66666666666666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6.4369230769230796</v>
      </c>
      <c r="N56" s="14">
        <f>IF('Données projet'!$A$36&gt;35,N55+M56-V55,IF(A56&lt;'Données projet'!$A$36,$K$205^A56,IF(A56='Données projet'!$A$36,'Données projet'!$B$36,N55+M56-V55)))</f>
        <v>186.27230769230766</v>
      </c>
      <c r="O56" s="14">
        <f>N56*VLOOKUP('Données projet'!$B$9,Paramètres!$A$1:$I$89,3,0)*VLOOKUP('Données projet'!$B$9,Paramètres!$A$1:$I$89,5,0)</f>
        <v>87.175439999999981</v>
      </c>
      <c r="P56" s="14">
        <f t="shared" si="33"/>
        <v>23.882750085116339</v>
      </c>
      <c r="Q56" s="22">
        <f t="shared" si="53"/>
        <v>193.42634773157758</v>
      </c>
      <c r="R56" s="60">
        <f t="shared" si="0"/>
        <v>431.64758927217474</v>
      </c>
      <c r="S56" s="60">
        <f ca="1">AVERAGE(OFFSET($R$3,0,0,'Données projet'!$E$9+1,1))-AVERAGE(OFFSET($H$3,0,0,'Données projet'!$E$9+1,1))</f>
        <v>291.44524568678776</v>
      </c>
      <c r="T56" s="60">
        <f t="shared" si="34"/>
        <v>136.43373205899937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3.2600000000000025</v>
      </c>
      <c r="AI56" s="14">
        <f>IF('Données projet'!$A$62&gt;35,AI55+AH56-AQ55,IF(A56&lt;'Données projet'!$A$62,$AF$205^A56,IF(A56='Données projet'!$A$62,'Données projet'!$B$62,AI55+AH56-AQ55)))</f>
        <v>218.98</v>
      </c>
      <c r="AJ56" s="14">
        <f>AI56*VLOOKUP('Données projet'!$B$10,Paramètres!$A$1:$I$89,3,0)*VLOOKUP('Données projet'!$B$10,Paramètres!$A$1:$I$89,5,0)</f>
        <v>113.86960000000001</v>
      </c>
      <c r="AK56" s="14">
        <f t="shared" si="35"/>
        <v>30.240849901251988</v>
      </c>
      <c r="AL56" s="22">
        <f t="shared" si="4"/>
        <v>250.9923669113472</v>
      </c>
      <c r="AM56" s="60">
        <f t="shared" si="5"/>
        <v>489.21360845194437</v>
      </c>
      <c r="AN56" s="60">
        <f ca="1">AVERAGE(OFFSET($AM$3,0,0,'Données projet'!$E$10+1,1))-AVERAGE(OFFSET($H$3,0,0,'Données projet'!$E$10+1,1))</f>
        <v>300.72820267660154</v>
      </c>
      <c r="AO56" s="60">
        <f t="shared" si="36"/>
        <v>228.35388778608589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4.9549450549450569</v>
      </c>
      <c r="BD56" s="13">
        <f>IF('Données projet'!$A$88&gt;35,BD55+BC56-BL55,IF(A56&lt;'Données projet'!$A$88,$BA$205^A56,IF(A56='Données projet'!$A$88,'Données projet'!$B$88,BD55+BC56-BL55)))</f>
        <v>118.27802197802202</v>
      </c>
      <c r="BE56" s="14">
        <f>BD56*VLOOKUP('Données projet'!$B$11,Paramètres!$A$1:$I$89,3,0)*VLOOKUP('Données projet'!$B$11,Paramètres!$A$1:$I$89,5,0)</f>
        <v>69.192642857142886</v>
      </c>
      <c r="BF56" s="14">
        <f t="shared" si="37"/>
        <v>19.472827172380715</v>
      </c>
      <c r="BG56" s="22">
        <f t="shared" si="7"/>
        <v>154.42569363475363</v>
      </c>
      <c r="BH56" s="60">
        <f t="shared" si="8"/>
        <v>392.64693517535079</v>
      </c>
      <c r="BI56" s="60">
        <f ca="1">AVERAGE(OFFSET($BH$3,0,0,'Données projet'!$E$11+1,1))-AVERAGE(OFFSET($H$3,0,0,'Données projet'!$E$11+1,1))</f>
        <v>221.18884567967481</v>
      </c>
      <c r="BJ56" s="60">
        <f t="shared" si="38"/>
        <v>189.31596996710888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1.7724999999999995</v>
      </c>
      <c r="BY56" s="13">
        <f>IF('Données projet'!$A$114&gt;35,BY55+BX56-CG55,IF(A56&lt;'Données projet'!$A$114,$BV$205^A56,IF(A56='Données projet'!$A$114,'Données projet'!$B$114,BY55+BX56-CG55)))</f>
        <v>71.955000000000013</v>
      </c>
      <c r="BZ56" s="14">
        <f>BY56*VLOOKUP('Données projet'!$B$12,Paramètres!$A$1:$I$89,3,0)*VLOOKUP('Données projet'!$B$12,Paramètres!$A$1:$I$89,5,0)</f>
        <v>82.892160000000004</v>
      </c>
      <c r="CA56" s="14">
        <f t="shared" si="39"/>
        <v>22.842864054032365</v>
      </c>
      <c r="CB56" s="22">
        <f t="shared" si="10"/>
        <v>184.15516689410637</v>
      </c>
      <c r="CC56" s="60">
        <f t="shared" si="11"/>
        <v>422.37640843470354</v>
      </c>
      <c r="CD56" s="60">
        <f ca="1">AVERAGE(OFFSET($CC$3,0,0,'Données projet'!$E$12+1,1))-AVERAGE(OFFSET($H$3,0,0,'Données projet'!$E$12+1,1))</f>
        <v>314.72063458462026</v>
      </c>
      <c r="CE56" s="60">
        <f t="shared" si="40"/>
        <v>216.4380325968244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137.79999999999995</v>
      </c>
      <c r="CU56" s="18">
        <f>CT56*VLOOKUP('Données projet'!$B$13,Paramètres!$A$1:$I$89,3,0)*VLOOKUP('Données projet'!$B$13,Paramètres!$A$1:$I$89,5,0)</f>
        <v>148.32791999999995</v>
      </c>
      <c r="CV56" s="14">
        <f t="shared" si="41"/>
        <v>38.198351889603472</v>
      </c>
      <c r="CW56" s="22">
        <f t="shared" si="13"/>
        <v>324.86659020772595</v>
      </c>
      <c r="CX56" s="60">
        <f t="shared" si="14"/>
        <v>563.08783174832308</v>
      </c>
      <c r="CY56" s="60">
        <f ca="1">AVERAGE(OFFSET($CX$3,0,0,'Données projet'!$E$13+1,1))-AVERAGE(OFFSET($H$3,0,0,'Données projet'!$E$13+1,1))</f>
        <v>465.51503238626822</v>
      </c>
      <c r="CZ56" s="60">
        <f t="shared" si="42"/>
        <v>205.55320107663496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</v>
      </c>
      <c r="DO56" s="13">
        <f>IF('Données projet'!$A$166&gt;35,DO55+DN56-DW55,IF(A56&lt;'Données projet'!$A$166,$DL$205^A56,IF(A56='Données projet'!$A$166,'Données projet'!$B$166,DO55+DN56-DW55)))</f>
        <v>137.79999999999995</v>
      </c>
      <c r="DP56" s="18">
        <f>DO56*VLOOKUP('Données projet'!$B$14,Paramètres!$A$1:$I$89,3,0)*VLOOKUP('Données projet'!$B$14,Paramètres!$A$1:$I$89,5,0)</f>
        <v>118.23239999999997</v>
      </c>
      <c r="DQ56" s="14">
        <f t="shared" si="43"/>
        <v>31.262380240973179</v>
      </c>
      <c r="DR56" s="22">
        <f t="shared" si="16"/>
        <v>260.37007558636151</v>
      </c>
      <c r="DS56" s="60">
        <f t="shared" si="17"/>
        <v>498.59131712695864</v>
      </c>
      <c r="DT56" s="60">
        <f ca="1">AVERAGE(OFFSET($DS$3,0,0,'Données projet'!$E$14+1,1))-AVERAGE(OFFSET($H$3,0,0,'Données projet'!$E$14+1,1))</f>
        <v>393.79546872270964</v>
      </c>
      <c r="DU56" s="60">
        <f t="shared" si="44"/>
        <v>179.7333990060757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135.66666666666666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6.4369230769230796</v>
      </c>
      <c r="N57" s="14">
        <f>IF('Données projet'!$A$36&gt;35,N56+M57-V56,IF(A57&lt;'Données projet'!$A$36,$K$205^A57,IF(A57='Données projet'!$A$36,'Données projet'!$B$36,N56+M57-V56)))</f>
        <v>192.70923076923074</v>
      </c>
      <c r="O57" s="14">
        <f>N57*VLOOKUP('Données projet'!$B$9,Paramètres!$A$1:$I$89,3,0)*VLOOKUP('Données projet'!$B$9,Paramètres!$A$1:$I$89,5,0)</f>
        <v>90.187919999999991</v>
      </c>
      <c r="P57" s="14">
        <f t="shared" si="33"/>
        <v>24.610541269505145</v>
      </c>
      <c r="Q57" s="22">
        <f t="shared" si="53"/>
        <v>199.94065337772145</v>
      </c>
      <c r="R57" s="60">
        <f t="shared" si="0"/>
        <v>439.11796649874384</v>
      </c>
      <c r="S57" s="60">
        <f ca="1">AVERAGE(OFFSET($R$3,0,0,'Données projet'!$E$9+1,1))-AVERAGE(OFFSET($H$3,0,0,'Données projet'!$E$9+1,1))</f>
        <v>291.44524568678776</v>
      </c>
      <c r="T57" s="60">
        <f t="shared" si="34"/>
        <v>136.43373205899937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3.2600000000000025</v>
      </c>
      <c r="AI57" s="14">
        <f>IF('Données projet'!$A$62&gt;35,AI56+AH57-AQ56,IF(A57&lt;'Données projet'!$A$62,$AF$205^A57,IF(A57='Données projet'!$A$62,'Données projet'!$B$62,AI56+AH57-AQ56)))</f>
        <v>222.23999999999998</v>
      </c>
      <c r="AJ57" s="14">
        <f>AI57*VLOOKUP('Données projet'!$B$10,Paramètres!$A$1:$I$89,3,0)*VLOOKUP('Données projet'!$B$10,Paramètres!$A$1:$I$89,5,0)</f>
        <v>115.56480000000001</v>
      </c>
      <c r="AK57" s="14">
        <f t="shared" si="35"/>
        <v>30.638305361236469</v>
      </c>
      <c r="AL57" s="22">
        <f t="shared" si="4"/>
        <v>254.63707517082017</v>
      </c>
      <c r="AM57" s="60">
        <f t="shared" si="5"/>
        <v>493.81438829184253</v>
      </c>
      <c r="AN57" s="60">
        <f ca="1">AVERAGE(OFFSET($AM$3,0,0,'Données projet'!$E$10+1,1))-AVERAGE(OFFSET($H$3,0,0,'Données projet'!$E$10+1,1))</f>
        <v>300.72820267660154</v>
      </c>
      <c r="AO57" s="60">
        <f t="shared" si="36"/>
        <v>228.35388778608589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4.9549450549450569</v>
      </c>
      <c r="BD57" s="13">
        <f>IF('Données projet'!$A$88&gt;35,BD56+BC57-BL56,IF(A57&lt;'Données projet'!$A$88,$BA$205^A57,IF(A57='Données projet'!$A$88,'Données projet'!$B$88,BD56+BC57-BL56)))</f>
        <v>123.23296703296708</v>
      </c>
      <c r="BE57" s="14">
        <f>BD57*VLOOKUP('Données projet'!$B$11,Paramètres!$A$1:$I$89,3,0)*VLOOKUP('Données projet'!$B$11,Paramètres!$A$1:$I$89,5,0)</f>
        <v>72.091285714285746</v>
      </c>
      <c r="BF57" s="14">
        <f t="shared" si="37"/>
        <v>20.191904399149117</v>
      </c>
      <c r="BG57" s="22">
        <f t="shared" si="7"/>
        <v>160.72655611423238</v>
      </c>
      <c r="BH57" s="60">
        <f t="shared" si="8"/>
        <v>399.90386923525477</v>
      </c>
      <c r="BI57" s="60">
        <f ca="1">AVERAGE(OFFSET($BH$3,0,0,'Données projet'!$E$11+1,1))-AVERAGE(OFFSET($H$3,0,0,'Données projet'!$E$11+1,1))</f>
        <v>221.18884567967481</v>
      </c>
      <c r="BJ57" s="60">
        <f t="shared" si="38"/>
        <v>189.31596996710888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1.7724999999999995</v>
      </c>
      <c r="BY57" s="13">
        <f>IF('Données projet'!$A$114&gt;35,BY56+BX57-CG56,IF(A57&lt;'Données projet'!$A$114,$BV$205^A57,IF(A57='Données projet'!$A$114,'Données projet'!$B$114,BY56+BX57-CG56)))</f>
        <v>73.727500000000006</v>
      </c>
      <c r="BZ57" s="14">
        <f>BY57*VLOOKUP('Données projet'!$B$12,Paramètres!$A$1:$I$89,3,0)*VLOOKUP('Données projet'!$B$12,Paramètres!$A$1:$I$89,5,0)</f>
        <v>84.934080000000009</v>
      </c>
      <c r="CA57" s="14">
        <f t="shared" si="39"/>
        <v>23.339358152569286</v>
      </c>
      <c r="CB57" s="22">
        <f t="shared" si="10"/>
        <v>188.57623811572486</v>
      </c>
      <c r="CC57" s="60">
        <f t="shared" si="11"/>
        <v>427.75355123674728</v>
      </c>
      <c r="CD57" s="60">
        <f ca="1">AVERAGE(OFFSET($CC$3,0,0,'Données projet'!$E$12+1,1))-AVERAGE(OFFSET($H$3,0,0,'Données projet'!$E$12+1,1))</f>
        <v>314.72063458462026</v>
      </c>
      <c r="CE57" s="60">
        <f t="shared" si="40"/>
        <v>216.4380325968244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143.39999999999995</v>
      </c>
      <c r="CU57" s="18">
        <f>CT57*VLOOKUP('Données projet'!$B$13,Paramètres!$A$1:$I$89,3,0)*VLOOKUP('Données projet'!$B$13,Paramètres!$A$1:$I$89,5,0)</f>
        <v>154.35575999999995</v>
      </c>
      <c r="CV57" s="14">
        <f t="shared" si="41"/>
        <v>39.566792614262397</v>
      </c>
      <c r="CW57" s="22">
        <f t="shared" si="13"/>
        <v>337.74844580317352</v>
      </c>
      <c r="CX57" s="60">
        <f t="shared" si="14"/>
        <v>576.92575892419586</v>
      </c>
      <c r="CY57" s="60">
        <f ca="1">AVERAGE(OFFSET($CX$3,0,0,'Données projet'!$E$13+1,1))-AVERAGE(OFFSET($H$3,0,0,'Données projet'!$E$13+1,1))</f>
        <v>465.51503238626822</v>
      </c>
      <c r="CZ57" s="60">
        <f t="shared" si="42"/>
        <v>205.55320107663496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</v>
      </c>
      <c r="DO57" s="13">
        <f>IF('Données projet'!$A$166&gt;35,DO56+DN57-DW56,IF(A57&lt;'Données projet'!$A$166,$DL$205^A57,IF(A57='Données projet'!$A$166,'Données projet'!$B$166,DO56+DN57-DW56)))</f>
        <v>143.39999999999995</v>
      </c>
      <c r="DP57" s="18">
        <f>DO57*VLOOKUP('Données projet'!$B$14,Paramètres!$A$1:$I$89,3,0)*VLOOKUP('Données projet'!$B$14,Paramètres!$A$1:$I$89,5,0)</f>
        <v>123.03719999999997</v>
      </c>
      <c r="DQ57" s="14">
        <f t="shared" si="43"/>
        <v>32.382342547073712</v>
      </c>
      <c r="DR57" s="22">
        <f t="shared" si="16"/>
        <v>270.68903660282001</v>
      </c>
      <c r="DS57" s="60">
        <f t="shared" si="17"/>
        <v>509.8663497238424</v>
      </c>
      <c r="DT57" s="60">
        <f ca="1">AVERAGE(OFFSET($DS$3,0,0,'Données projet'!$E$14+1,1))-AVERAGE(OFFSET($H$3,0,0,'Données projet'!$E$14+1,1))</f>
        <v>393.79546872270964</v>
      </c>
      <c r="DU57" s="60">
        <f t="shared" si="44"/>
        <v>179.7333990060757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135.66666666666666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6.4369230769230796</v>
      </c>
      <c r="N58" s="14">
        <f>IF('Données projet'!$A$36&gt;35,N57+M58-V57,IF(A58&lt;'Données projet'!$A$36,$K$205^A58,IF(A58='Données projet'!$A$36,'Données projet'!$B$36,N57+M58-V57)))</f>
        <v>199.14615384615382</v>
      </c>
      <c r="O58" s="14">
        <f>N58*VLOOKUP('Données projet'!$B$9,Paramètres!$A$1:$I$89,3,0)*VLOOKUP('Données projet'!$B$9,Paramètres!$A$1:$I$89,5,0)</f>
        <v>93.200400000000002</v>
      </c>
      <c r="P58" s="14">
        <f t="shared" si="33"/>
        <v>25.335507724195839</v>
      </c>
      <c r="Q58" s="22">
        <f t="shared" si="53"/>
        <v>206.45003928630774</v>
      </c>
      <c r="R58" s="60">
        <f t="shared" si="0"/>
        <v>446.56683828329085</v>
      </c>
      <c r="S58" s="60">
        <f ca="1">AVERAGE(OFFSET($R$3,0,0,'Données projet'!$E$9+1,1))-AVERAGE(OFFSET($H$3,0,0,'Données projet'!$E$9+1,1))</f>
        <v>291.44524568678776</v>
      </c>
      <c r="T58" s="60">
        <f t="shared" si="34"/>
        <v>136.43373205899937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225.5</v>
      </c>
      <c r="AG58" s="13">
        <f>VLOOKUP(A58,'Données projet'!$A$61:$I$81,9,0)</f>
        <v>3.2600000000000025</v>
      </c>
      <c r="AH58" s="13">
        <f t="array" ref="AH58">INDEX(AG:AG,MIN(IF(ISNUMBER(AG58:AG254),ROW(AG58:AG254),"")))</f>
        <v>3.2600000000000025</v>
      </c>
      <c r="AI58" s="14">
        <f>IF('Données projet'!$A$62&gt;35,AI57+AH58-AQ57,IF(A58&lt;'Données projet'!$A$62,$AF$205^A58,IF(A58='Données projet'!$A$62,'Données projet'!$B$62,AI57+AH58-AQ57)))</f>
        <v>225.49999999999997</v>
      </c>
      <c r="AJ58" s="14">
        <f>AI58*VLOOKUP('Données projet'!$B$10,Paramètres!$A$1:$I$89,3,0)*VLOOKUP('Données projet'!$B$10,Paramètres!$A$1:$I$89,5,0)</f>
        <v>117.25999999999999</v>
      </c>
      <c r="AK58" s="14">
        <f t="shared" si="35"/>
        <v>31.035082738664709</v>
      </c>
      <c r="AL58" s="22">
        <f t="shared" si="4"/>
        <v>258.28060243650765</v>
      </c>
      <c r="AM58" s="60">
        <f t="shared" si="5"/>
        <v>498.39740143349081</v>
      </c>
      <c r="AN58" s="60">
        <f ca="1">AVERAGE(OFFSET($AM$3,0,0,'Données projet'!$E$10+1,1))-AVERAGE(OFFSET($H$3,0,0,'Données projet'!$E$10+1,1))</f>
        <v>300.72820267660154</v>
      </c>
      <c r="AO58" s="60">
        <f t="shared" si="36"/>
        <v>228.35388778608589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4.9549450549450569</v>
      </c>
      <c r="BD58" s="13">
        <f>IF('Données projet'!$A$88&gt;35,BD57+BC58-BL57,IF(A58&lt;'Données projet'!$A$88,$BA$205^A58,IF(A58='Données projet'!$A$88,'Données projet'!$B$88,BD57+BC58-BL57)))</f>
        <v>128.18791208791214</v>
      </c>
      <c r="BE58" s="14">
        <f>BD58*VLOOKUP('Données projet'!$B$11,Paramètres!$A$1:$I$89,3,0)*VLOOKUP('Données projet'!$B$11,Paramètres!$A$1:$I$89,5,0)</f>
        <v>74.989928571428607</v>
      </c>
      <c r="BF58" s="14">
        <f t="shared" si="37"/>
        <v>20.907623104191963</v>
      </c>
      <c r="BG58" s="22">
        <f t="shared" si="7"/>
        <v>167.02156916837251</v>
      </c>
      <c r="BH58" s="60">
        <f t="shared" si="8"/>
        <v>407.13836816535564</v>
      </c>
      <c r="BI58" s="60">
        <f ca="1">AVERAGE(OFFSET($BH$3,0,0,'Données projet'!$E$11+1,1))-AVERAGE(OFFSET($H$3,0,0,'Données projet'!$E$11+1,1))</f>
        <v>221.18884567967481</v>
      </c>
      <c r="BJ58" s="60">
        <f t="shared" si="38"/>
        <v>189.31596996710888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1.7724999999999995</v>
      </c>
      <c r="BY58" s="13">
        <f>IF('Données projet'!$A$114&gt;35,BY57+BX58-CG57,IF(A58&lt;'Données projet'!$A$114,$BV$205^A58,IF(A58='Données projet'!$A$114,'Données projet'!$B$114,BY57+BX58-CG57)))</f>
        <v>75.5</v>
      </c>
      <c r="BZ58" s="14">
        <f>BY58*VLOOKUP('Données projet'!$B$12,Paramètres!$A$1:$I$89,3,0)*VLOOKUP('Données projet'!$B$12,Paramètres!$A$1:$I$89,5,0)</f>
        <v>86.975999999999999</v>
      </c>
      <c r="CA58" s="14">
        <f t="shared" si="39"/>
        <v>23.834464663215773</v>
      </c>
      <c r="CB58" s="22">
        <f t="shared" si="10"/>
        <v>192.99489262176746</v>
      </c>
      <c r="CC58" s="60">
        <f t="shared" si="11"/>
        <v>433.11169161875057</v>
      </c>
      <c r="CD58" s="60">
        <f ca="1">AVERAGE(OFFSET($CC$3,0,0,'Données projet'!$E$12+1,1))-AVERAGE(OFFSET($H$3,0,0,'Données projet'!$E$12+1,1))</f>
        <v>314.72063458462026</v>
      </c>
      <c r="CE58" s="60">
        <f t="shared" si="40"/>
        <v>216.4380325968244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149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148.99999999999994</v>
      </c>
      <c r="CU58" s="18">
        <f>CT58*VLOOKUP('Données projet'!$B$13,Paramètres!$A$1:$I$89,3,0)*VLOOKUP('Données projet'!$B$13,Paramètres!$A$1:$I$89,5,0)</f>
        <v>160.38359999999994</v>
      </c>
      <c r="CV58" s="14">
        <f t="shared" si="41"/>
        <v>40.929025395397851</v>
      </c>
      <c r="CW58" s="22">
        <f t="shared" si="13"/>
        <v>350.61948923031781</v>
      </c>
      <c r="CX58" s="60">
        <f t="shared" si="14"/>
        <v>590.73628822730097</v>
      </c>
      <c r="CY58" s="60">
        <f ca="1">AVERAGE(OFFSET($CX$3,0,0,'Données projet'!$E$13+1,1))-AVERAGE(OFFSET($H$3,0,0,'Données projet'!$E$13+1,1))</f>
        <v>465.51503238626822</v>
      </c>
      <c r="CZ58" s="60">
        <f t="shared" si="42"/>
        <v>205.55320107663496</v>
      </c>
      <c r="DA58" s="16">
        <f>IF(ISNA(VLOOKUP(A58,'Données projet'!$A$139:$I$159,3,0)),0,VLOOKUP(A58,'Données projet'!$A$139:$I$159,3,0))</f>
        <v>3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149</v>
      </c>
      <c r="DM58" s="13">
        <f>VLOOKUP(A58,'Données projet'!$A$165:$I$185,9,0)</f>
        <v>5.6</v>
      </c>
      <c r="DN58" s="13">
        <f t="array" ref="DN58">INDEX(DM:DM,MIN(IF(ISNUMBER(DM58:DM254),ROW(DM58:DM254),"")))</f>
        <v>5.6</v>
      </c>
      <c r="DO58" s="13">
        <f>IF('Données projet'!$A$166&gt;35,DO57+DN58-DW57,IF(A58&lt;'Données projet'!$A$166,$DL$205^A58,IF(A58='Données projet'!$A$166,'Données projet'!$B$166,DO57+DN58-DW57)))</f>
        <v>148.99999999999994</v>
      </c>
      <c r="DP58" s="18">
        <f>DO58*VLOOKUP('Données projet'!$B$14,Paramètres!$A$1:$I$89,3,0)*VLOOKUP('Données projet'!$B$14,Paramètres!$A$1:$I$89,5,0)</f>
        <v>127.84199999999997</v>
      </c>
      <c r="DQ58" s="14">
        <f t="shared" si="43"/>
        <v>33.497224134207478</v>
      </c>
      <c r="DR58" s="22">
        <f t="shared" si="16"/>
        <v>280.9991487004113</v>
      </c>
      <c r="DS58" s="60">
        <f t="shared" si="17"/>
        <v>521.1159476973944</v>
      </c>
      <c r="DT58" s="60">
        <f ca="1">AVERAGE(OFFSET($DS$3,0,0,'Données projet'!$E$14+1,1))-AVERAGE(OFFSET($H$3,0,0,'Données projet'!$E$14+1,1))</f>
        <v>393.79546872270964</v>
      </c>
      <c r="DU58" s="60">
        <f t="shared" si="44"/>
        <v>179.7333990060757</v>
      </c>
      <c r="DV58" s="16">
        <f>IF(ISNA(VLOOKUP(A58,'Données projet'!$A$165:$I$185,3,0)),0,VLOOKUP(A58,'Données projet'!$A$165:$I$185,3,0))</f>
        <v>3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135.66666666666666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6.4369230769230796</v>
      </c>
      <c r="N59" s="14">
        <f>IF('Données projet'!$A$36&gt;35,N58+M59-V58,IF(A59&lt;'Données projet'!$A$36,$K$205^A59,IF(A59='Données projet'!$A$36,'Données projet'!$B$36,N58+M59-V58)))</f>
        <v>205.5830769230769</v>
      </c>
      <c r="O59" s="14">
        <f>N59*VLOOKUP('Données projet'!$B$9,Paramètres!$A$1:$I$89,3,0)*VLOOKUP('Données projet'!$B$9,Paramètres!$A$1:$I$89,5,0)</f>
        <v>96.212879999999984</v>
      </c>
      <c r="P59" s="14">
        <f t="shared" si="33"/>
        <v>26.057751223914611</v>
      </c>
      <c r="Q59" s="22">
        <f t="shared" si="53"/>
        <v>212.95468271498456</v>
      </c>
      <c r="R59" s="60">
        <f t="shared" si="0"/>
        <v>453.99466960835616</v>
      </c>
      <c r="S59" s="60">
        <f ca="1">AVERAGE(OFFSET($R$3,0,0,'Données projet'!$E$9+1,1))-AVERAGE(OFFSET($H$3,0,0,'Données projet'!$E$9+1,1))</f>
        <v>291.44524568678776</v>
      </c>
      <c r="T59" s="60">
        <f t="shared" si="34"/>
        <v>136.43373205899937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</v>
      </c>
      <c r="AI59" s="14">
        <f>IF('Données projet'!$A$62&gt;35,AI58+AH59-AQ58,IF(A59&lt;'Données projet'!$A$62,$AF$205^A59,IF(A59='Données projet'!$A$62,'Données projet'!$B$62,AI58+AH59-AQ58)))</f>
        <v>228.49999999999997</v>
      </c>
      <c r="AJ59" s="14">
        <f>AI59*VLOOKUP('Données projet'!$B$10,Paramètres!$A$1:$I$89,3,0)*VLOOKUP('Données projet'!$B$10,Paramètres!$A$1:$I$89,5,0)</f>
        <v>118.82</v>
      </c>
      <c r="AK59" s="14">
        <f t="shared" si="35"/>
        <v>31.399625586642003</v>
      </c>
      <c r="AL59" s="22">
        <f t="shared" si="4"/>
        <v>261.63251456340146</v>
      </c>
      <c r="AM59" s="60">
        <f t="shared" si="5"/>
        <v>502.67250145677309</v>
      </c>
      <c r="AN59" s="60">
        <f ca="1">AVERAGE(OFFSET($AM$3,0,0,'Données projet'!$E$10+1,1))-AVERAGE(OFFSET($H$3,0,0,'Données projet'!$E$10+1,1))</f>
        <v>300.72820267660154</v>
      </c>
      <c r="AO59" s="60">
        <f t="shared" si="36"/>
        <v>228.35388778608589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4.9549450549450569</v>
      </c>
      <c r="BD59" s="13">
        <f>IF('Données projet'!$A$88&gt;35,BD58+BC59-BL58,IF(A59&lt;'Données projet'!$A$88,$BA$205^A59,IF(A59='Données projet'!$A$88,'Données projet'!$B$88,BD58+BC59-BL58)))</f>
        <v>133.1428571428572</v>
      </c>
      <c r="BE59" s="14">
        <f>BD59*VLOOKUP('Données projet'!$B$11,Paramètres!$A$1:$I$89,3,0)*VLOOKUP('Données projet'!$B$11,Paramètres!$A$1:$I$89,5,0)</f>
        <v>77.888571428571467</v>
      </c>
      <c r="BF59" s="14">
        <f t="shared" si="37"/>
        <v>21.620127965814167</v>
      </c>
      <c r="BG59" s="22">
        <f t="shared" si="7"/>
        <v>173.31098477855497</v>
      </c>
      <c r="BH59" s="60">
        <f t="shared" si="8"/>
        <v>414.35097167192657</v>
      </c>
      <c r="BI59" s="60">
        <f ca="1">AVERAGE(OFFSET($BH$3,0,0,'Données projet'!$E$11+1,1))-AVERAGE(OFFSET($H$3,0,0,'Données projet'!$E$11+1,1))</f>
        <v>221.18884567967481</v>
      </c>
      <c r="BJ59" s="60">
        <f t="shared" si="38"/>
        <v>189.31596996710888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1.7724999999999995</v>
      </c>
      <c r="BY59" s="13">
        <f>IF('Données projet'!$A$114&gt;35,BY58+BX59-CG58,IF(A59&lt;'Données projet'!$A$114,$BV$205^A59,IF(A59='Données projet'!$A$114,'Données projet'!$B$114,BY58+BX59-CG58)))</f>
        <v>77.272499999999994</v>
      </c>
      <c r="BZ59" s="14">
        <f>BY59*VLOOKUP('Données projet'!$B$12,Paramètres!$A$1:$I$89,3,0)*VLOOKUP('Données projet'!$B$12,Paramètres!$A$1:$I$89,5,0)</f>
        <v>89.017919999999989</v>
      </c>
      <c r="CA59" s="14">
        <f t="shared" si="39"/>
        <v>24.328219911088187</v>
      </c>
      <c r="CB59" s="22">
        <f t="shared" si="10"/>
        <v>197.41119367847855</v>
      </c>
      <c r="CC59" s="60">
        <f t="shared" si="11"/>
        <v>438.45118057185016</v>
      </c>
      <c r="CD59" s="60">
        <f ca="1">AVERAGE(OFFSET($CC$3,0,0,'Données projet'!$E$12+1,1))-AVERAGE(OFFSET($H$3,0,0,'Données projet'!$E$12+1,1))</f>
        <v>314.72063458462026</v>
      </c>
      <c r="CE59" s="60">
        <f t="shared" si="40"/>
        <v>216.4380325968244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5.4</v>
      </c>
      <c r="CT59" s="13">
        <f>IF('Données projet'!$A$140&gt;35,CT58+CS59-DB58,IF(A59&lt;'Données projet'!$A$140,$CQ$205^A59,IF(A59='Données projet'!$A$140,'Données projet'!$B$140,CT58+CS59-DB58)))</f>
        <v>126.39999999999995</v>
      </c>
      <c r="CU59" s="18">
        <f>CT59*VLOOKUP('Données projet'!$B$13,Paramètres!$A$1:$I$89,3,0)*VLOOKUP('Données projet'!$B$13,Paramètres!$A$1:$I$89,5,0)</f>
        <v>136.05695999999992</v>
      </c>
      <c r="CV59" s="14">
        <f t="shared" si="41"/>
        <v>35.392213985322201</v>
      </c>
      <c r="CW59" s="22">
        <f t="shared" si="13"/>
        <v>298.60731135776933</v>
      </c>
      <c r="CX59" s="60">
        <f t="shared" si="14"/>
        <v>539.64729825114091</v>
      </c>
      <c r="CY59" s="60">
        <f ca="1">AVERAGE(OFFSET($CX$3,0,0,'Données projet'!$E$13+1,1))-AVERAGE(OFFSET($H$3,0,0,'Données projet'!$E$13+1,1))</f>
        <v>465.51503238626822</v>
      </c>
      <c r="CZ59" s="60">
        <f t="shared" si="42"/>
        <v>205.55320107663496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5.4</v>
      </c>
      <c r="DO59" s="13">
        <f>IF('Données projet'!$A$166&gt;35,DO58+DN59-DW58,IF(A59&lt;'Données projet'!$A$166,$DL$205^A59,IF(A59='Données projet'!$A$166,'Données projet'!$B$166,DO58+DN59-DW58)))</f>
        <v>126.39999999999995</v>
      </c>
      <c r="DP59" s="18">
        <f>DO59*VLOOKUP('Données projet'!$B$14,Paramètres!$A$1:$I$89,3,0)*VLOOKUP('Données projet'!$B$14,Paramètres!$A$1:$I$89,5,0)</f>
        <v>108.45119999999997</v>
      </c>
      <c r="DQ59" s="14">
        <f t="shared" si="43"/>
        <v>28.965774606630994</v>
      </c>
      <c r="DR59" s="22">
        <f t="shared" si="16"/>
        <v>239.33456410654892</v>
      </c>
      <c r="DS59" s="60">
        <f t="shared" si="17"/>
        <v>480.37455099992053</v>
      </c>
      <c r="DT59" s="60">
        <f ca="1">AVERAGE(OFFSET($DS$3,0,0,'Données projet'!$E$14+1,1))-AVERAGE(OFFSET($H$3,0,0,'Données projet'!$E$14+1,1))</f>
        <v>393.79546872270964</v>
      </c>
      <c r="DU59" s="60">
        <f t="shared" si="44"/>
        <v>179.7333990060757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135.66666666666666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6.4369230769230796</v>
      </c>
      <c r="N60" s="14">
        <f>IF('Données projet'!$A$36&gt;35,N59+M60-V59,IF(A60&lt;'Données projet'!$A$36,$K$205^A60,IF(A60='Données projet'!$A$36,'Données projet'!$B$36,N59+M60-V59)))</f>
        <v>212.01999999999998</v>
      </c>
      <c r="O60" s="14">
        <f>N60*VLOOKUP('Données projet'!$B$9,Paramètres!$A$1:$I$89,3,0)*VLOOKUP('Données projet'!$B$9,Paramètres!$A$1:$I$89,5,0)</f>
        <v>99.225359999999995</v>
      </c>
      <c r="P60" s="14">
        <f t="shared" si="33"/>
        <v>26.777366808151022</v>
      </c>
      <c r="Q60" s="22">
        <f t="shared" si="53"/>
        <v>219.454749190863</v>
      </c>
      <c r="R60" s="60">
        <f t="shared" si="0"/>
        <v>461.40190873455981</v>
      </c>
      <c r="S60" s="60">
        <f ca="1">AVERAGE(OFFSET($R$3,0,0,'Données projet'!$E$9+1,1))-AVERAGE(OFFSET($H$3,0,0,'Données projet'!$E$9+1,1))</f>
        <v>291.44524568678776</v>
      </c>
      <c r="T60" s="60">
        <f t="shared" si="34"/>
        <v>136.43373205899937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</v>
      </c>
      <c r="AI60" s="14">
        <f>IF('Données projet'!$A$62&gt;35,AI59+AH60-AQ59,IF(A60&lt;'Données projet'!$A$62,$AF$205^A60,IF(A60='Données projet'!$A$62,'Données projet'!$B$62,AI59+AH60-AQ59)))</f>
        <v>231.49999999999997</v>
      </c>
      <c r="AJ60" s="14">
        <f>AI60*VLOOKUP('Données projet'!$B$10,Paramètres!$A$1:$I$89,3,0)*VLOOKUP('Données projet'!$B$10,Paramètres!$A$1:$I$89,5,0)</f>
        <v>120.38</v>
      </c>
      <c r="AK60" s="14">
        <f t="shared" si="35"/>
        <v>31.763611738750697</v>
      </c>
      <c r="AL60" s="22">
        <f t="shared" si="4"/>
        <v>264.9834571116574</v>
      </c>
      <c r="AM60" s="60">
        <f t="shared" si="5"/>
        <v>506.93061665535419</v>
      </c>
      <c r="AN60" s="60">
        <f ca="1">AVERAGE(OFFSET($AM$3,0,0,'Données projet'!$E$10+1,1))-AVERAGE(OFFSET($H$3,0,0,'Données projet'!$E$10+1,1))</f>
        <v>300.72820267660154</v>
      </c>
      <c r="AO60" s="60">
        <f t="shared" si="36"/>
        <v>228.35388778608589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4.9549450549450569</v>
      </c>
      <c r="BD60" s="13">
        <f>IF('Données projet'!$A$88&gt;35,BD59+BC60-BL59,IF(A60&lt;'Données projet'!$A$88,$BA$205^A60,IF(A60='Données projet'!$A$88,'Données projet'!$B$88,BD59+BC60-BL59)))</f>
        <v>138.09780219780225</v>
      </c>
      <c r="BE60" s="14">
        <f>BD60*VLOOKUP('Données projet'!$B$11,Paramètres!$A$1:$I$89,3,0)*VLOOKUP('Données projet'!$B$11,Paramètres!$A$1:$I$89,5,0)</f>
        <v>80.787214285714327</v>
      </c>
      <c r="BF60" s="14">
        <f t="shared" si="37"/>
        <v>22.329552283741958</v>
      </c>
      <c r="BG60" s="22">
        <f t="shared" si="7"/>
        <v>179.59503510846969</v>
      </c>
      <c r="BH60" s="60">
        <f t="shared" si="8"/>
        <v>421.54219465216647</v>
      </c>
      <c r="BI60" s="60">
        <f ca="1">AVERAGE(OFFSET($BH$3,0,0,'Données projet'!$E$11+1,1))-AVERAGE(OFFSET($H$3,0,0,'Données projet'!$E$11+1,1))</f>
        <v>221.18884567967481</v>
      </c>
      <c r="BJ60" s="60">
        <f t="shared" si="38"/>
        <v>189.31596996710888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1.7724999999999995</v>
      </c>
      <c r="BY60" s="13">
        <f>IF('Données projet'!$A$114&gt;35,BY59+BX60-CG59,IF(A60&lt;'Données projet'!$A$114,$BV$205^A60,IF(A60='Données projet'!$A$114,'Données projet'!$B$114,BY59+BX60-CG59)))</f>
        <v>79.044999999999987</v>
      </c>
      <c r="BZ60" s="14">
        <f>BY60*VLOOKUP('Données projet'!$B$12,Paramètres!$A$1:$I$89,3,0)*VLOOKUP('Données projet'!$B$12,Paramètres!$A$1:$I$89,5,0)</f>
        <v>91.05983999999998</v>
      </c>
      <c r="CA60" s="14">
        <f t="shared" si="39"/>
        <v>24.820658459728463</v>
      </c>
      <c r="CB60" s="22">
        <f t="shared" si="10"/>
        <v>201.82520148402705</v>
      </c>
      <c r="CC60" s="60">
        <f t="shared" si="11"/>
        <v>443.77236102772383</v>
      </c>
      <c r="CD60" s="60">
        <f ca="1">AVERAGE(OFFSET($CC$3,0,0,'Données projet'!$E$12+1,1))-AVERAGE(OFFSET($H$3,0,0,'Données projet'!$E$12+1,1))</f>
        <v>314.72063458462026</v>
      </c>
      <c r="CE60" s="60">
        <f t="shared" si="40"/>
        <v>216.4380325968244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5.4</v>
      </c>
      <c r="CT60" s="13">
        <f>IF('Données projet'!$A$140&gt;35,CT59+CS60-DB59,IF(A60&lt;'Données projet'!$A$140,$CQ$205^A60,IF(A60='Données projet'!$A$140,'Données projet'!$B$140,CT59+CS60-DB59)))</f>
        <v>131.79999999999995</v>
      </c>
      <c r="CU60" s="18">
        <f>CT60*VLOOKUP('Données projet'!$B$13,Paramètres!$A$1:$I$89,3,0)*VLOOKUP('Données projet'!$B$13,Paramètres!$A$1:$I$89,5,0)</f>
        <v>141.86951999999994</v>
      </c>
      <c r="CV60" s="14">
        <f t="shared" si="41"/>
        <v>36.724955062927357</v>
      </c>
      <c r="CW60" s="22">
        <f t="shared" si="13"/>
        <v>311.05204406793172</v>
      </c>
      <c r="CX60" s="60">
        <f t="shared" si="14"/>
        <v>552.99920361162845</v>
      </c>
      <c r="CY60" s="60">
        <f ca="1">AVERAGE(OFFSET($CX$3,0,0,'Données projet'!$E$13+1,1))-AVERAGE(OFFSET($H$3,0,0,'Données projet'!$E$13+1,1))</f>
        <v>465.51503238626822</v>
      </c>
      <c r="CZ60" s="60">
        <f t="shared" si="42"/>
        <v>205.55320107663496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5.4</v>
      </c>
      <c r="DO60" s="13">
        <f>IF('Données projet'!$A$166&gt;35,DO59+DN60-DW59,IF(A60&lt;'Données projet'!$A$166,$DL$205^A60,IF(A60='Données projet'!$A$166,'Données projet'!$B$166,DO59+DN60-DW59)))</f>
        <v>131.79999999999995</v>
      </c>
      <c r="DP60" s="18">
        <f>DO60*VLOOKUP('Données projet'!$B$14,Paramètres!$A$1:$I$89,3,0)*VLOOKUP('Données projet'!$B$14,Paramètres!$A$1:$I$89,5,0)</f>
        <v>113.08439999999997</v>
      </c>
      <c r="DQ60" s="14">
        <f t="shared" si="43"/>
        <v>30.05651952806824</v>
      </c>
      <c r="DR60" s="22">
        <f t="shared" si="16"/>
        <v>249.30376817805214</v>
      </c>
      <c r="DS60" s="60">
        <f t="shared" si="17"/>
        <v>491.25092772174889</v>
      </c>
      <c r="DT60" s="60">
        <f ca="1">AVERAGE(OFFSET($DS$3,0,0,'Données projet'!$E$14+1,1))-AVERAGE(OFFSET($H$3,0,0,'Données projet'!$E$14+1,1))</f>
        <v>393.79546872270964</v>
      </c>
      <c r="DU60" s="60">
        <f t="shared" si="44"/>
        <v>179.7333990060757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135.66666666666666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6.4369230769230796</v>
      </c>
      <c r="N61" s="14">
        <f>IF('Données projet'!$A$36&gt;35,N60+M61-V60,IF(A61&lt;'Données projet'!$A$36,$K$205^A61,IF(A61='Données projet'!$A$36,'Données projet'!$B$36,N60+M61-V60)))</f>
        <v>218.45692307692306</v>
      </c>
      <c r="O61" s="14">
        <f>N61*VLOOKUP('Données projet'!$B$9,Paramètres!$A$1:$I$89,3,0)*VLOOKUP('Données projet'!$B$9,Paramètres!$A$1:$I$89,5,0)</f>
        <v>102.23783999999999</v>
      </c>
      <c r="P61" s="14">
        <f t="shared" si="33"/>
        <v>27.494443417677562</v>
      </c>
      <c r="Q61" s="22">
        <f t="shared" si="53"/>
        <v>225.95039361912177</v>
      </c>
      <c r="R61" s="60">
        <f t="shared" si="0"/>
        <v>468.78898839579483</v>
      </c>
      <c r="S61" s="60">
        <f ca="1">AVERAGE(OFFSET($R$3,0,0,'Données projet'!$E$9+1,1))-AVERAGE(OFFSET($H$3,0,0,'Données projet'!$E$9+1,1))</f>
        <v>291.44524568678776</v>
      </c>
      <c r="T61" s="60">
        <f t="shared" si="34"/>
        <v>136.43373205899937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</v>
      </c>
      <c r="AI61" s="14">
        <f>IF('Données projet'!$A$62&gt;35,AI60+AH61-AQ60,IF(A61&lt;'Données projet'!$A$62,$AF$205^A61,IF(A61='Données projet'!$A$62,'Données projet'!$B$62,AI60+AH61-AQ60)))</f>
        <v>234.49999999999997</v>
      </c>
      <c r="AJ61" s="14">
        <f>AI61*VLOOKUP('Données projet'!$B$10,Paramètres!$A$1:$I$89,3,0)*VLOOKUP('Données projet'!$B$10,Paramètres!$A$1:$I$89,5,0)</f>
        <v>121.94</v>
      </c>
      <c r="AK61" s="14">
        <f t="shared" si="35"/>
        <v>32.127049243307034</v>
      </c>
      <c r="AL61" s="22">
        <f t="shared" si="4"/>
        <v>268.33344409875974</v>
      </c>
      <c r="AM61" s="60">
        <f t="shared" si="5"/>
        <v>511.1720388754328</v>
      </c>
      <c r="AN61" s="60">
        <f ca="1">AVERAGE(OFFSET($AM$3,0,0,'Données projet'!$E$10+1,1))-AVERAGE(OFFSET($H$3,0,0,'Données projet'!$E$10+1,1))</f>
        <v>300.72820267660154</v>
      </c>
      <c r="AO61" s="60">
        <f t="shared" si="36"/>
        <v>228.35388778608589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4.9549450549450569</v>
      </c>
      <c r="BD61" s="13">
        <f>IF('Données projet'!$A$88&gt;35,BD60+BC61-BL60,IF(A61&lt;'Données projet'!$A$88,$BA$205^A61,IF(A61='Données projet'!$A$88,'Données projet'!$B$88,BD60+BC61-BL60)))</f>
        <v>143.05274725274731</v>
      </c>
      <c r="BE61" s="14">
        <f>BD61*VLOOKUP('Données projet'!$B$11,Paramètres!$A$1:$I$89,3,0)*VLOOKUP('Données projet'!$B$11,Paramètres!$A$1:$I$89,5,0)</f>
        <v>83.685857142857188</v>
      </c>
      <c r="BF61" s="14">
        <f t="shared" si="37"/>
        <v>23.036019249899919</v>
      </c>
      <c r="BG61" s="22">
        <f t="shared" si="7"/>
        <v>185.87393471738528</v>
      </c>
      <c r="BH61" s="60">
        <f t="shared" si="8"/>
        <v>428.71252949405834</v>
      </c>
      <c r="BI61" s="60">
        <f ca="1">AVERAGE(OFFSET($BH$3,0,0,'Données projet'!$E$11+1,1))-AVERAGE(OFFSET($H$3,0,0,'Données projet'!$E$11+1,1))</f>
        <v>221.18884567967481</v>
      </c>
      <c r="BJ61" s="60">
        <f t="shared" si="38"/>
        <v>189.31596996710888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1.7724999999999995</v>
      </c>
      <c r="BY61" s="13">
        <f>IF('Données projet'!$A$114&gt;35,BY60+BX61-CG60,IF(A61&lt;'Données projet'!$A$114,$BV$205^A61,IF(A61='Données projet'!$A$114,'Données projet'!$B$114,BY60+BX61-CG60)))</f>
        <v>80.817499999999981</v>
      </c>
      <c r="BZ61" s="14">
        <f>BY61*VLOOKUP('Données projet'!$B$12,Paramètres!$A$1:$I$89,3,0)*VLOOKUP('Données projet'!$B$12,Paramètres!$A$1:$I$89,5,0)</f>
        <v>93.10175999999997</v>
      </c>
      <c r="CA61" s="14">
        <f t="shared" si="39"/>
        <v>25.311813234087357</v>
      </c>
      <c r="CB61" s="22">
        <f t="shared" si="10"/>
        <v>206.23697338270208</v>
      </c>
      <c r="CC61" s="60">
        <f t="shared" si="11"/>
        <v>449.07556815937511</v>
      </c>
      <c r="CD61" s="60">
        <f ca="1">AVERAGE(OFFSET($CC$3,0,0,'Données projet'!$E$12+1,1))-AVERAGE(OFFSET($H$3,0,0,'Données projet'!$E$12+1,1))</f>
        <v>314.72063458462026</v>
      </c>
      <c r="CE61" s="60">
        <f t="shared" si="40"/>
        <v>216.4380325968244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5.4</v>
      </c>
      <c r="CT61" s="13">
        <f>IF('Données projet'!$A$140&gt;35,CT60+CS61-DB60,IF(A61&lt;'Données projet'!$A$140,$CQ$205^A61,IF(A61='Données projet'!$A$140,'Données projet'!$B$140,CT60+CS61-DB60)))</f>
        <v>137.19999999999996</v>
      </c>
      <c r="CU61" s="18">
        <f>CT61*VLOOKUP('Données projet'!$B$13,Paramètres!$A$1:$I$89,3,0)*VLOOKUP('Données projet'!$B$13,Paramètres!$A$1:$I$89,5,0)</f>
        <v>147.68207999999996</v>
      </c>
      <c r="CV61" s="14">
        <f t="shared" si="41"/>
        <v>38.051353497342525</v>
      </c>
      <c r="CW61" s="22">
        <f t="shared" si="13"/>
        <v>323.48573000787144</v>
      </c>
      <c r="CX61" s="60">
        <f t="shared" si="14"/>
        <v>566.3243247845445</v>
      </c>
      <c r="CY61" s="60">
        <f ca="1">AVERAGE(OFFSET($CX$3,0,0,'Données projet'!$E$13+1,1))-AVERAGE(OFFSET($H$3,0,0,'Données projet'!$E$13+1,1))</f>
        <v>465.51503238626822</v>
      </c>
      <c r="CZ61" s="60">
        <f t="shared" si="42"/>
        <v>205.55320107663496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5.4</v>
      </c>
      <c r="DO61" s="13">
        <f>IF('Données projet'!$A$166&gt;35,DO60+DN61-DW60,IF(A61&lt;'Données projet'!$A$166,$DL$205^A61,IF(A61='Données projet'!$A$166,'Données projet'!$B$166,DO60+DN61-DW60)))</f>
        <v>137.19999999999996</v>
      </c>
      <c r="DP61" s="18">
        <f>DO61*VLOOKUP('Données projet'!$B$14,Paramètres!$A$1:$I$89,3,0)*VLOOKUP('Données projet'!$B$14,Paramètres!$A$1:$I$89,5,0)</f>
        <v>117.71759999999998</v>
      </c>
      <c r="DQ61" s="14">
        <f t="shared" si="43"/>
        <v>31.14207348933753</v>
      </c>
      <c r="DR61" s="22">
        <f t="shared" si="16"/>
        <v>259.26393132726281</v>
      </c>
      <c r="DS61" s="60">
        <f t="shared" si="17"/>
        <v>502.10252610393582</v>
      </c>
      <c r="DT61" s="60">
        <f ca="1">AVERAGE(OFFSET($DS$3,0,0,'Données projet'!$E$14+1,1))-AVERAGE(OFFSET($H$3,0,0,'Données projet'!$E$14+1,1))</f>
        <v>393.79546872270964</v>
      </c>
      <c r="DU61" s="60">
        <f t="shared" si="44"/>
        <v>179.7333990060757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135.66666666666666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6.4369230769230796</v>
      </c>
      <c r="N62" s="14">
        <f>IF('Données projet'!$A$36&gt;35,N61+M62-V61,IF(A62&lt;'Données projet'!$A$36,$K$205^A62,IF(A62='Données projet'!$A$36,'Données projet'!$B$36,N61+M62-V61)))</f>
        <v>224.89384615384614</v>
      </c>
      <c r="O62" s="14">
        <f>N62*VLOOKUP('Données projet'!$B$9,Paramètres!$A$1:$I$89,3,0)*VLOOKUP('Données projet'!$B$9,Paramètres!$A$1:$I$89,5,0)</f>
        <v>105.25031999999999</v>
      </c>
      <c r="P62" s="14">
        <f t="shared" si="33"/>
        <v>28.20906445394024</v>
      </c>
      <c r="Q62" s="22">
        <f t="shared" si="53"/>
        <v>232.44176125727924</v>
      </c>
      <c r="R62" s="60">
        <f t="shared" si="0"/>
        <v>476.15632685858691</v>
      </c>
      <c r="S62" s="60">
        <f ca="1">AVERAGE(OFFSET($R$3,0,0,'Données projet'!$E$9+1,1))-AVERAGE(OFFSET($H$3,0,0,'Données projet'!$E$9+1,1))</f>
        <v>291.44524568678776</v>
      </c>
      <c r="T62" s="60">
        <f t="shared" si="34"/>
        <v>136.43373205899937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</v>
      </c>
      <c r="AI62" s="14">
        <f>IF('Données projet'!$A$62&gt;35,AI61+AH62-AQ61,IF(A62&lt;'Données projet'!$A$62,$AF$205^A62,IF(A62='Données projet'!$A$62,'Données projet'!$B$62,AI61+AH62-AQ61)))</f>
        <v>237.49999999999997</v>
      </c>
      <c r="AJ62" s="14">
        <f>AI62*VLOOKUP('Données projet'!$B$10,Paramètres!$A$1:$I$89,3,0)*VLOOKUP('Données projet'!$B$10,Paramètres!$A$1:$I$89,5,0)</f>
        <v>123.5</v>
      </c>
      <c r="AK62" s="14">
        <f t="shared" si="35"/>
        <v>32.489945930859669</v>
      </c>
      <c r="AL62" s="22">
        <f t="shared" si="4"/>
        <v>271.6824891629139</v>
      </c>
      <c r="AM62" s="60">
        <f t="shared" si="5"/>
        <v>515.39705476422159</v>
      </c>
      <c r="AN62" s="60">
        <f ca="1">AVERAGE(OFFSET($AM$3,0,0,'Données projet'!$E$10+1,1))-AVERAGE(OFFSET($H$3,0,0,'Données projet'!$E$10+1,1))</f>
        <v>300.72820267660154</v>
      </c>
      <c r="AO62" s="60">
        <f t="shared" si="36"/>
        <v>228.35388778608589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>
        <f>VLOOKUP(A62,'Données projet'!$A$87:$I$107,2,0)</f>
        <v>148.00769230769231</v>
      </c>
      <c r="BB62" s="13">
        <f>VLOOKUP(A62,'Données projet'!$A$87:$I$107,9,0)</f>
        <v>4.9549450549450569</v>
      </c>
      <c r="BC62" s="13">
        <f t="array" ref="BC62">INDEX(BB:BB,MIN(IF(ISNUMBER(BB62:BB258),ROW(BB62:BB258),"")))</f>
        <v>4.9549450549450569</v>
      </c>
      <c r="BD62" s="13">
        <f>IF('Données projet'!$A$88&gt;35,BD61+BC62-BL61,IF(A62&lt;'Données projet'!$A$88,$BA$205^A62,IF(A62='Données projet'!$A$88,'Données projet'!$B$88,BD61+BC62-BL61)))</f>
        <v>148.00769230769237</v>
      </c>
      <c r="BE62" s="14">
        <f>BD62*VLOOKUP('Données projet'!$B$11,Paramètres!$A$1:$I$89,3,0)*VLOOKUP('Données projet'!$B$11,Paramètres!$A$1:$I$89,5,0)</f>
        <v>86.584500000000048</v>
      </c>
      <c r="BF62" s="14">
        <f t="shared" si="37"/>
        <v>23.739643038177103</v>
      </c>
      <c r="BG62" s="22">
        <f t="shared" si="7"/>
        <v>192.14788245815853</v>
      </c>
      <c r="BH62" s="60">
        <f t="shared" si="8"/>
        <v>435.8624480594662</v>
      </c>
      <c r="BI62" s="60">
        <f ca="1">AVERAGE(OFFSET($BH$3,0,0,'Données projet'!$E$11+1,1))-AVERAGE(OFFSET($H$3,0,0,'Données projet'!$E$11+1,1))</f>
        <v>221.18884567967481</v>
      </c>
      <c r="BJ62" s="60">
        <f t="shared" si="38"/>
        <v>189.31596996710888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1.7724999999999995</v>
      </c>
      <c r="BY62" s="13">
        <f>IF('Données projet'!$A$114&gt;35,BY61+BX62-CG61,IF(A62&lt;'Données projet'!$A$114,$BV$205^A62,IF(A62='Données projet'!$A$114,'Données projet'!$B$114,BY61+BX62-CG61)))</f>
        <v>82.589999999999975</v>
      </c>
      <c r="BZ62" s="14">
        <f>BY62*VLOOKUP('Données projet'!$B$12,Paramètres!$A$1:$I$89,3,0)*VLOOKUP('Données projet'!$B$12,Paramètres!$A$1:$I$89,5,0)</f>
        <v>95.143679999999961</v>
      </c>
      <c r="CA62" s="14">
        <f t="shared" si="39"/>
        <v>25.801715632414158</v>
      </c>
      <c r="CB62" s="22">
        <f t="shared" si="10"/>
        <v>210.64656405978792</v>
      </c>
      <c r="CC62" s="60">
        <f t="shared" si="11"/>
        <v>454.36112966109556</v>
      </c>
      <c r="CD62" s="60">
        <f ca="1">AVERAGE(OFFSET($CC$3,0,0,'Données projet'!$E$12+1,1))-AVERAGE(OFFSET($H$3,0,0,'Données projet'!$E$12+1,1))</f>
        <v>314.72063458462026</v>
      </c>
      <c r="CE62" s="60">
        <f t="shared" si="40"/>
        <v>216.4380325968244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5.4</v>
      </c>
      <c r="CT62" s="13">
        <f>IF('Données projet'!$A$140&gt;35,CT61+CS62-DB61,IF(A62&lt;'Données projet'!$A$140,$CQ$205^A62,IF(A62='Données projet'!$A$140,'Données projet'!$B$140,CT61+CS62-DB61)))</f>
        <v>142.59999999999997</v>
      </c>
      <c r="CU62" s="18">
        <f>CT62*VLOOKUP('Données projet'!$B$13,Paramètres!$A$1:$I$89,3,0)*VLOOKUP('Données projet'!$B$13,Paramètres!$A$1:$I$89,5,0)</f>
        <v>153.49463999999995</v>
      </c>
      <c r="CV62" s="14">
        <f t="shared" si="41"/>
        <v>39.371687492841346</v>
      </c>
      <c r="CW62" s="22">
        <f t="shared" si="13"/>
        <v>335.90885371669856</v>
      </c>
      <c r="CX62" s="60">
        <f t="shared" si="14"/>
        <v>579.6234193180062</v>
      </c>
      <c r="CY62" s="60">
        <f ca="1">AVERAGE(OFFSET($CX$3,0,0,'Données projet'!$E$13+1,1))-AVERAGE(OFFSET($H$3,0,0,'Données projet'!$E$13+1,1))</f>
        <v>465.51503238626822</v>
      </c>
      <c r="CZ62" s="60">
        <f t="shared" si="42"/>
        <v>205.55320107663496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5.4</v>
      </c>
      <c r="DO62" s="13">
        <f>IF('Données projet'!$A$166&gt;35,DO61+DN62-DW61,IF(A62&lt;'Données projet'!$A$166,$DL$205^A62,IF(A62='Données projet'!$A$166,'Données projet'!$B$166,DO61+DN62-DW61)))</f>
        <v>142.59999999999997</v>
      </c>
      <c r="DP62" s="18">
        <f>DO62*VLOOKUP('Données projet'!$B$14,Paramètres!$A$1:$I$89,3,0)*VLOOKUP('Données projet'!$B$14,Paramètres!$A$1:$I$89,5,0)</f>
        <v>122.35079999999999</v>
      </c>
      <c r="DQ62" s="14">
        <f t="shared" si="43"/>
        <v>32.222664179000326</v>
      </c>
      <c r="DR62" s="22">
        <f t="shared" si="16"/>
        <v>269.21545011175891</v>
      </c>
      <c r="DS62" s="60">
        <f t="shared" si="17"/>
        <v>512.93001571306661</v>
      </c>
      <c r="DT62" s="60">
        <f ca="1">AVERAGE(OFFSET($DS$3,0,0,'Données projet'!$E$14+1,1))-AVERAGE(OFFSET($H$3,0,0,'Données projet'!$E$14+1,1))</f>
        <v>393.79546872270964</v>
      </c>
      <c r="DU62" s="60">
        <f t="shared" si="44"/>
        <v>179.7333990060757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135.66666666666666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231.33076923076925</v>
      </c>
      <c r="L63" s="13">
        <f>VLOOKUP(A63,'Données projet'!$A$35:$I$55,9,0)</f>
        <v>6.4369230769230796</v>
      </c>
      <c r="M63" s="13">
        <f t="array" ref="M63">INDEX(L:L,MIN(IF(ISNUMBER(L63:L259),ROW(L63:L259),"")))</f>
        <v>6.4369230769230796</v>
      </c>
      <c r="N63" s="14">
        <f>IF('Données projet'!$A$36&gt;35,N62+M63-V62,IF(A63&lt;'Données projet'!$A$36,$K$205^A63,IF(A63='Données projet'!$A$36,'Données projet'!$B$36,N62+M63-V62)))</f>
        <v>231.33076923076922</v>
      </c>
      <c r="O63" s="14">
        <f>N63*VLOOKUP('Données projet'!$B$9,Paramètres!$A$1:$I$89,3,0)*VLOOKUP('Données projet'!$B$9,Paramètres!$A$1:$I$89,5,0)</f>
        <v>108.2628</v>
      </c>
      <c r="P63" s="14">
        <f t="shared" si="33"/>
        <v>28.921308272605181</v>
      </c>
      <c r="Q63" s="22">
        <f t="shared" si="53"/>
        <v>238.92898857478735</v>
      </c>
      <c r="R63" s="60">
        <f t="shared" si="0"/>
        <v>483.50432886529973</v>
      </c>
      <c r="S63" s="60">
        <f ca="1">AVERAGE(OFFSET($R$3,0,0,'Données projet'!$E$9+1,1))-AVERAGE(OFFSET($H$3,0,0,'Données projet'!$E$9+1,1))</f>
        <v>291.44524568678776</v>
      </c>
      <c r="T63" s="60">
        <f t="shared" si="34"/>
        <v>136.43373205899937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240.5</v>
      </c>
      <c r="AG63" s="13">
        <f>VLOOKUP(A63,'Données projet'!$A$61:$I$81,9,0)</f>
        <v>3</v>
      </c>
      <c r="AH63" s="13">
        <f t="array" ref="AH63">INDEX(AG:AG,MIN(IF(ISNUMBER(AG63:AG259),ROW(AG63:AG259),"")))</f>
        <v>3</v>
      </c>
      <c r="AI63" s="14">
        <f>IF('Données projet'!$A$62&gt;35,AI62+AH63-AQ62,IF(A63&lt;'Données projet'!$A$62,$AF$205^A63,IF(A63='Données projet'!$A$62,'Données projet'!$B$62,AI62+AH63-AQ62)))</f>
        <v>240.49999999999997</v>
      </c>
      <c r="AJ63" s="14">
        <f>AI63*VLOOKUP('Données projet'!$B$10,Paramètres!$A$1:$I$89,3,0)*VLOOKUP('Données projet'!$B$10,Paramètres!$A$1:$I$89,5,0)</f>
        <v>125.05999999999999</v>
      </c>
      <c r="AK63" s="14">
        <f t="shared" si="35"/>
        <v>32.852309422756704</v>
      </c>
      <c r="AL63" s="22">
        <f t="shared" si="4"/>
        <v>275.03060557796795</v>
      </c>
      <c r="AM63" s="60">
        <f t="shared" si="5"/>
        <v>519.60594586848038</v>
      </c>
      <c r="AN63" s="60">
        <f ca="1">AVERAGE(OFFSET($AM$3,0,0,'Données projet'!$E$10+1,1))-AVERAGE(OFFSET($H$3,0,0,'Données projet'!$E$10+1,1))</f>
        <v>300.72820267660154</v>
      </c>
      <c r="AO63" s="60">
        <f t="shared" si="36"/>
        <v>228.35388778608589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5.1989010989010991</v>
      </c>
      <c r="BD63" s="13">
        <f>IF('Données projet'!$A$88&gt;35,BD62+BC63-BL62,IF(A63&lt;'Données projet'!$A$88,$BA$205^A63,IF(A63='Données projet'!$A$88,'Données projet'!$B$88,BD62+BC63-BL62)))</f>
        <v>153.20659340659347</v>
      </c>
      <c r="BE63" s="14">
        <f>BD63*VLOOKUP('Données projet'!$B$11,Paramètres!$A$1:$I$89,3,0)*VLOOKUP('Données projet'!$B$11,Paramètres!$A$1:$I$89,5,0)</f>
        <v>89.625857142857186</v>
      </c>
      <c r="BF63" s="14">
        <f t="shared" si="37"/>
        <v>24.474968880469344</v>
      </c>
      <c r="BG63" s="22">
        <f t="shared" si="7"/>
        <v>198.72560532396037</v>
      </c>
      <c r="BH63" s="60">
        <f t="shared" si="8"/>
        <v>443.30094561447277</v>
      </c>
      <c r="BI63" s="60">
        <f ca="1">AVERAGE(OFFSET($BH$3,0,0,'Données projet'!$E$11+1,1))-AVERAGE(OFFSET($H$3,0,0,'Données projet'!$E$11+1,1))</f>
        <v>221.18884567967481</v>
      </c>
      <c r="BJ63" s="60">
        <f t="shared" si="38"/>
        <v>189.31596996710888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84.362499999999997</v>
      </c>
      <c r="BW63" s="13">
        <f>VLOOKUP(A63,'Données projet'!$A$113:$I$133,9,0)</f>
        <v>1.7724999999999995</v>
      </c>
      <c r="BX63" s="13">
        <f t="array" ref="BX63">INDEX(BW:BW,MIN(IF(ISNUMBER(BW63:BW259),ROW(BW63:BW259),"")))</f>
        <v>1.7724999999999995</v>
      </c>
      <c r="BY63" s="13">
        <f>IF('Données projet'!$A$114&gt;35,BY62+BX63-CG62,IF(A63&lt;'Données projet'!$A$114,$BV$205^A63,IF(A63='Données projet'!$A$114,'Données projet'!$B$114,BY62+BX63-CG62)))</f>
        <v>84.362499999999969</v>
      </c>
      <c r="BZ63" s="14">
        <f>BY63*VLOOKUP('Données projet'!$B$12,Paramètres!$A$1:$I$89,3,0)*VLOOKUP('Données projet'!$B$12,Paramètres!$A$1:$I$89,5,0)</f>
        <v>97.185599999999965</v>
      </c>
      <c r="CA63" s="14">
        <f t="shared" si="39"/>
        <v>26.290395628270069</v>
      </c>
      <c r="CB63" s="22">
        <f t="shared" si="10"/>
        <v>215.05402571923696</v>
      </c>
      <c r="CC63" s="60">
        <f t="shared" si="11"/>
        <v>459.62936600974933</v>
      </c>
      <c r="CD63" s="60">
        <f ca="1">AVERAGE(OFFSET($CC$3,0,0,'Données projet'!$E$12+1,1))-AVERAGE(OFFSET($H$3,0,0,'Données projet'!$E$12+1,1))</f>
        <v>314.72063458462026</v>
      </c>
      <c r="CE63" s="60">
        <f t="shared" si="40"/>
        <v>216.4380325968244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8.25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148</v>
      </c>
      <c r="CR63" s="13">
        <f>VLOOKUP(A63,'Données projet'!$A$139:$I$159,9,0)</f>
        <v>5.4</v>
      </c>
      <c r="CS63" s="13">
        <f t="array" ref="CS63">INDEX(CR:CR,MIN(IF(ISNUMBER(CR63:CR259),ROW(CR63:CR259),"")))</f>
        <v>5.4</v>
      </c>
      <c r="CT63" s="13">
        <f>IF('Données projet'!$A$140&gt;35,CT62+CS63-DB62,IF(A63&lt;'Données projet'!$A$140,$CQ$205^A63,IF(A63='Données projet'!$A$140,'Données projet'!$B$140,CT62+CS63-DB62)))</f>
        <v>147.99999999999997</v>
      </c>
      <c r="CU63" s="18">
        <f>CT63*VLOOKUP('Données projet'!$B$13,Paramètres!$A$1:$I$89,3,0)*VLOOKUP('Données projet'!$B$13,Paramètres!$A$1:$I$89,5,0)</f>
        <v>159.30719999999997</v>
      </c>
      <c r="CV63" s="14">
        <f t="shared" si="41"/>
        <v>40.686212990054052</v>
      </c>
      <c r="CW63" s="22">
        <f t="shared" si="13"/>
        <v>348.32186095767742</v>
      </c>
      <c r="CX63" s="60">
        <f t="shared" si="14"/>
        <v>592.89720124818973</v>
      </c>
      <c r="CY63" s="60">
        <f ca="1">AVERAGE(OFFSET($CX$3,0,0,'Données projet'!$E$13+1,1))-AVERAGE(OFFSET($H$3,0,0,'Données projet'!$E$13+1,1))</f>
        <v>465.51503238626822</v>
      </c>
      <c r="CZ63" s="60">
        <f t="shared" si="42"/>
        <v>205.55320107663496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148</v>
      </c>
      <c r="DM63" s="13">
        <f>VLOOKUP(A63,'Données projet'!$A$165:$I$185,9,0)</f>
        <v>5.4</v>
      </c>
      <c r="DN63" s="13">
        <f t="array" ref="DN63">INDEX(DM:DM,MIN(IF(ISNUMBER(DM63:DM259),ROW(DM63:DM259),"")))</f>
        <v>5.4</v>
      </c>
      <c r="DO63" s="13">
        <f>IF('Données projet'!$A$166&gt;35,DO62+DN63-DW62,IF(A63&lt;'Données projet'!$A$166,$DL$205^A63,IF(A63='Données projet'!$A$166,'Données projet'!$B$166,DO62+DN63-DW62)))</f>
        <v>147.99999999999997</v>
      </c>
      <c r="DP63" s="18">
        <f>DO63*VLOOKUP('Données projet'!$B$14,Paramètres!$A$1:$I$89,3,0)*VLOOKUP('Données projet'!$B$14,Paramètres!$A$1:$I$89,5,0)</f>
        <v>126.98399999999999</v>
      </c>
      <c r="DQ63" s="14">
        <f t="shared" si="43"/>
        <v>33.298501064557207</v>
      </c>
      <c r="DR63" s="22">
        <f t="shared" si="16"/>
        <v>279.15868935410379</v>
      </c>
      <c r="DS63" s="60">
        <f t="shared" si="17"/>
        <v>523.73402964461616</v>
      </c>
      <c r="DT63" s="60">
        <f ca="1">AVERAGE(OFFSET($DS$3,0,0,'Données projet'!$E$14+1,1))-AVERAGE(OFFSET($H$3,0,0,'Données projet'!$E$14+1,1))</f>
        <v>393.79546872270964</v>
      </c>
      <c r="DU63" s="60">
        <f t="shared" si="44"/>
        <v>179.7333990060757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135.66666666666666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6.6395604395604311</v>
      </c>
      <c r="N64" s="14">
        <f>IF('Données projet'!$A$36&gt;35,N63+M64-V63,IF(A64&lt;'Données projet'!$A$36,$K$205^A64,IF(A64='Données projet'!$A$36,'Données projet'!$B$36,N63+M64-V63)))</f>
        <v>237.97032967032965</v>
      </c>
      <c r="O64" s="14">
        <f>N64*VLOOKUP('Données projet'!$B$9,Paramètres!$A$1:$I$89,3,0)*VLOOKUP('Données projet'!$B$9,Paramètres!$A$1:$I$89,5,0)</f>
        <v>111.37011428571428</v>
      </c>
      <c r="P64" s="14">
        <f t="shared" si="33"/>
        <v>29.653561252809151</v>
      </c>
      <c r="Q64" s="22">
        <f t="shared" si="53"/>
        <v>245.61623489626166</v>
      </c>
      <c r="R64" s="60">
        <f t="shared" si="0"/>
        <v>491.03741735952485</v>
      </c>
      <c r="S64" s="60">
        <f ca="1">AVERAGE(OFFSET($R$3,0,0,'Données projet'!$E$9+1,1))-AVERAGE(OFFSET($H$3,0,0,'Données projet'!$E$9+1,1))</f>
        <v>291.44524568678776</v>
      </c>
      <c r="T64" s="60">
        <f t="shared" si="34"/>
        <v>136.43373205899937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2.7600000000000025</v>
      </c>
      <c r="AI64" s="14">
        <f>IF('Données projet'!$A$62&gt;35,AI63+AH64-AQ63,IF(A64&lt;'Données projet'!$A$62,$AF$205^A64,IF(A64='Données projet'!$A$62,'Données projet'!$B$62,AI63+AH64-AQ63)))</f>
        <v>243.25999999999996</v>
      </c>
      <c r="AJ64" s="14">
        <f>AI64*VLOOKUP('Données projet'!$B$10,Paramètres!$A$1:$I$89,3,0)*VLOOKUP('Données projet'!$B$10,Paramètres!$A$1:$I$89,5,0)</f>
        <v>126.49519999999998</v>
      </c>
      <c r="AK64" s="14">
        <f t="shared" si="35"/>
        <v>33.185219299075669</v>
      </c>
      <c r="AL64" s="22">
        <f t="shared" si="4"/>
        <v>278.11006361255676</v>
      </c>
      <c r="AM64" s="60">
        <f t="shared" si="5"/>
        <v>523.53124607582004</v>
      </c>
      <c r="AN64" s="60">
        <f ca="1">AVERAGE(OFFSET($AM$3,0,0,'Données projet'!$E$10+1,1))-AVERAGE(OFFSET($H$3,0,0,'Données projet'!$E$10+1,1))</f>
        <v>300.72820267660154</v>
      </c>
      <c r="AO64" s="60">
        <f t="shared" si="36"/>
        <v>228.35388778608589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5.1989010989010991</v>
      </c>
      <c r="BD64" s="13">
        <f>IF('Données projet'!$A$88&gt;35,BD63+BC64-BL63,IF(A64&lt;'Données projet'!$A$88,$BA$205^A64,IF(A64='Données projet'!$A$88,'Données projet'!$B$88,BD63+BC64-BL63)))</f>
        <v>158.40549450549457</v>
      </c>
      <c r="BE64" s="14">
        <f>BD64*VLOOKUP('Données projet'!$B$11,Paramètres!$A$1:$I$89,3,0)*VLOOKUP('Données projet'!$B$11,Paramètres!$A$1:$I$89,5,0)</f>
        <v>92.667214285714337</v>
      </c>
      <c r="BF64" s="14">
        <f t="shared" si="37"/>
        <v>25.207395393497098</v>
      </c>
      <c r="BG64" s="22">
        <f t="shared" si="7"/>
        <v>205.29827852462654</v>
      </c>
      <c r="BH64" s="60">
        <f t="shared" si="8"/>
        <v>450.71946098788976</v>
      </c>
      <c r="BI64" s="60">
        <f ca="1">AVERAGE(OFFSET($BH$3,0,0,'Données projet'!$E$11+1,1))-AVERAGE(OFFSET($H$3,0,0,'Données projet'!$E$11+1,1))</f>
        <v>221.18884567967481</v>
      </c>
      <c r="BJ64" s="60">
        <f t="shared" si="38"/>
        <v>189.31596996710888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1.6750000000000014</v>
      </c>
      <c r="BY64" s="13">
        <f>IF('Données projet'!$A$114&gt;35,BY63+BX64-CG63,IF(A64&lt;'Données projet'!$A$114,$BV$205^A64,IF(A64='Données projet'!$A$114,'Données projet'!$B$114,BY63+BX64-CG63)))</f>
        <v>77.787499999999966</v>
      </c>
      <c r="BZ64" s="14">
        <f>BY64*VLOOKUP('Données projet'!$B$12,Paramètres!$A$1:$I$89,3,0)*VLOOKUP('Données projet'!$B$12,Paramètres!$A$1:$I$89,5,0)</f>
        <v>89.611199999999954</v>
      </c>
      <c r="CA64" s="14">
        <f t="shared" si="39"/>
        <v>24.471432182378969</v>
      </c>
      <c r="CB64" s="22">
        <f t="shared" si="10"/>
        <v>198.6939177176433</v>
      </c>
      <c r="CC64" s="60">
        <f t="shared" si="11"/>
        <v>444.11510018090655</v>
      </c>
      <c r="CD64" s="60">
        <f ca="1">AVERAGE(OFFSET($CC$3,0,0,'Données projet'!$E$12+1,1))-AVERAGE(OFFSET($H$3,0,0,'Données projet'!$E$12+1,1))</f>
        <v>314.72063458462026</v>
      </c>
      <c r="CE64" s="60">
        <f t="shared" si="40"/>
        <v>216.4380325968244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5.4</v>
      </c>
      <c r="CT64" s="13">
        <f>IF('Données projet'!$A$140&gt;35,CT63+CS64-DB63,IF(A64&lt;'Données projet'!$A$140,$CQ$205^A64,IF(A64='Données projet'!$A$140,'Données projet'!$B$140,CT63+CS64-DB63)))</f>
        <v>153.39999999999998</v>
      </c>
      <c r="CU64" s="18">
        <f>CT64*VLOOKUP('Données projet'!$B$13,Paramètres!$A$1:$I$89,3,0)*VLOOKUP('Données projet'!$B$13,Paramètres!$A$1:$I$89,5,0)</f>
        <v>165.11975999999996</v>
      </c>
      <c r="CV64" s="14">
        <f t="shared" si="41"/>
        <v>41.995166194425131</v>
      </c>
      <c r="CW64" s="22">
        <f t="shared" si="13"/>
        <v>360.725163121957</v>
      </c>
      <c r="CX64" s="60">
        <f t="shared" si="14"/>
        <v>606.14634558522016</v>
      </c>
      <c r="CY64" s="60">
        <f ca="1">AVERAGE(OFFSET($CX$3,0,0,'Données projet'!$E$13+1,1))-AVERAGE(OFFSET($H$3,0,0,'Données projet'!$E$13+1,1))</f>
        <v>465.51503238626822</v>
      </c>
      <c r="CZ64" s="60">
        <f t="shared" si="42"/>
        <v>205.55320107663496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5.4</v>
      </c>
      <c r="DO64" s="13">
        <f>IF('Données projet'!$A$166&gt;35,DO63+DN64-DW63,IF(A64&lt;'Données projet'!$A$166,$DL$205^A64,IF(A64='Données projet'!$A$166,'Données projet'!$B$166,DO63+DN64-DW63)))</f>
        <v>153.39999999999998</v>
      </c>
      <c r="DP64" s="18">
        <f>DO64*VLOOKUP('Données projet'!$B$14,Paramètres!$A$1:$I$89,3,0)*VLOOKUP('Données projet'!$B$14,Paramètres!$A$1:$I$89,5,0)</f>
        <v>131.6172</v>
      </c>
      <c r="DQ64" s="14">
        <f t="shared" si="43"/>
        <v>34.3697774617943</v>
      </c>
      <c r="DR64" s="22">
        <f t="shared" si="16"/>
        <v>289.09398574595843</v>
      </c>
      <c r="DS64" s="60">
        <f t="shared" si="17"/>
        <v>534.51516820922166</v>
      </c>
      <c r="DT64" s="60">
        <f ca="1">AVERAGE(OFFSET($DS$3,0,0,'Données projet'!$E$14+1,1))-AVERAGE(OFFSET($H$3,0,0,'Données projet'!$E$14+1,1))</f>
        <v>393.79546872270964</v>
      </c>
      <c r="DU64" s="60">
        <f t="shared" si="44"/>
        <v>179.7333990060757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135.66666666666666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6.6395604395604311</v>
      </c>
      <c r="N65" s="14">
        <f>IF('Données projet'!$A$36&gt;35,N64+M65-V64,IF(A65&lt;'Données projet'!$A$36,$K$205^A65,IF(A65='Données projet'!$A$36,'Données projet'!$B$36,N64+M65-V64)))</f>
        <v>244.60989010989007</v>
      </c>
      <c r="O65" s="14">
        <f>N65*VLOOKUP('Données projet'!$B$9,Paramètres!$A$1:$I$89,3,0)*VLOOKUP('Données projet'!$B$9,Paramètres!$A$1:$I$89,5,0)</f>
        <v>114.47742857142856</v>
      </c>
      <c r="P65" s="14">
        <f t="shared" si="33"/>
        <v>30.383439662005106</v>
      </c>
      <c r="Q65" s="22">
        <f t="shared" si="53"/>
        <v>252.29934550656364</v>
      </c>
      <c r="R65" s="60">
        <f t="shared" si="0"/>
        <v>498.55169667190034</v>
      </c>
      <c r="S65" s="60">
        <f ca="1">AVERAGE(OFFSET($R$3,0,0,'Données projet'!$E$9+1,1))-AVERAGE(OFFSET($H$3,0,0,'Données projet'!$E$9+1,1))</f>
        <v>291.44524568678776</v>
      </c>
      <c r="T65" s="60">
        <f t="shared" si="34"/>
        <v>136.43373205899937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2.7600000000000025</v>
      </c>
      <c r="AI65" s="14">
        <f>IF('Données projet'!$A$62&gt;35,AI64+AH65-AQ64,IF(A65&lt;'Données projet'!$A$62,$AF$205^A65,IF(A65='Données projet'!$A$62,'Données projet'!$B$62,AI64+AH65-AQ64)))</f>
        <v>246.01999999999995</v>
      </c>
      <c r="AJ65" s="14">
        <f>AI65*VLOOKUP('Données projet'!$B$10,Paramètres!$A$1:$I$89,3,0)*VLOOKUP('Données projet'!$B$10,Paramètres!$A$1:$I$89,5,0)</f>
        <v>127.93039999999999</v>
      </c>
      <c r="AK65" s="14">
        <f t="shared" si="35"/>
        <v>33.517689794522084</v>
      </c>
      <c r="AL65" s="22">
        <f t="shared" si="4"/>
        <v>281.18875639212592</v>
      </c>
      <c r="AM65" s="60">
        <f t="shared" si="5"/>
        <v>527.4411075574626</v>
      </c>
      <c r="AN65" s="60">
        <f ca="1">AVERAGE(OFFSET($AM$3,0,0,'Données projet'!$E$10+1,1))-AVERAGE(OFFSET($H$3,0,0,'Données projet'!$E$10+1,1))</f>
        <v>300.72820267660154</v>
      </c>
      <c r="AO65" s="60">
        <f t="shared" si="36"/>
        <v>228.35388778608589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5.1989010989010991</v>
      </c>
      <c r="BD65" s="13">
        <f>IF('Données projet'!$A$88&gt;35,BD64+BC65-BL64,IF(A65&lt;'Données projet'!$A$88,$BA$205^A65,IF(A65='Données projet'!$A$88,'Données projet'!$B$88,BD64+BC65-BL64)))</f>
        <v>163.60439560439568</v>
      </c>
      <c r="BE65" s="14">
        <f>BD65*VLOOKUP('Données projet'!$B$11,Paramètres!$A$1:$I$89,3,0)*VLOOKUP('Données projet'!$B$11,Paramètres!$A$1:$I$89,5,0)</f>
        <v>95.708571428571474</v>
      </c>
      <c r="BF65" s="14">
        <f t="shared" si="37"/>
        <v>25.937028646080538</v>
      </c>
      <c r="BG65" s="22">
        <f t="shared" si="7"/>
        <v>211.86608679668555</v>
      </c>
      <c r="BH65" s="60">
        <f t="shared" si="8"/>
        <v>458.1184379620222</v>
      </c>
      <c r="BI65" s="60">
        <f ca="1">AVERAGE(OFFSET($BH$3,0,0,'Données projet'!$E$11+1,1))-AVERAGE(OFFSET($H$3,0,0,'Données projet'!$E$11+1,1))</f>
        <v>221.18884567967481</v>
      </c>
      <c r="BJ65" s="60">
        <f t="shared" si="38"/>
        <v>189.31596996710888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1.6750000000000014</v>
      </c>
      <c r="BY65" s="13">
        <f>IF('Données projet'!$A$114&gt;35,BY64+BX65-CG64,IF(A65&lt;'Données projet'!$A$114,$BV$205^A65,IF(A65='Données projet'!$A$114,'Données projet'!$B$114,BY64+BX65-CG64)))</f>
        <v>79.462499999999963</v>
      </c>
      <c r="BZ65" s="14">
        <f>BY65*VLOOKUP('Données projet'!$B$12,Paramètres!$A$1:$I$89,3,0)*VLOOKUP('Données projet'!$B$12,Paramètres!$A$1:$I$89,5,0)</f>
        <v>91.540799999999948</v>
      </c>
      <c r="CA65" s="14">
        <f t="shared" si="39"/>
        <v>24.93646092914312</v>
      </c>
      <c r="CB65" s="22">
        <f t="shared" si="10"/>
        <v>202.86456278492415</v>
      </c>
      <c r="CC65" s="60">
        <f t="shared" si="11"/>
        <v>449.11691395026082</v>
      </c>
      <c r="CD65" s="60">
        <f ca="1">AVERAGE(OFFSET($CC$3,0,0,'Données projet'!$E$12+1,1))-AVERAGE(OFFSET($H$3,0,0,'Données projet'!$E$12+1,1))</f>
        <v>314.72063458462026</v>
      </c>
      <c r="CE65" s="60">
        <f t="shared" si="40"/>
        <v>216.4380325968244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5.4</v>
      </c>
      <c r="CT65" s="13">
        <f>IF('Données projet'!$A$140&gt;35,CT64+CS65-DB64,IF(A65&lt;'Données projet'!$A$140,$CQ$205^A65,IF(A65='Données projet'!$A$140,'Données projet'!$B$140,CT64+CS65-DB64)))</f>
        <v>158.79999999999998</v>
      </c>
      <c r="CU65" s="18">
        <f>CT65*VLOOKUP('Données projet'!$B$13,Paramètres!$A$1:$I$89,3,0)*VLOOKUP('Données projet'!$B$13,Paramètres!$A$1:$I$89,5,0)</f>
        <v>170.93231999999998</v>
      </c>
      <c r="CV65" s="14">
        <f t="shared" si="41"/>
        <v>43.298765738639716</v>
      </c>
      <c r="CW65" s="22">
        <f t="shared" si="13"/>
        <v>373.11914099479742</v>
      </c>
      <c r="CX65" s="60">
        <f t="shared" si="14"/>
        <v>619.37149216013404</v>
      </c>
      <c r="CY65" s="60">
        <f ca="1">AVERAGE(OFFSET($CX$3,0,0,'Données projet'!$E$13+1,1))-AVERAGE(OFFSET($H$3,0,0,'Données projet'!$E$13+1,1))</f>
        <v>465.51503238626822</v>
      </c>
      <c r="CZ65" s="60">
        <f t="shared" si="42"/>
        <v>205.55320107663496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5.4</v>
      </c>
      <c r="DO65" s="13">
        <f>IF('Données projet'!$A$166&gt;35,DO64+DN65-DW64,IF(A65&lt;'Données projet'!$A$166,$DL$205^A65,IF(A65='Données projet'!$A$166,'Données projet'!$B$166,DO64+DN65-DW64)))</f>
        <v>158.79999999999998</v>
      </c>
      <c r="DP65" s="18">
        <f>DO65*VLOOKUP('Données projet'!$B$14,Paramètres!$A$1:$I$89,3,0)*VLOOKUP('Données projet'!$B$14,Paramètres!$A$1:$I$89,5,0)</f>
        <v>136.25040000000001</v>
      </c>
      <c r="DQ65" s="14">
        <f t="shared" si="43"/>
        <v>35.436672304560737</v>
      </c>
      <c r="DR65" s="22">
        <f t="shared" si="16"/>
        <v>299.02165093044329</v>
      </c>
      <c r="DS65" s="60">
        <f t="shared" si="17"/>
        <v>545.27400209577991</v>
      </c>
      <c r="DT65" s="60">
        <f ca="1">AVERAGE(OFFSET($DS$3,0,0,'Données projet'!$E$14+1,1))-AVERAGE(OFFSET($H$3,0,0,'Données projet'!$E$14+1,1))</f>
        <v>393.79546872270964</v>
      </c>
      <c r="DU65" s="60">
        <f t="shared" si="44"/>
        <v>179.7333990060757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135.66666666666666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6.6395604395604311</v>
      </c>
      <c r="N66" s="14">
        <f>IF('Données projet'!$A$36&gt;35,N65+M66-V65,IF(A66&lt;'Données projet'!$A$36,$K$205^A66,IF(A66='Données projet'!$A$36,'Données projet'!$B$36,N65+M66-V65)))</f>
        <v>251.2494505494505</v>
      </c>
      <c r="O66" s="14">
        <f>N66*VLOOKUP('Données projet'!$B$9,Paramètres!$A$1:$I$89,3,0)*VLOOKUP('Données projet'!$B$9,Paramètres!$A$1:$I$89,5,0)</f>
        <v>117.58474285714283</v>
      </c>
      <c r="P66" s="14">
        <f t="shared" si="33"/>
        <v>31.111015361054356</v>
      </c>
      <c r="Q66" s="22">
        <f t="shared" si="53"/>
        <v>258.97844556336003</v>
      </c>
      <c r="R66" s="60">
        <f t="shared" si="0"/>
        <v>506.04754651200403</v>
      </c>
      <c r="S66" s="60">
        <f ca="1">AVERAGE(OFFSET($R$3,0,0,'Données projet'!$E$9+1,1))-AVERAGE(OFFSET($H$3,0,0,'Données projet'!$E$9+1,1))</f>
        <v>291.44524568678776</v>
      </c>
      <c r="T66" s="60">
        <f t="shared" si="34"/>
        <v>136.43373205899937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2.7600000000000025</v>
      </c>
      <c r="AI66" s="14">
        <f>IF('Données projet'!$A$62&gt;35,AI65+AH66-AQ65,IF(A66&lt;'Données projet'!$A$62,$AF$205^A66,IF(A66='Données projet'!$A$62,'Données projet'!$B$62,AI65+AH66-AQ65)))</f>
        <v>248.77999999999994</v>
      </c>
      <c r="AJ66" s="14">
        <f>AI66*VLOOKUP('Données projet'!$B$10,Paramètres!$A$1:$I$89,3,0)*VLOOKUP('Données projet'!$B$10,Paramètres!$A$1:$I$89,5,0)</f>
        <v>129.3656</v>
      </c>
      <c r="AK66" s="14">
        <f t="shared" si="35"/>
        <v>33.849726408738</v>
      </c>
      <c r="AL66" s="22">
        <f t="shared" si="4"/>
        <v>284.26669349521865</v>
      </c>
      <c r="AM66" s="60">
        <f t="shared" si="5"/>
        <v>531.3357944438626</v>
      </c>
      <c r="AN66" s="60">
        <f ca="1">AVERAGE(OFFSET($AM$3,0,0,'Données projet'!$E$10+1,1))-AVERAGE(OFFSET($H$3,0,0,'Données projet'!$E$10+1,1))</f>
        <v>300.72820267660154</v>
      </c>
      <c r="AO66" s="60">
        <f t="shared" si="36"/>
        <v>228.35388778608589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5.1989010989010991</v>
      </c>
      <c r="BD66" s="13">
        <f>IF('Données projet'!$A$88&gt;35,BD65+BC66-BL65,IF(A66&lt;'Données projet'!$A$88,$BA$205^A66,IF(A66='Données projet'!$A$88,'Données projet'!$B$88,BD65+BC66-BL65)))</f>
        <v>168.80329670329678</v>
      </c>
      <c r="BE66" s="14">
        <f>BD66*VLOOKUP('Données projet'!$B$11,Paramètres!$A$1:$I$89,3,0)*VLOOKUP('Données projet'!$B$11,Paramètres!$A$1:$I$89,5,0)</f>
        <v>98.749928571428626</v>
      </c>
      <c r="BF66" s="14">
        <f t="shared" si="37"/>
        <v>26.663967583086244</v>
      </c>
      <c r="BG66" s="22">
        <f t="shared" si="7"/>
        <v>218.42920246911339</v>
      </c>
      <c r="BH66" s="60">
        <f t="shared" si="8"/>
        <v>465.49830341775737</v>
      </c>
      <c r="BI66" s="60">
        <f ca="1">AVERAGE(OFFSET($BH$3,0,0,'Données projet'!$E$11+1,1))-AVERAGE(OFFSET($H$3,0,0,'Données projet'!$E$11+1,1))</f>
        <v>221.18884567967481</v>
      </c>
      <c r="BJ66" s="60">
        <f t="shared" si="38"/>
        <v>189.31596996710888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1.6750000000000014</v>
      </c>
      <c r="BY66" s="13">
        <f>IF('Données projet'!$A$114&gt;35,BY65+BX66-CG65,IF(A66&lt;'Données projet'!$A$114,$BV$205^A66,IF(A66='Données projet'!$A$114,'Données projet'!$B$114,BY65+BX66-CG65)))</f>
        <v>81.13749999999996</v>
      </c>
      <c r="BZ66" s="14">
        <f>BY66*VLOOKUP('Données projet'!$B$12,Paramètres!$A$1:$I$89,3,0)*VLOOKUP('Données projet'!$B$12,Paramètres!$A$1:$I$89,5,0)</f>
        <v>93.470399999999941</v>
      </c>
      <c r="CA66" s="14">
        <f t="shared" si="39"/>
        <v>25.400349986061777</v>
      </c>
      <c r="CB66" s="22">
        <f t="shared" si="10"/>
        <v>207.03322289239085</v>
      </c>
      <c r="CC66" s="60">
        <f t="shared" si="11"/>
        <v>454.10232384103483</v>
      </c>
      <c r="CD66" s="60">
        <f ca="1">AVERAGE(OFFSET($CC$3,0,0,'Données projet'!$E$12+1,1))-AVERAGE(OFFSET($H$3,0,0,'Données projet'!$E$12+1,1))</f>
        <v>314.72063458462026</v>
      </c>
      <c r="CE66" s="60">
        <f t="shared" si="40"/>
        <v>216.4380325968244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5.4</v>
      </c>
      <c r="CT66" s="13">
        <f>IF('Données projet'!$A$140&gt;35,CT65+CS66-DB65,IF(A66&lt;'Données projet'!$A$140,$CQ$205^A66,IF(A66='Données projet'!$A$140,'Données projet'!$B$140,CT65+CS66-DB65)))</f>
        <v>164.2</v>
      </c>
      <c r="CU66" s="18">
        <f>CT66*VLOOKUP('Données projet'!$B$13,Paramètres!$A$1:$I$89,3,0)*VLOOKUP('Données projet'!$B$13,Paramètres!$A$1:$I$89,5,0)</f>
        <v>176.74487999999999</v>
      </c>
      <c r="CV66" s="14">
        <f t="shared" si="41"/>
        <v>44.59721454265302</v>
      </c>
      <c r="CW66" s="22">
        <f t="shared" si="13"/>
        <v>385.5041479951206</v>
      </c>
      <c r="CX66" s="60">
        <f t="shared" si="14"/>
        <v>632.57324894376461</v>
      </c>
      <c r="CY66" s="60">
        <f ca="1">AVERAGE(OFFSET($CX$3,0,0,'Données projet'!$E$13+1,1))-AVERAGE(OFFSET($H$3,0,0,'Données projet'!$E$13+1,1))</f>
        <v>465.51503238626822</v>
      </c>
      <c r="CZ66" s="60">
        <f t="shared" si="42"/>
        <v>205.55320107663496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5.4</v>
      </c>
      <c r="DO66" s="13">
        <f>IF('Données projet'!$A$166&gt;35,DO65+DN66-DW65,IF(A66&lt;'Données projet'!$A$166,$DL$205^A66,IF(A66='Données projet'!$A$166,'Données projet'!$B$166,DO65+DN66-DW65)))</f>
        <v>164.2</v>
      </c>
      <c r="DP66" s="18">
        <f>DO66*VLOOKUP('Données projet'!$B$14,Paramètres!$A$1:$I$89,3,0)*VLOOKUP('Données projet'!$B$14,Paramètres!$A$1:$I$89,5,0)</f>
        <v>140.8836</v>
      </c>
      <c r="DQ66" s="14">
        <f t="shared" si="43"/>
        <v>36.499351667058285</v>
      </c>
      <c r="DR66" s="22">
        <f t="shared" si="16"/>
        <v>308.94197415345985</v>
      </c>
      <c r="DS66" s="60">
        <f t="shared" si="17"/>
        <v>556.01107510210386</v>
      </c>
      <c r="DT66" s="60">
        <f ca="1">AVERAGE(OFFSET($DS$3,0,0,'Données projet'!$E$14+1,1))-AVERAGE(OFFSET($H$3,0,0,'Données projet'!$E$14+1,1))</f>
        <v>393.79546872270964</v>
      </c>
      <c r="DU66" s="60">
        <f t="shared" si="44"/>
        <v>179.7333990060757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135.66666666666666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6.6395604395604311</v>
      </c>
      <c r="N67" s="14">
        <f>IF('Données projet'!$A$36&gt;35,N66+M67-V66,IF(A67&lt;'Données projet'!$A$36,$K$205^A67,IF(A67='Données projet'!$A$36,'Données projet'!$B$36,N66+M67-V66)))</f>
        <v>257.88901098901096</v>
      </c>
      <c r="O67" s="14">
        <f>N67*VLOOKUP('Données projet'!$B$9,Paramètres!$A$1:$I$89,3,0)*VLOOKUP('Données projet'!$B$9,Paramètres!$A$1:$I$89,5,0)</f>
        <v>120.69205714285712</v>
      </c>
      <c r="P67" s="14">
        <f t="shared" si="33"/>
        <v>31.836356196523674</v>
      </c>
      <c r="Q67" s="22">
        <f t="shared" ref="Q67:Q98" si="54">(O67+P67)*0.475*44/12</f>
        <v>265.65365323275489</v>
      </c>
      <c r="R67" s="60">
        <f t="shared" ref="R67:R130" si="55">Q67+(I67+J67)*44/12</f>
        <v>513.52533518194468</v>
      </c>
      <c r="S67" s="60">
        <f ca="1">AVERAGE(OFFSET($R$3,0,0,'Données projet'!$E$9+1,1))-AVERAGE(OFFSET($H$3,0,0,'Données projet'!$E$9+1,1))</f>
        <v>291.44524568678776</v>
      </c>
      <c r="T67" s="60">
        <f t="shared" si="34"/>
        <v>136.43373205899937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2.7600000000000025</v>
      </c>
      <c r="AI67" s="14">
        <f>IF('Données projet'!$A$62&gt;35,AI66+AH67-AQ66,IF(A67&lt;'Données projet'!$A$62,$AF$205^A67,IF(A67='Données projet'!$A$62,'Données projet'!$B$62,AI66+AH67-AQ66)))</f>
        <v>251.53999999999994</v>
      </c>
      <c r="AJ67" s="14">
        <f>AI67*VLOOKUP('Données projet'!$B$10,Paramètres!$A$1:$I$89,3,0)*VLOOKUP('Données projet'!$B$10,Paramètres!$A$1:$I$89,5,0)</f>
        <v>130.80079999999998</v>
      </c>
      <c r="AK67" s="14">
        <f t="shared" si="35"/>
        <v>34.181334512311345</v>
      </c>
      <c r="AL67" s="22">
        <f t="shared" si="4"/>
        <v>287.34388427560884</v>
      </c>
      <c r="AM67" s="60">
        <f t="shared" si="5"/>
        <v>535.21556622479864</v>
      </c>
      <c r="AN67" s="60">
        <f ca="1">AVERAGE(OFFSET($AM$3,0,0,'Données projet'!$E$10+1,1))-AVERAGE(OFFSET($H$3,0,0,'Données projet'!$E$10+1,1))</f>
        <v>300.72820267660154</v>
      </c>
      <c r="AO67" s="60">
        <f t="shared" si="36"/>
        <v>228.35388778608589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5.1989010989010991</v>
      </c>
      <c r="BD67" s="13">
        <f>IF('Données projet'!$A$88&gt;35,BD66+BC67-BL66,IF(A67&lt;'Données projet'!$A$88,$BA$205^A67,IF(A67='Données projet'!$A$88,'Données projet'!$B$88,BD66+BC67-BL66)))</f>
        <v>174.00219780219788</v>
      </c>
      <c r="BE67" s="14">
        <f>BD67*VLOOKUP('Données projet'!$B$11,Paramètres!$A$1:$I$89,3,0)*VLOOKUP('Données projet'!$B$11,Paramètres!$A$1:$I$89,5,0)</f>
        <v>101.79128571428578</v>
      </c>
      <c r="BF67" s="14">
        <f t="shared" si="37"/>
        <v>27.388304708404629</v>
      </c>
      <c r="BG67" s="22">
        <f t="shared" si="7"/>
        <v>224.98778665285246</v>
      </c>
      <c r="BH67" s="60">
        <f t="shared" si="8"/>
        <v>472.85946860204228</v>
      </c>
      <c r="BI67" s="60">
        <f ca="1">AVERAGE(OFFSET($BH$3,0,0,'Données projet'!$E$11+1,1))-AVERAGE(OFFSET($H$3,0,0,'Données projet'!$E$11+1,1))</f>
        <v>221.18884567967481</v>
      </c>
      <c r="BJ67" s="60">
        <f t="shared" si="38"/>
        <v>189.31596996710888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1.6750000000000014</v>
      </c>
      <c r="BY67" s="13">
        <f>IF('Données projet'!$A$114&gt;35,BY66+BX67-CG66,IF(A67&lt;'Données projet'!$A$114,$BV$205^A67,IF(A67='Données projet'!$A$114,'Données projet'!$B$114,BY66+BX67-CG66)))</f>
        <v>82.812499999999957</v>
      </c>
      <c r="BZ67" s="14">
        <f>BY67*VLOOKUP('Données projet'!$B$12,Paramètres!$A$1:$I$89,3,0)*VLOOKUP('Données projet'!$B$12,Paramètres!$A$1:$I$89,5,0)</f>
        <v>95.399999999999949</v>
      </c>
      <c r="CA67" s="14">
        <f t="shared" si="39"/>
        <v>25.863125591712326</v>
      </c>
      <c r="CB67" s="22">
        <f t="shared" si="10"/>
        <v>211.1999437388989</v>
      </c>
      <c r="CC67" s="60">
        <f t="shared" si="11"/>
        <v>459.07162568808872</v>
      </c>
      <c r="CD67" s="60">
        <f ca="1">AVERAGE(OFFSET($CC$3,0,0,'Données projet'!$E$12+1,1))-AVERAGE(OFFSET($H$3,0,0,'Données projet'!$E$12+1,1))</f>
        <v>314.72063458462026</v>
      </c>
      <c r="CE67" s="60">
        <f t="shared" si="40"/>
        <v>216.4380325968244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5.4</v>
      </c>
      <c r="CT67" s="13">
        <f>IF('Données projet'!$A$140&gt;35,CT66+CS67-DB66,IF(A67&lt;'Données projet'!$A$140,$CQ$205^A67,IF(A67='Données projet'!$A$140,'Données projet'!$B$140,CT66+CS67-DB66)))</f>
        <v>169.6</v>
      </c>
      <c r="CU67" s="18">
        <f>CT67*VLOOKUP('Données projet'!$B$13,Paramètres!$A$1:$I$89,3,0)*VLOOKUP('Données projet'!$B$13,Paramètres!$A$1:$I$89,5,0)</f>
        <v>182.55743999999999</v>
      </c>
      <c r="CV67" s="14">
        <f t="shared" si="41"/>
        <v>45.890701422165712</v>
      </c>
      <c r="CW67" s="22">
        <f t="shared" si="13"/>
        <v>397.88051297693852</v>
      </c>
      <c r="CX67" s="60">
        <f t="shared" si="14"/>
        <v>645.75219492612837</v>
      </c>
      <c r="CY67" s="60">
        <f ca="1">AVERAGE(OFFSET($CX$3,0,0,'Données projet'!$E$13+1,1))-AVERAGE(OFFSET($H$3,0,0,'Données projet'!$E$13+1,1))</f>
        <v>465.51503238626822</v>
      </c>
      <c r="CZ67" s="60">
        <f t="shared" si="42"/>
        <v>205.55320107663496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5.4</v>
      </c>
      <c r="DO67" s="13">
        <f>IF('Données projet'!$A$166&gt;35,DO66+DN67-DW66,IF(A67&lt;'Données projet'!$A$166,$DL$205^A67,IF(A67='Données projet'!$A$166,'Données projet'!$B$166,DO66+DN67-DW66)))</f>
        <v>169.6</v>
      </c>
      <c r="DP67" s="18">
        <f>DO67*VLOOKUP('Données projet'!$B$14,Paramètres!$A$1:$I$89,3,0)*VLOOKUP('Données projet'!$B$14,Paramètres!$A$1:$I$89,5,0)</f>
        <v>145.51680000000002</v>
      </c>
      <c r="DQ67" s="14">
        <f t="shared" si="43"/>
        <v>37.55797008025327</v>
      </c>
      <c r="DR67" s="22">
        <f t="shared" si="16"/>
        <v>318.85522455644116</v>
      </c>
      <c r="DS67" s="60">
        <f t="shared" si="17"/>
        <v>566.72690650563095</v>
      </c>
      <c r="DT67" s="60">
        <f ca="1">AVERAGE(OFFSET($DS$3,0,0,'Données projet'!$E$14+1,1))-AVERAGE(OFFSET($H$3,0,0,'Données projet'!$E$14+1,1))</f>
        <v>393.79546872270964</v>
      </c>
      <c r="DU67" s="60">
        <f t="shared" si="44"/>
        <v>179.7333990060757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135.66666666666666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6.6395604395604311</v>
      </c>
      <c r="N68" s="14">
        <f>IF('Données projet'!$A$36&gt;35,N67+M68-V67,IF(A68&lt;'Données projet'!$A$36,$K$205^A68,IF(A68='Données projet'!$A$36,'Données projet'!$B$36,N67+M68-V67)))</f>
        <v>264.52857142857141</v>
      </c>
      <c r="O68" s="14">
        <f>N68*VLOOKUP('Données projet'!$B$9,Paramètres!$A$1:$I$89,3,0)*VLOOKUP('Données projet'!$B$9,Paramètres!$A$1:$I$89,5,0)</f>
        <v>123.79937142857142</v>
      </c>
      <c r="P68" s="14">
        <f t="shared" si="33"/>
        <v>32.559526322430493</v>
      </c>
      <c r="Q68" s="22">
        <f t="shared" si="54"/>
        <v>272.32508024966165</v>
      </c>
      <c r="R68" s="60">
        <f t="shared" si="55"/>
        <v>520.98542021334015</v>
      </c>
      <c r="S68" s="60">
        <f ca="1">AVERAGE(OFFSET($R$3,0,0,'Données projet'!$E$9+1,1))-AVERAGE(OFFSET($H$3,0,0,'Données projet'!$E$9+1,1))</f>
        <v>291.44524568678776</v>
      </c>
      <c r="T68" s="60">
        <f t="shared" si="34"/>
        <v>136.43373205899937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254.3</v>
      </c>
      <c r="AG68" s="13">
        <f>VLOOKUP(A68,'Données projet'!$A$61:$I$81,9,0)</f>
        <v>2.7600000000000025</v>
      </c>
      <c r="AH68" s="13">
        <f t="array" ref="AH68">INDEX(AG:AG,MIN(IF(ISNUMBER(AG68:AG264),ROW(AG68:AG264),"")))</f>
        <v>2.7600000000000025</v>
      </c>
      <c r="AI68" s="14">
        <f>IF('Données projet'!$A$62&gt;35,AI67+AH68-AQ67,IF(A68&lt;'Données projet'!$A$62,$AF$205^A68,IF(A68='Données projet'!$A$62,'Données projet'!$B$62,AI67+AH68-AQ67)))</f>
        <v>254.29999999999993</v>
      </c>
      <c r="AJ68" s="14">
        <f>AI68*VLOOKUP('Données projet'!$B$10,Paramètres!$A$1:$I$89,3,0)*VLOOKUP('Données projet'!$B$10,Paramètres!$A$1:$I$89,5,0)</f>
        <v>132.23599999999996</v>
      </c>
      <c r="AK68" s="14">
        <f t="shared" si="35"/>
        <v>34.512519351186441</v>
      </c>
      <c r="AL68" s="22">
        <f t="shared" ref="AL68:AL131" si="58">(AJ68+AK68)*0.475*44/12</f>
        <v>290.42033786998297</v>
      </c>
      <c r="AM68" s="60">
        <f t="shared" ref="AM68:AM131" si="59">AL68+(AD68+AE68)*44/12</f>
        <v>539.08067783366153</v>
      </c>
      <c r="AN68" s="60">
        <f ca="1">AVERAGE(OFFSET($AM$3,0,0,'Données projet'!$E$10+1,1))-AVERAGE(OFFSET($H$3,0,0,'Données projet'!$E$10+1,1))</f>
        <v>300.72820267660154</v>
      </c>
      <c r="AO68" s="60">
        <f t="shared" si="36"/>
        <v>228.35388778608589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5.1989010989010991</v>
      </c>
      <c r="BD68" s="13">
        <f>IF('Données projet'!$A$88&gt;35,BD67+BC68-BL67,IF(A68&lt;'Données projet'!$A$88,$BA$205^A68,IF(A68='Données projet'!$A$88,'Données projet'!$B$88,BD67+BC68-BL67)))</f>
        <v>179.20109890109899</v>
      </c>
      <c r="BE68" s="14">
        <f>BD68*VLOOKUP('Données projet'!$B$11,Paramètres!$A$1:$I$89,3,0)*VLOOKUP('Données projet'!$B$11,Paramètres!$A$1:$I$89,5,0)</f>
        <v>104.83264285714291</v>
      </c>
      <c r="BF68" s="14">
        <f t="shared" si="37"/>
        <v>28.110126684008662</v>
      </c>
      <c r="BG68" s="22">
        <f t="shared" ref="BG68:BG131" si="61">(BE68+BF68)*0.475*44/12</f>
        <v>231.54199028417233</v>
      </c>
      <c r="BH68" s="60">
        <f t="shared" ref="BH68:BH131" si="62">BG68+(AY68+AZ68)*44/12</f>
        <v>480.20233024785091</v>
      </c>
      <c r="BI68" s="60">
        <f ca="1">AVERAGE(OFFSET($BH$3,0,0,'Données projet'!$E$11+1,1))-AVERAGE(OFFSET($H$3,0,0,'Données projet'!$E$11+1,1))</f>
        <v>221.18884567967481</v>
      </c>
      <c r="BJ68" s="60">
        <f t="shared" si="38"/>
        <v>189.31596996710888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1.6750000000000014</v>
      </c>
      <c r="BY68" s="13">
        <f>IF('Données projet'!$A$114&gt;35,BY67+BX68-CG67,IF(A68&lt;'Données projet'!$A$114,$BV$205^A68,IF(A68='Données projet'!$A$114,'Données projet'!$B$114,BY67+BX68-CG67)))</f>
        <v>84.487499999999955</v>
      </c>
      <c r="BZ68" s="14">
        <f>BY68*VLOOKUP('Données projet'!$B$12,Paramètres!$A$1:$I$89,3,0)*VLOOKUP('Données projet'!$B$12,Paramètres!$A$1:$I$89,5,0)</f>
        <v>97.329599999999928</v>
      </c>
      <c r="CA68" s="14">
        <f t="shared" si="39"/>
        <v>26.324812862564265</v>
      </c>
      <c r="CB68" s="22">
        <f t="shared" ref="CB68:CB131" si="64">(BZ68+CA68)*0.475*44/12</f>
        <v>215.36476906896596</v>
      </c>
      <c r="CC68" s="60">
        <f t="shared" ref="CC68:CC131" si="65">CB68+(BT68+BU68)*44/12</f>
        <v>464.02510903264454</v>
      </c>
      <c r="CD68" s="60">
        <f ca="1">AVERAGE(OFFSET($CC$3,0,0,'Données projet'!$E$12+1,1))-AVERAGE(OFFSET($H$3,0,0,'Données projet'!$E$12+1,1))</f>
        <v>314.72063458462026</v>
      </c>
      <c r="CE68" s="60">
        <f t="shared" si="40"/>
        <v>216.4380325968244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175</v>
      </c>
      <c r="CR68" s="13">
        <f>VLOOKUP(A68,'Données projet'!$A$139:$I$159,9,0)</f>
        <v>5.4</v>
      </c>
      <c r="CS68" s="13">
        <f t="array" ref="CS68">INDEX(CR:CR,MIN(IF(ISNUMBER(CR68:CR264),ROW(CR68:CR264),"")))</f>
        <v>5.4</v>
      </c>
      <c r="CT68" s="13">
        <f>IF('Données projet'!$A$140&gt;35,CT67+CS68-DB67,IF(A68&lt;'Données projet'!$A$140,$CQ$205^A68,IF(A68='Données projet'!$A$140,'Données projet'!$B$140,CT67+CS68-DB67)))</f>
        <v>175</v>
      </c>
      <c r="CU68" s="18">
        <f>CT68*VLOOKUP('Données projet'!$B$13,Paramètres!$A$1:$I$89,3,0)*VLOOKUP('Données projet'!$B$13,Paramètres!$A$1:$I$89,5,0)</f>
        <v>188.36999999999998</v>
      </c>
      <c r="CV68" s="14">
        <f t="shared" si="41"/>
        <v>47.179402486491298</v>
      </c>
      <c r="CW68" s="22">
        <f t="shared" ref="CW68:CW131" si="67">(CU68+CV68)*0.475*44/12</f>
        <v>410.24854266397227</v>
      </c>
      <c r="CX68" s="60">
        <f t="shared" ref="CX68:CX131" si="68">CW68+(CO68+CP68)*44/12</f>
        <v>658.90888262765088</v>
      </c>
      <c r="CY68" s="60">
        <f ca="1">AVERAGE(OFFSET($CX$3,0,0,'Données projet'!$E$13+1,1))-AVERAGE(OFFSET($H$3,0,0,'Données projet'!$E$13+1,1))</f>
        <v>465.51503238626822</v>
      </c>
      <c r="CZ68" s="60">
        <f t="shared" si="42"/>
        <v>205.55320107663496</v>
      </c>
      <c r="DA68" s="16">
        <f>IF(ISNA(VLOOKUP(A68,'Données projet'!$A$139:$I$159,3,0)),0,VLOOKUP(A68,'Données projet'!$A$139:$I$159,3,0))</f>
        <v>4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175</v>
      </c>
      <c r="DM68" s="13">
        <f>VLOOKUP(A68,'Données projet'!$A$165:$I$185,9,0)</f>
        <v>5.4</v>
      </c>
      <c r="DN68" s="13">
        <f t="array" ref="DN68">INDEX(DM:DM,MIN(IF(ISNUMBER(DM68:DM264),ROW(DM68:DM264),"")))</f>
        <v>5.4</v>
      </c>
      <c r="DO68" s="13">
        <f>IF('Données projet'!$A$166&gt;35,DO67+DN68-DW67,IF(A68&lt;'Données projet'!$A$166,$DL$205^A68,IF(A68='Données projet'!$A$166,'Données projet'!$B$166,DO67+DN68-DW67)))</f>
        <v>175</v>
      </c>
      <c r="DP68" s="18">
        <f>DO68*VLOOKUP('Données projet'!$B$14,Paramètres!$A$1:$I$89,3,0)*VLOOKUP('Données projet'!$B$14,Paramètres!$A$1:$I$89,5,0)</f>
        <v>150.15000000000003</v>
      </c>
      <c r="DQ68" s="14">
        <f t="shared" si="43"/>
        <v>38.612671675922336</v>
      </c>
      <c r="DR68" s="22">
        <f t="shared" ref="DR68:DR131" si="70">(DP68+DQ68)*0.475*44/12</f>
        <v>328.76165316889814</v>
      </c>
      <c r="DS68" s="60">
        <f t="shared" ref="DS68:DS131" si="71">DR68+(DJ68+DK68)*44/12</f>
        <v>577.42199313257674</v>
      </c>
      <c r="DT68" s="60">
        <f ca="1">AVERAGE(OFFSET($DS$3,0,0,'Données projet'!$E$14+1,1))-AVERAGE(OFFSET($H$3,0,0,'Données projet'!$E$14+1,1))</f>
        <v>393.79546872270964</v>
      </c>
      <c r="DU68" s="60">
        <f t="shared" si="44"/>
        <v>179.7333990060757</v>
      </c>
      <c r="DV68" s="16">
        <f>IF(ISNA(VLOOKUP(A68,'Données projet'!$A$165:$I$185,3,0)),0,VLOOKUP(A68,'Données projet'!$A$165:$I$185,3,0))</f>
        <v>4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135.66666666666666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6.6395604395604311</v>
      </c>
      <c r="N69" s="14">
        <f>IF('Données projet'!$A$36&gt;35,N68+M69-V68,IF(A69&lt;'Données projet'!$A$36,$K$205^A69,IF(A69='Données projet'!$A$36,'Données projet'!$B$36,N68+M69-V68)))</f>
        <v>271.16813186813187</v>
      </c>
      <c r="O69" s="14">
        <f>N69*VLOOKUP('Données projet'!$B$9,Paramètres!$A$1:$I$89,3,0)*VLOOKUP('Données projet'!$B$9,Paramètres!$A$1:$I$89,5,0)</f>
        <v>126.90668571428571</v>
      </c>
      <c r="P69" s="14">
        <f t="shared" ref="P69:P132" si="87">EXP(-1.0587+0.8836*LN(O69)+0.284)</f>
        <v>33.280586488776102</v>
      </c>
      <c r="Q69" s="22">
        <f t="shared" si="54"/>
        <v>278.99283242033266</v>
      </c>
      <c r="R69" s="60">
        <f t="shared" si="55"/>
        <v>528.42814894512378</v>
      </c>
      <c r="S69" s="60">
        <f ca="1">AVERAGE(OFFSET($R$3,0,0,'Données projet'!$E$9+1,1))-AVERAGE(OFFSET($H$3,0,0,'Données projet'!$E$9+1,1))</f>
        <v>291.44524568678776</v>
      </c>
      <c r="T69" s="60">
        <f t="shared" ref="T69:T132" si="88">$T$3</f>
        <v>136.43373205899937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2.5199999999999934</v>
      </c>
      <c r="AI69" s="14">
        <f>IF('Données projet'!$A$62&gt;35,AI68+AH69-AQ68,IF(A69&lt;'Données projet'!$A$62,$AF$205^A69,IF(A69='Données projet'!$A$62,'Données projet'!$B$62,AI68+AH69-AQ68)))</f>
        <v>256.81999999999994</v>
      </c>
      <c r="AJ69" s="14">
        <f>AI69*VLOOKUP('Données projet'!$B$10,Paramètres!$A$1:$I$89,3,0)*VLOOKUP('Données projet'!$B$10,Paramètres!$A$1:$I$89,5,0)</f>
        <v>133.54639999999998</v>
      </c>
      <c r="AK69" s="14">
        <f t="shared" ref="AK69:AK132" si="89">EXP(-1.0587+0.8836*LN(AJ69)+0.284)</f>
        <v>34.814540200675559</v>
      </c>
      <c r="AL69" s="22">
        <f t="shared" si="58"/>
        <v>293.22863751617655</v>
      </c>
      <c r="AM69" s="60">
        <f t="shared" si="59"/>
        <v>542.66395404096761</v>
      </c>
      <c r="AN69" s="60">
        <f ca="1">AVERAGE(OFFSET($AM$3,0,0,'Données projet'!$E$10+1,1))-AVERAGE(OFFSET($H$3,0,0,'Données projet'!$E$10+1,1))</f>
        <v>300.72820267660154</v>
      </c>
      <c r="AO69" s="60">
        <f t="shared" ref="AO69:AO132" si="90">$AO$3</f>
        <v>228.35388778608589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184.4</v>
      </c>
      <c r="BB69" s="13">
        <f>VLOOKUP(A69,'Données projet'!$A$87:$I$107,9,0)</f>
        <v>5.1989010989010991</v>
      </c>
      <c r="BC69" s="13">
        <f t="array" ref="BC69">INDEX(BB:BB,MIN(IF(ISNUMBER(BB69:BB265),ROW(BB69:BB265),"")))</f>
        <v>5.1989010989010991</v>
      </c>
      <c r="BD69" s="13">
        <f>IF('Données projet'!$A$88&gt;35,BD68+BC69-BL68,IF(A69&lt;'Données projet'!$A$88,$BA$205^A69,IF(A69='Données projet'!$A$88,'Données projet'!$B$88,BD68+BC69-BL68)))</f>
        <v>184.40000000000009</v>
      </c>
      <c r="BE69" s="14">
        <f>BD69*VLOOKUP('Données projet'!$B$11,Paramètres!$A$1:$I$89,3,0)*VLOOKUP('Données projet'!$B$11,Paramètres!$A$1:$I$89,5,0)</f>
        <v>107.87400000000007</v>
      </c>
      <c r="BF69" s="14">
        <f t="shared" ref="BF69:BF132" si="91">EXP(-1.0587+0.8836*LN(BE69)+0.284)</f>
        <v>28.829514857540598</v>
      </c>
      <c r="BG69" s="22">
        <f t="shared" si="61"/>
        <v>238.09195504354997</v>
      </c>
      <c r="BH69" s="60">
        <f t="shared" si="62"/>
        <v>487.52727156834112</v>
      </c>
      <c r="BI69" s="60">
        <f ca="1">AVERAGE(OFFSET($BH$3,0,0,'Données projet'!$E$11+1,1))-AVERAGE(OFFSET($H$3,0,0,'Données projet'!$E$11+1,1))</f>
        <v>221.18884567967481</v>
      </c>
      <c r="BJ69" s="60">
        <f t="shared" ref="BJ69:BJ132" si="92">$BJ$3</f>
        <v>189.31596996710888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1.6750000000000014</v>
      </c>
      <c r="BY69" s="13">
        <f>IF('Données projet'!$A$114&gt;35,BY68+BX69-CG68,IF(A69&lt;'Données projet'!$A$114,$BV$205^A69,IF(A69='Données projet'!$A$114,'Données projet'!$B$114,BY68+BX69-CG68)))</f>
        <v>86.162499999999952</v>
      </c>
      <c r="BZ69" s="14">
        <f>BY69*VLOOKUP('Données projet'!$B$12,Paramètres!$A$1:$I$89,3,0)*VLOOKUP('Données projet'!$B$12,Paramètres!$A$1:$I$89,5,0)</f>
        <v>99.259199999999936</v>
      </c>
      <c r="CA69" s="14">
        <f t="shared" ref="CA69:CA132" si="93">EXP(-1.0587+0.8836*LN(BZ69)+0.284)</f>
        <v>26.785435862245482</v>
      </c>
      <c r="CB69" s="22">
        <f t="shared" si="64"/>
        <v>219.52774079341077</v>
      </c>
      <c r="CC69" s="60">
        <f t="shared" si="65"/>
        <v>468.96305731820189</v>
      </c>
      <c r="CD69" s="60">
        <f ca="1">AVERAGE(OFFSET($CC$3,0,0,'Données projet'!$E$12+1,1))-AVERAGE(OFFSET($H$3,0,0,'Données projet'!$E$12+1,1))</f>
        <v>314.72063458462026</v>
      </c>
      <c r="CE69" s="60">
        <f t="shared" ref="CE69:CE132" si="94">$CE$3</f>
        <v>216.4380325968244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152</v>
      </c>
      <c r="CU69" s="18">
        <f>CT69*VLOOKUP('Données projet'!$B$13,Paramètres!$A$1:$I$89,3,0)*VLOOKUP('Données projet'!$B$13,Paramètres!$A$1:$I$89,5,0)</f>
        <v>163.61279999999999</v>
      </c>
      <c r="CV69" s="14">
        <f t="shared" ref="CV69:CV132" si="95">EXP(-1.0587+0.8836*LN(CU69)+0.284)</f>
        <v>41.656330547871804</v>
      </c>
      <c r="CW69" s="22">
        <f t="shared" si="67"/>
        <v>357.51040237087665</v>
      </c>
      <c r="CX69" s="60">
        <f t="shared" si="68"/>
        <v>606.94571889566782</v>
      </c>
      <c r="CY69" s="60">
        <f ca="1">AVERAGE(OFFSET($CX$3,0,0,'Données projet'!$E$13+1,1))-AVERAGE(OFFSET($H$3,0,0,'Données projet'!$E$13+1,1))</f>
        <v>465.51503238626822</v>
      </c>
      <c r="CZ69" s="60">
        <f t="shared" ref="CZ69:CZ132" si="96">$CZ$3</f>
        <v>205.55320107663496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</v>
      </c>
      <c r="DO69" s="13">
        <f>IF('Données projet'!$A$166&gt;35,DO68+DN69-DW68,IF(A69&lt;'Données projet'!$A$166,$DL$205^A69,IF(A69='Données projet'!$A$166,'Données projet'!$B$166,DO68+DN69-DW68)))</f>
        <v>152</v>
      </c>
      <c r="DP69" s="18">
        <f>DO69*VLOOKUP('Données projet'!$B$14,Paramètres!$A$1:$I$89,3,0)*VLOOKUP('Données projet'!$B$14,Paramètres!$A$1:$I$89,5,0)</f>
        <v>130.41600000000003</v>
      </c>
      <c r="DQ69" s="14">
        <f t="shared" ref="DQ69:DQ132" si="97">EXP(-1.0587+0.8836*LN(DP69)+0.284)</f>
        <v>34.092466837179941</v>
      </c>
      <c r="DR69" s="22">
        <f t="shared" si="70"/>
        <v>286.51891307475512</v>
      </c>
      <c r="DS69" s="60">
        <f t="shared" si="71"/>
        <v>535.95422959954624</v>
      </c>
      <c r="DT69" s="60">
        <f ca="1">AVERAGE(OFFSET($DS$3,0,0,'Données projet'!$E$14+1,1))-AVERAGE(OFFSET($H$3,0,0,'Données projet'!$E$14+1,1))</f>
        <v>393.79546872270964</v>
      </c>
      <c r="DU69" s="60">
        <f t="shared" ref="DU69:DU132" si="98">$DU$3</f>
        <v>179.7333990060757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135.66666666666666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>
        <f>VLOOKUP(A70,'Données projet'!$A$35:$I$55,2,0)</f>
        <v>277.80769230769226</v>
      </c>
      <c r="L70" s="13">
        <f>VLOOKUP(A70,'Données projet'!$A$35:$I$55,9,0)</f>
        <v>6.6395604395604311</v>
      </c>
      <c r="M70" s="13">
        <f t="array" ref="M70">INDEX(L:L,MIN(IF(ISNUMBER(L70:L266),ROW(L70:L266),"")))</f>
        <v>6.6395604395604311</v>
      </c>
      <c r="N70" s="14">
        <f>IF('Données projet'!$A$36&gt;35,N69+M70-V69,IF(A70&lt;'Données projet'!$A$36,$K$205^A70,IF(A70='Données projet'!$A$36,'Données projet'!$B$36,N69+M70-V69)))</f>
        <v>277.80769230769232</v>
      </c>
      <c r="O70" s="14">
        <f>N70*VLOOKUP('Données projet'!$B$9,Paramètres!$A$1:$I$89,3,0)*VLOOKUP('Données projet'!$B$9,Paramètres!$A$1:$I$89,5,0)</f>
        <v>130.01400000000001</v>
      </c>
      <c r="P70" s="14">
        <f t="shared" si="87"/>
        <v>33.999594301024523</v>
      </c>
      <c r="Q70" s="22">
        <f t="shared" si="54"/>
        <v>285.65701007428441</v>
      </c>
      <c r="R70" s="60">
        <f t="shared" si="55"/>
        <v>535.85385904944076</v>
      </c>
      <c r="S70" s="60">
        <f ca="1">AVERAGE(OFFSET($R$3,0,0,'Données projet'!$E$9+1,1))-AVERAGE(OFFSET($H$3,0,0,'Données projet'!$E$9+1,1))</f>
        <v>291.44524568678776</v>
      </c>
      <c r="T70" s="60">
        <f t="shared" si="88"/>
        <v>136.43373205899937</v>
      </c>
      <c r="U70" s="16">
        <f>IF(ISNA(VLOOKUP(A70,'Données projet'!$A$35:$I$55,3,0)),0,VLOOKUP(A70,'Données projet'!$A$35:$I$55,3,0))</f>
        <v>1</v>
      </c>
      <c r="V70" s="16">
        <f>IF(ISNA(VLOOKUP(A70,'Données projet'!$A$35:$I$55,4,0)),0,VLOOKUP(A70,'Données projet'!$A$35:$I$55,4,0))</f>
        <v>74.123076923076923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2.5199999999999934</v>
      </c>
      <c r="AI70" s="14">
        <f>IF('Données projet'!$A$62&gt;35,AI69+AH70-AQ69,IF(A70&lt;'Données projet'!$A$62,$AF$205^A70,IF(A70='Données projet'!$A$62,'Données projet'!$B$62,AI69+AH70-AQ69)))</f>
        <v>259.33999999999992</v>
      </c>
      <c r="AJ70" s="14">
        <f>AI70*VLOOKUP('Données projet'!$B$10,Paramètres!$A$1:$I$89,3,0)*VLOOKUP('Données projet'!$B$10,Paramètres!$A$1:$I$89,5,0)</f>
        <v>134.85679999999996</v>
      </c>
      <c r="AK70" s="14">
        <f t="shared" si="89"/>
        <v>35.11621628690127</v>
      </c>
      <c r="AL70" s="22">
        <f t="shared" si="58"/>
        <v>296.03633669968633</v>
      </c>
      <c r="AM70" s="60">
        <f t="shared" si="59"/>
        <v>546.23318567484273</v>
      </c>
      <c r="AN70" s="60">
        <f ca="1">AVERAGE(OFFSET($AM$3,0,0,'Données projet'!$E$10+1,1))-AVERAGE(OFFSET($H$3,0,0,'Données projet'!$E$10+1,1))</f>
        <v>300.72820267660154</v>
      </c>
      <c r="AO70" s="60">
        <f t="shared" si="90"/>
        <v>228.35388778608589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5.3778846153846125</v>
      </c>
      <c r="BD70" s="13">
        <f>IF('Données projet'!$A$88&gt;35,BD69+BC70-BL69,IF(A70&lt;'Données projet'!$A$88,$BA$205^A70,IF(A70='Données projet'!$A$88,'Données projet'!$B$88,BD69+BC70-BL69)))</f>
        <v>189.77788461538469</v>
      </c>
      <c r="BE70" s="14">
        <f>BD70*VLOOKUP('Données projet'!$B$11,Paramètres!$A$1:$I$89,3,0)*VLOOKUP('Données projet'!$B$11,Paramètres!$A$1:$I$89,5,0)</f>
        <v>111.02006250000005</v>
      </c>
      <c r="BF70" s="14">
        <f t="shared" si="91"/>
        <v>29.571189989165418</v>
      </c>
      <c r="BG70" s="22">
        <f t="shared" si="61"/>
        <v>244.86309808529651</v>
      </c>
      <c r="BH70" s="60">
        <f t="shared" si="62"/>
        <v>495.05994706045288</v>
      </c>
      <c r="BI70" s="60">
        <f ca="1">AVERAGE(OFFSET($BH$3,0,0,'Données projet'!$E$11+1,1))-AVERAGE(OFFSET($H$3,0,0,'Données projet'!$E$11+1,1))</f>
        <v>221.18884567967481</v>
      </c>
      <c r="BJ70" s="60">
        <f t="shared" si="92"/>
        <v>189.31596996710888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1.6750000000000014</v>
      </c>
      <c r="BY70" s="13">
        <f>IF('Données projet'!$A$114&gt;35,BY69+BX70-CG69,IF(A70&lt;'Données projet'!$A$114,$BV$205^A70,IF(A70='Données projet'!$A$114,'Données projet'!$B$114,BY69+BX70-CG69)))</f>
        <v>87.837499999999949</v>
      </c>
      <c r="BZ70" s="14">
        <f>BY70*VLOOKUP('Données projet'!$B$12,Paramètres!$A$1:$I$89,3,0)*VLOOKUP('Données projet'!$B$12,Paramètres!$A$1:$I$89,5,0)</f>
        <v>101.18879999999993</v>
      </c>
      <c r="CA70" s="14">
        <f t="shared" si="93"/>
        <v>27.245017665270392</v>
      </c>
      <c r="CB70" s="22">
        <f t="shared" si="64"/>
        <v>223.68889910034579</v>
      </c>
      <c r="CC70" s="60">
        <f t="shared" si="65"/>
        <v>473.88574807550219</v>
      </c>
      <c r="CD70" s="60">
        <f ca="1">AVERAGE(OFFSET($CC$3,0,0,'Données projet'!$E$12+1,1))-AVERAGE(OFFSET($H$3,0,0,'Données projet'!$E$12+1,1))</f>
        <v>314.72063458462026</v>
      </c>
      <c r="CE70" s="60">
        <f t="shared" si="94"/>
        <v>216.4380325968244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157</v>
      </c>
      <c r="CU70" s="18">
        <f>CT70*VLOOKUP('Données projet'!$B$13,Paramètres!$A$1:$I$89,3,0)*VLOOKUP('Données projet'!$B$13,Paramètres!$A$1:$I$89,5,0)</f>
        <v>168.9948</v>
      </c>
      <c r="CV70" s="14">
        <f t="shared" si="95"/>
        <v>42.864814577758281</v>
      </c>
      <c r="CW70" s="22">
        <f t="shared" si="67"/>
        <v>368.98882872292899</v>
      </c>
      <c r="CX70" s="60">
        <f t="shared" si="68"/>
        <v>619.18567769808533</v>
      </c>
      <c r="CY70" s="60">
        <f ca="1">AVERAGE(OFFSET($CX$3,0,0,'Données projet'!$E$13+1,1))-AVERAGE(OFFSET($H$3,0,0,'Données projet'!$E$13+1,1))</f>
        <v>465.51503238626822</v>
      </c>
      <c r="CZ70" s="60">
        <f t="shared" si="96"/>
        <v>205.55320107663496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</v>
      </c>
      <c r="DO70" s="13">
        <f>IF('Données projet'!$A$166&gt;35,DO69+DN70-DW69,IF(A70&lt;'Données projet'!$A$166,$DL$205^A70,IF(A70='Données projet'!$A$166,'Données projet'!$B$166,DO69+DN70-DW69)))</f>
        <v>157</v>
      </c>
      <c r="DP70" s="18">
        <f>DO70*VLOOKUP('Données projet'!$B$14,Paramètres!$A$1:$I$89,3,0)*VLOOKUP('Données projet'!$B$14,Paramètres!$A$1:$I$89,5,0)</f>
        <v>134.70600000000002</v>
      </c>
      <c r="DQ70" s="14">
        <f t="shared" si="97"/>
        <v>35.081517028838505</v>
      </c>
      <c r="DR70" s="22">
        <f t="shared" si="70"/>
        <v>295.71325882522706</v>
      </c>
      <c r="DS70" s="60">
        <f t="shared" si="71"/>
        <v>545.91010780038346</v>
      </c>
      <c r="DT70" s="60">
        <f ca="1">AVERAGE(OFFSET($DS$3,0,0,'Données projet'!$E$14+1,1))-AVERAGE(OFFSET($H$3,0,0,'Données projet'!$E$14+1,1))</f>
        <v>393.79546872270964</v>
      </c>
      <c r="DU70" s="60">
        <f t="shared" si="98"/>
        <v>179.7333990060757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135.66666666666666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5.8142857142857167</v>
      </c>
      <c r="N71" s="14">
        <f>IF('Données projet'!$A$36&gt;35,N70+M71-V70,IF(A71&lt;'Données projet'!$A$36,$K$205^A71,IF(A71='Données projet'!$A$36,'Données projet'!$B$36,N70+M71-V70)))</f>
        <v>209.49890109890114</v>
      </c>
      <c r="O71" s="14">
        <f>N71*VLOOKUP('Données projet'!$B$9,Paramètres!$A$1:$I$89,3,0)*VLOOKUP('Données projet'!$B$9,Paramètres!$A$1:$I$89,5,0)</f>
        <v>98.045485714285732</v>
      </c>
      <c r="P71" s="14">
        <f t="shared" si="87"/>
        <v>26.495827905256064</v>
      </c>
      <c r="Q71" s="22">
        <f t="shared" si="54"/>
        <v>216.90945455403528</v>
      </c>
      <c r="R71" s="60">
        <f t="shared" si="55"/>
        <v>467.85462509407444</v>
      </c>
      <c r="S71" s="60">
        <f ca="1">AVERAGE(OFFSET($R$3,0,0,'Données projet'!$E$9+1,1))-AVERAGE(OFFSET($H$3,0,0,'Données projet'!$E$9+1,1))</f>
        <v>291.44524568678776</v>
      </c>
      <c r="T71" s="60">
        <f t="shared" si="88"/>
        <v>136.43373205899937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2.5199999999999934</v>
      </c>
      <c r="AI71" s="14">
        <f>IF('Données projet'!$A$62&gt;35,AI70+AH71-AQ70,IF(A71&lt;'Données projet'!$A$62,$AF$205^A71,IF(A71='Données projet'!$A$62,'Données projet'!$B$62,AI70+AH71-AQ70)))</f>
        <v>261.8599999999999</v>
      </c>
      <c r="AJ71" s="14">
        <f>AI71*VLOOKUP('Données projet'!$B$10,Paramètres!$A$1:$I$89,3,0)*VLOOKUP('Données projet'!$B$10,Paramètres!$A$1:$I$89,5,0)</f>
        <v>136.16719999999998</v>
      </c>
      <c r="AK71" s="14">
        <f t="shared" si="89"/>
        <v>35.417551347869569</v>
      </c>
      <c r="AL71" s="22">
        <f t="shared" si="58"/>
        <v>298.84344193087276</v>
      </c>
      <c r="AM71" s="60">
        <f t="shared" si="59"/>
        <v>549.78861247091197</v>
      </c>
      <c r="AN71" s="60">
        <f ca="1">AVERAGE(OFFSET($AM$3,0,0,'Données projet'!$E$10+1,1))-AVERAGE(OFFSET($H$3,0,0,'Données projet'!$E$10+1,1))</f>
        <v>300.72820267660154</v>
      </c>
      <c r="AO71" s="60">
        <f t="shared" si="90"/>
        <v>228.35388778608589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5.3778846153846125</v>
      </c>
      <c r="BD71" s="13">
        <f>IF('Données projet'!$A$88&gt;35,BD70+BC71-BL70,IF(A71&lt;'Données projet'!$A$88,$BA$205^A71,IF(A71='Données projet'!$A$88,'Données projet'!$B$88,BD70+BC71-BL70)))</f>
        <v>195.15576923076929</v>
      </c>
      <c r="BE71" s="14">
        <f>BD71*VLOOKUP('Données projet'!$B$11,Paramètres!$A$1:$I$89,3,0)*VLOOKUP('Données projet'!$B$11,Paramètres!$A$1:$I$89,5,0)</f>
        <v>114.16612500000004</v>
      </c>
      <c r="BF71" s="14">
        <f t="shared" si="91"/>
        <v>30.310422376920027</v>
      </c>
      <c r="BG71" s="22">
        <f t="shared" si="61"/>
        <v>251.62998668146909</v>
      </c>
      <c r="BH71" s="60">
        <f t="shared" si="62"/>
        <v>502.57515722150828</v>
      </c>
      <c r="BI71" s="60">
        <f ca="1">AVERAGE(OFFSET($BH$3,0,0,'Données projet'!$E$11+1,1))-AVERAGE(OFFSET($H$3,0,0,'Données projet'!$E$11+1,1))</f>
        <v>221.18884567967481</v>
      </c>
      <c r="BJ71" s="60">
        <f t="shared" si="92"/>
        <v>189.31596996710888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1.6750000000000014</v>
      </c>
      <c r="BY71" s="13">
        <f>IF('Données projet'!$A$114&gt;35,BY70+BX71-CG70,IF(A71&lt;'Données projet'!$A$114,$BV$205^A71,IF(A71='Données projet'!$A$114,'Données projet'!$B$114,BY70+BX71-CG70)))</f>
        <v>89.512499999999946</v>
      </c>
      <c r="BZ71" s="14">
        <f>BY71*VLOOKUP('Données projet'!$B$12,Paramètres!$A$1:$I$89,3,0)*VLOOKUP('Données projet'!$B$12,Paramètres!$A$1:$I$89,5,0)</f>
        <v>103.11839999999994</v>
      </c>
      <c r="CA71" s="14">
        <f t="shared" si="93"/>
        <v>27.703580415769611</v>
      </c>
      <c r="CB71" s="22">
        <f t="shared" si="64"/>
        <v>227.8482825574653</v>
      </c>
      <c r="CC71" s="60">
        <f t="shared" si="65"/>
        <v>478.79345309750448</v>
      </c>
      <c r="CD71" s="60">
        <f ca="1">AVERAGE(OFFSET($CC$3,0,0,'Données projet'!$E$12+1,1))-AVERAGE(OFFSET($H$3,0,0,'Données projet'!$E$12+1,1))</f>
        <v>314.72063458462026</v>
      </c>
      <c r="CE71" s="60">
        <f t="shared" si="94"/>
        <v>216.4380325968244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162</v>
      </c>
      <c r="CU71" s="18">
        <f>CT71*VLOOKUP('Données projet'!$B$13,Paramètres!$A$1:$I$89,3,0)*VLOOKUP('Données projet'!$B$13,Paramètres!$A$1:$I$89,5,0)</f>
        <v>174.37679999999997</v>
      </c>
      <c r="CV71" s="14">
        <f t="shared" si="95"/>
        <v>44.06882624410639</v>
      </c>
      <c r="CW71" s="22">
        <f t="shared" si="67"/>
        <v>380.45946570848531</v>
      </c>
      <c r="CX71" s="60">
        <f t="shared" si="68"/>
        <v>631.40463624852453</v>
      </c>
      <c r="CY71" s="60">
        <f ca="1">AVERAGE(OFFSET($CX$3,0,0,'Données projet'!$E$13+1,1))-AVERAGE(OFFSET($H$3,0,0,'Données projet'!$E$13+1,1))</f>
        <v>465.51503238626822</v>
      </c>
      <c r="CZ71" s="60">
        <f t="shared" si="96"/>
        <v>205.55320107663496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</v>
      </c>
      <c r="DO71" s="13">
        <f>IF('Données projet'!$A$166&gt;35,DO70+DN71-DW70,IF(A71&lt;'Données projet'!$A$166,$DL$205^A71,IF(A71='Données projet'!$A$166,'Données projet'!$B$166,DO70+DN71-DW70)))</f>
        <v>162</v>
      </c>
      <c r="DP71" s="18">
        <f>DO71*VLOOKUP('Données projet'!$B$14,Paramètres!$A$1:$I$89,3,0)*VLOOKUP('Données projet'!$B$14,Paramètres!$A$1:$I$89,5,0)</f>
        <v>138.99600000000001</v>
      </c>
      <c r="DQ71" s="14">
        <f t="shared" si="97"/>
        <v>36.066906938767758</v>
      </c>
      <c r="DR71" s="22">
        <f t="shared" si="70"/>
        <v>304.90122958502047</v>
      </c>
      <c r="DS71" s="60">
        <f t="shared" si="71"/>
        <v>555.84640012505963</v>
      </c>
      <c r="DT71" s="60">
        <f ca="1">AVERAGE(OFFSET($DS$3,0,0,'Données projet'!$E$14+1,1))-AVERAGE(OFFSET($H$3,0,0,'Données projet'!$E$14+1,1))</f>
        <v>393.79546872270964</v>
      </c>
      <c r="DU71" s="60">
        <f t="shared" si="98"/>
        <v>179.7333990060757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135.66666666666666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5.8142857142857167</v>
      </c>
      <c r="N72" s="14">
        <f>IF('Données projet'!$A$36&gt;35,N71+M72-V71,IF(A72&lt;'Données projet'!$A$36,$K$205^A72,IF(A72='Données projet'!$A$36,'Données projet'!$B$36,N71+M72-V71)))</f>
        <v>215.31318681318686</v>
      </c>
      <c r="O72" s="14">
        <f>N72*VLOOKUP('Données projet'!$B$9,Paramètres!$A$1:$I$89,3,0)*VLOOKUP('Données projet'!$B$9,Paramètres!$A$1:$I$89,5,0)</f>
        <v>100.76657142857144</v>
      </c>
      <c r="P72" s="14">
        <f t="shared" si="87"/>
        <v>27.144541374751224</v>
      </c>
      <c r="Q72" s="22">
        <f t="shared" si="54"/>
        <v>222.77852146578698</v>
      </c>
      <c r="R72" s="60">
        <f t="shared" si="55"/>
        <v>474.45903186455485</v>
      </c>
      <c r="S72" s="60">
        <f ca="1">AVERAGE(OFFSET($R$3,0,0,'Données projet'!$E$9+1,1))-AVERAGE(OFFSET($H$3,0,0,'Données projet'!$E$9+1,1))</f>
        <v>291.44524568678776</v>
      </c>
      <c r="T72" s="60">
        <f t="shared" si="88"/>
        <v>136.43373205899937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2.5199999999999934</v>
      </c>
      <c r="AI72" s="14">
        <f>IF('Données projet'!$A$62&gt;35,AI71+AH72-AQ71,IF(A72&lt;'Données projet'!$A$62,$AF$205^A72,IF(A72='Données projet'!$A$62,'Données projet'!$B$62,AI71+AH72-AQ71)))</f>
        <v>264.37999999999988</v>
      </c>
      <c r="AJ72" s="14">
        <f>AI72*VLOOKUP('Données projet'!$B$10,Paramètres!$A$1:$I$89,3,0)*VLOOKUP('Données projet'!$B$10,Paramètres!$A$1:$I$89,5,0)</f>
        <v>137.47759999999994</v>
      </c>
      <c r="AK72" s="14">
        <f t="shared" si="89"/>
        <v>35.71854904549317</v>
      </c>
      <c r="AL72" s="22">
        <f t="shared" si="58"/>
        <v>301.64995958756714</v>
      </c>
      <c r="AM72" s="60">
        <f t="shared" si="59"/>
        <v>553.33046998633495</v>
      </c>
      <c r="AN72" s="60">
        <f ca="1">AVERAGE(OFFSET($AM$3,0,0,'Données projet'!$E$10+1,1))-AVERAGE(OFFSET($H$3,0,0,'Données projet'!$E$10+1,1))</f>
        <v>300.72820267660154</v>
      </c>
      <c r="AO72" s="60">
        <f t="shared" si="90"/>
        <v>228.35388778608589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5.3778846153846125</v>
      </c>
      <c r="BD72" s="13">
        <f>IF('Données projet'!$A$88&gt;35,BD71+BC72-BL71,IF(A72&lt;'Données projet'!$A$88,$BA$205^A72,IF(A72='Données projet'!$A$88,'Données projet'!$B$88,BD71+BC72-BL71)))</f>
        <v>200.5336538461539</v>
      </c>
      <c r="BE72" s="14">
        <f>BD72*VLOOKUP('Données projet'!$B$11,Paramètres!$A$1:$I$89,3,0)*VLOOKUP('Données projet'!$B$11,Paramètres!$A$1:$I$89,5,0)</f>
        <v>117.31218750000004</v>
      </c>
      <c r="BF72" s="14">
        <f t="shared" si="91"/>
        <v>31.047287069448931</v>
      </c>
      <c r="BG72" s="22">
        <f t="shared" si="61"/>
        <v>258.39275154179029</v>
      </c>
      <c r="BH72" s="60">
        <f t="shared" si="62"/>
        <v>510.07326194055815</v>
      </c>
      <c r="BI72" s="60">
        <f ca="1">AVERAGE(OFFSET($BH$3,0,0,'Données projet'!$E$11+1,1))-AVERAGE(OFFSET($H$3,0,0,'Données projet'!$E$11+1,1))</f>
        <v>221.18884567967481</v>
      </c>
      <c r="BJ72" s="60">
        <f t="shared" si="92"/>
        <v>189.31596996710888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1.6750000000000014</v>
      </c>
      <c r="BY72" s="13">
        <f>IF('Données projet'!$A$114&gt;35,BY71+BX72-CG71,IF(A72&lt;'Données projet'!$A$114,$BV$205^A72,IF(A72='Données projet'!$A$114,'Données projet'!$B$114,BY71+BX72-CG71)))</f>
        <v>91.187499999999943</v>
      </c>
      <c r="BZ72" s="14">
        <f>BY72*VLOOKUP('Données projet'!$B$12,Paramètres!$A$1:$I$89,3,0)*VLOOKUP('Données projet'!$B$12,Paramètres!$A$1:$I$89,5,0)</f>
        <v>105.04799999999992</v>
      </c>
      <c r="CA72" s="14">
        <f t="shared" si="93"/>
        <v>28.161145381699356</v>
      </c>
      <c r="CB72" s="22">
        <f t="shared" si="64"/>
        <v>232.00592820645954</v>
      </c>
      <c r="CC72" s="60">
        <f t="shared" si="65"/>
        <v>483.68643860522741</v>
      </c>
      <c r="CD72" s="60">
        <f ca="1">AVERAGE(OFFSET($CC$3,0,0,'Données projet'!$E$12+1,1))-AVERAGE(OFFSET($H$3,0,0,'Données projet'!$E$12+1,1))</f>
        <v>314.72063458462026</v>
      </c>
      <c r="CE72" s="60">
        <f t="shared" si="94"/>
        <v>216.4380325968244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167</v>
      </c>
      <c r="CU72" s="18">
        <f>CT72*VLOOKUP('Données projet'!$B$13,Paramètres!$A$1:$I$89,3,0)*VLOOKUP('Données projet'!$B$13,Paramètres!$A$1:$I$89,5,0)</f>
        <v>179.75879999999998</v>
      </c>
      <c r="CV72" s="14">
        <f t="shared" si="95"/>
        <v>45.268519423286527</v>
      </c>
      <c r="CW72" s="22">
        <f t="shared" si="67"/>
        <v>391.92258132889066</v>
      </c>
      <c r="CX72" s="60">
        <f t="shared" si="68"/>
        <v>643.60309172765847</v>
      </c>
      <c r="CY72" s="60">
        <f ca="1">AVERAGE(OFFSET($CX$3,0,0,'Données projet'!$E$13+1,1))-AVERAGE(OFFSET($H$3,0,0,'Données projet'!$E$13+1,1))</f>
        <v>465.51503238626822</v>
      </c>
      <c r="CZ72" s="60">
        <f t="shared" si="96"/>
        <v>205.55320107663496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</v>
      </c>
      <c r="DO72" s="13">
        <f>IF('Données projet'!$A$166&gt;35,DO71+DN72-DW71,IF(A72&lt;'Données projet'!$A$166,$DL$205^A72,IF(A72='Données projet'!$A$166,'Données projet'!$B$166,DO71+DN72-DW71)))</f>
        <v>167</v>
      </c>
      <c r="DP72" s="18">
        <f>DO72*VLOOKUP('Données projet'!$B$14,Paramètres!$A$1:$I$89,3,0)*VLOOKUP('Données projet'!$B$14,Paramètres!$A$1:$I$89,5,0)</f>
        <v>143.28600000000003</v>
      </c>
      <c r="DQ72" s="14">
        <f t="shared" si="97"/>
        <v>37.048762502809495</v>
      </c>
      <c r="DR72" s="22">
        <f t="shared" si="70"/>
        <v>314.08304469239323</v>
      </c>
      <c r="DS72" s="60">
        <f t="shared" si="71"/>
        <v>565.76355509116104</v>
      </c>
      <c r="DT72" s="60">
        <f ca="1">AVERAGE(OFFSET($DS$3,0,0,'Données projet'!$E$14+1,1))-AVERAGE(OFFSET($H$3,0,0,'Données projet'!$E$14+1,1))</f>
        <v>393.79546872270964</v>
      </c>
      <c r="DU72" s="60">
        <f t="shared" si="98"/>
        <v>179.7333990060757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135.66666666666666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5.8142857142857167</v>
      </c>
      <c r="N73" s="14">
        <f>IF('Données projet'!$A$36&gt;35,N72+M73-V72,IF(A73&lt;'Données projet'!$A$36,$K$205^A73,IF(A73='Données projet'!$A$36,'Données projet'!$B$36,N72+M73-V72)))</f>
        <v>221.12747252747258</v>
      </c>
      <c r="O73" s="14">
        <f>N73*VLOOKUP('Données projet'!$B$9,Paramètres!$A$1:$I$89,3,0)*VLOOKUP('Données projet'!$B$9,Paramètres!$A$1:$I$89,5,0)</f>
        <v>103.48765714285717</v>
      </c>
      <c r="P73" s="14">
        <f t="shared" si="87"/>
        <v>27.791218716385369</v>
      </c>
      <c r="Q73" s="22">
        <f t="shared" si="54"/>
        <v>228.64404212151408</v>
      </c>
      <c r="R73" s="60">
        <f t="shared" si="55"/>
        <v>481.04713587643516</v>
      </c>
      <c r="S73" s="60">
        <f ca="1">AVERAGE(OFFSET($R$3,0,0,'Données projet'!$E$9+1,1))-AVERAGE(OFFSET($H$3,0,0,'Données projet'!$E$9+1,1))</f>
        <v>291.44524568678776</v>
      </c>
      <c r="T73" s="60">
        <f t="shared" si="88"/>
        <v>136.43373205899937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266.89999999999998</v>
      </c>
      <c r="AG73" s="13">
        <f>VLOOKUP(A73,'Données projet'!$A$61:$I$81,9,0)</f>
        <v>2.5199999999999934</v>
      </c>
      <c r="AH73" s="13">
        <f t="array" ref="AH73">INDEX(AG:AG,MIN(IF(ISNUMBER(AG73:AG269),ROW(AG73:AG269),"")))</f>
        <v>2.5199999999999934</v>
      </c>
      <c r="AI73" s="14">
        <f>IF('Données projet'!$A$62&gt;35,AI72+AH73-AQ72,IF(A73&lt;'Données projet'!$A$62,$AF$205^A73,IF(A73='Données projet'!$A$62,'Données projet'!$B$62,AI72+AH73-AQ72)))</f>
        <v>266.89999999999986</v>
      </c>
      <c r="AJ73" s="14">
        <f>AI73*VLOOKUP('Données projet'!$B$10,Paramètres!$A$1:$I$89,3,0)*VLOOKUP('Données projet'!$B$10,Paramètres!$A$1:$I$89,5,0)</f>
        <v>138.78799999999993</v>
      </c>
      <c r="AK73" s="14">
        <f t="shared" si="89"/>
        <v>36.019212967850898</v>
      </c>
      <c r="AL73" s="22">
        <f t="shared" si="58"/>
        <v>304.45589591900688</v>
      </c>
      <c r="AM73" s="60">
        <f t="shared" si="59"/>
        <v>556.85898967392791</v>
      </c>
      <c r="AN73" s="60">
        <f ca="1">AVERAGE(OFFSET($AM$3,0,0,'Données projet'!$E$10+1,1))-AVERAGE(OFFSET($H$3,0,0,'Données projet'!$E$10+1,1))</f>
        <v>300.72820267660154</v>
      </c>
      <c r="AO73" s="60">
        <f t="shared" si="90"/>
        <v>228.35388778608589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5.3778846153846125</v>
      </c>
      <c r="BD73" s="13">
        <f>IF('Données projet'!$A$88&gt;35,BD72+BC73-BL72,IF(A73&lt;'Données projet'!$A$88,$BA$205^A73,IF(A73='Données projet'!$A$88,'Données projet'!$B$88,BD72+BC73-BL72)))</f>
        <v>205.9115384615385</v>
      </c>
      <c r="BE73" s="14">
        <f>BD73*VLOOKUP('Données projet'!$B$11,Paramètres!$A$1:$I$89,3,0)*VLOOKUP('Données projet'!$B$11,Paramètres!$A$1:$I$89,5,0)</f>
        <v>120.45825000000004</v>
      </c>
      <c r="BF73" s="14">
        <f t="shared" si="91"/>
        <v>31.781854860937063</v>
      </c>
      <c r="BG73" s="22">
        <f t="shared" si="61"/>
        <v>265.15151596613208</v>
      </c>
      <c r="BH73" s="60">
        <f t="shared" si="62"/>
        <v>517.55460972105311</v>
      </c>
      <c r="BI73" s="60">
        <f ca="1">AVERAGE(OFFSET($BH$3,0,0,'Données projet'!$E$11+1,1))-AVERAGE(OFFSET($H$3,0,0,'Données projet'!$E$11+1,1))</f>
        <v>221.18884567967481</v>
      </c>
      <c r="BJ73" s="60">
        <f t="shared" si="92"/>
        <v>189.31596996710888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92.862500000000011</v>
      </c>
      <c r="BW73" s="13">
        <f>VLOOKUP(A73,'Données projet'!$A$113:$I$133,9,0)</f>
        <v>1.6750000000000014</v>
      </c>
      <c r="BX73" s="13">
        <f t="array" ref="BX73">INDEX(BW:BW,MIN(IF(ISNUMBER(BW73:BW269),ROW(BW73:BW269),"")))</f>
        <v>1.6750000000000014</v>
      </c>
      <c r="BY73" s="13">
        <f>IF('Données projet'!$A$114&gt;35,BY72+BX73-CG72,IF(A73&lt;'Données projet'!$A$114,$BV$205^A73,IF(A73='Données projet'!$A$114,'Données projet'!$B$114,BY72+BX73-CG72)))</f>
        <v>92.86249999999994</v>
      </c>
      <c r="BZ73" s="14">
        <f>BY73*VLOOKUP('Données projet'!$B$12,Paramètres!$A$1:$I$89,3,0)*VLOOKUP('Données projet'!$B$12,Paramètres!$A$1:$I$89,5,0)</f>
        <v>106.97759999999992</v>
      </c>
      <c r="CA73" s="14">
        <f t="shared" si="93"/>
        <v>28.617733004955216</v>
      </c>
      <c r="CB73" s="22">
        <f t="shared" si="64"/>
        <v>236.16187165029689</v>
      </c>
      <c r="CC73" s="60">
        <f t="shared" si="65"/>
        <v>488.56496540521795</v>
      </c>
      <c r="CD73" s="60">
        <f ca="1">AVERAGE(OFFSET($CC$3,0,0,'Données projet'!$E$12+1,1))-AVERAGE(OFFSET($H$3,0,0,'Données projet'!$E$12+1,1))</f>
        <v>314.72063458462026</v>
      </c>
      <c r="CE73" s="60">
        <f t="shared" si="94"/>
        <v>216.4380325968244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8.5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172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172</v>
      </c>
      <c r="CU73" s="18">
        <f>CT73*VLOOKUP('Données projet'!$B$13,Paramètres!$A$1:$I$89,3,0)*VLOOKUP('Données projet'!$B$13,Paramètres!$A$1:$I$89,5,0)</f>
        <v>185.14079999999998</v>
      </c>
      <c r="CV73" s="14">
        <f t="shared" si="95"/>
        <v>46.464038253813506</v>
      </c>
      <c r="CW73" s="22">
        <f t="shared" si="67"/>
        <v>403.3784266253918</v>
      </c>
      <c r="CX73" s="60">
        <f t="shared" si="68"/>
        <v>655.78152038031283</v>
      </c>
      <c r="CY73" s="60">
        <f ca="1">AVERAGE(OFFSET($CX$3,0,0,'Données projet'!$E$13+1,1))-AVERAGE(OFFSET($H$3,0,0,'Données projet'!$E$13+1,1))</f>
        <v>465.51503238626822</v>
      </c>
      <c r="CZ73" s="60">
        <f t="shared" si="96"/>
        <v>205.55320107663496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172</v>
      </c>
      <c r="DM73" s="13">
        <f>VLOOKUP(A73,'Données projet'!$A$165:$I$185,9,0)</f>
        <v>5</v>
      </c>
      <c r="DN73" s="13">
        <f t="array" ref="DN73">INDEX(DM:DM,MIN(IF(ISNUMBER(DM73:DM269),ROW(DM73:DM269),"")))</f>
        <v>5</v>
      </c>
      <c r="DO73" s="13">
        <f>IF('Données projet'!$A$166&gt;35,DO72+DN73-DW72,IF(A73&lt;'Données projet'!$A$166,$DL$205^A73,IF(A73='Données projet'!$A$166,'Données projet'!$B$166,DO72+DN73-DW72)))</f>
        <v>172</v>
      </c>
      <c r="DP73" s="18">
        <f>DO73*VLOOKUP('Données projet'!$B$14,Paramètres!$A$1:$I$89,3,0)*VLOOKUP('Données projet'!$B$14,Paramètres!$A$1:$I$89,5,0)</f>
        <v>147.57600000000002</v>
      </c>
      <c r="DQ73" s="14">
        <f t="shared" si="97"/>
        <v>38.027201687128077</v>
      </c>
      <c r="DR73" s="22">
        <f t="shared" si="70"/>
        <v>323.25890960508139</v>
      </c>
      <c r="DS73" s="60">
        <f t="shared" si="71"/>
        <v>575.66200336000247</v>
      </c>
      <c r="DT73" s="60">
        <f ca="1">AVERAGE(OFFSET($DS$3,0,0,'Données projet'!$E$14+1,1))-AVERAGE(OFFSET($H$3,0,0,'Données projet'!$E$14+1,1))</f>
        <v>393.79546872270964</v>
      </c>
      <c r="DU73" s="60">
        <f t="shared" si="98"/>
        <v>179.7333990060757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135.66666666666666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5.8142857142857167</v>
      </c>
      <c r="N74" s="14">
        <f>IF('Données projet'!$A$36&gt;35,N73+M74-V73,IF(A74&lt;'Données projet'!$A$36,$K$205^A74,IF(A74='Données projet'!$A$36,'Données projet'!$B$36,N73+M74-V73)))</f>
        <v>226.94175824175829</v>
      </c>
      <c r="O74" s="14">
        <f>N74*VLOOKUP('Données projet'!$B$9,Paramètres!$A$1:$I$89,3,0)*VLOOKUP('Données projet'!$B$9,Paramètres!$A$1:$I$89,5,0)</f>
        <v>106.20874285714288</v>
      </c>
      <c r="P74" s="14">
        <f t="shared" si="87"/>
        <v>28.435919622061096</v>
      </c>
      <c r="Q74" s="22">
        <f t="shared" si="54"/>
        <v>234.5061204846136</v>
      </c>
      <c r="R74" s="60">
        <f t="shared" si="55"/>
        <v>487.61926238991305</v>
      </c>
      <c r="S74" s="60">
        <f ca="1">AVERAGE(OFFSET($R$3,0,0,'Données projet'!$E$9+1,1))-AVERAGE(OFFSET($H$3,0,0,'Données projet'!$E$9+1,1))</f>
        <v>291.44524568678776</v>
      </c>
      <c r="T74" s="60">
        <f t="shared" si="88"/>
        <v>136.43373205899937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2.2600000000000025</v>
      </c>
      <c r="AI74" s="14">
        <f>IF('Données projet'!$A$62&gt;35,AI73+AH74-AQ73,IF(A74&lt;'Données projet'!$A$62,$AF$205^A74,IF(A74='Données projet'!$A$62,'Données projet'!$B$62,AI73+AH74-AQ73)))</f>
        <v>269.15999999999985</v>
      </c>
      <c r="AJ74" s="14">
        <f>AI74*VLOOKUP('Données projet'!$B$10,Paramètres!$A$1:$I$89,3,0)*VLOOKUP('Données projet'!$B$10,Paramètres!$A$1:$I$89,5,0)</f>
        <v>139.96319999999994</v>
      </c>
      <c r="AK74" s="14">
        <f t="shared" si="89"/>
        <v>36.288575002787859</v>
      </c>
      <c r="AL74" s="22">
        <f t="shared" si="58"/>
        <v>306.9718414631887</v>
      </c>
      <c r="AM74" s="60">
        <f t="shared" si="59"/>
        <v>560.08498336848811</v>
      </c>
      <c r="AN74" s="60">
        <f ca="1">AVERAGE(OFFSET($AM$3,0,0,'Données projet'!$E$10+1,1))-AVERAGE(OFFSET($H$3,0,0,'Données projet'!$E$10+1,1))</f>
        <v>300.72820267660154</v>
      </c>
      <c r="AO74" s="60">
        <f t="shared" si="90"/>
        <v>228.35388778608589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5.3778846153846125</v>
      </c>
      <c r="BD74" s="13">
        <f>IF('Données projet'!$A$88&gt;35,BD73+BC74-BL73,IF(A74&lt;'Données projet'!$A$88,$BA$205^A74,IF(A74='Données projet'!$A$88,'Données projet'!$B$88,BD73+BC74-BL73)))</f>
        <v>211.2894230769231</v>
      </c>
      <c r="BE74" s="14">
        <f>BD74*VLOOKUP('Données projet'!$B$11,Paramètres!$A$1:$I$89,3,0)*VLOOKUP('Données projet'!$B$11,Paramètres!$A$1:$I$89,5,0)</f>
        <v>123.60431250000002</v>
      </c>
      <c r="BF74" s="14">
        <f t="shared" si="91"/>
        <v>32.51419263702352</v>
      </c>
      <c r="BG74" s="22">
        <f t="shared" si="61"/>
        <v>271.90639644698263</v>
      </c>
      <c r="BH74" s="60">
        <f t="shared" si="62"/>
        <v>525.0195383522821</v>
      </c>
      <c r="BI74" s="60">
        <f ca="1">AVERAGE(OFFSET($BH$3,0,0,'Données projet'!$E$11+1,1))-AVERAGE(OFFSET($H$3,0,0,'Données projet'!$E$11+1,1))</f>
        <v>221.18884567967481</v>
      </c>
      <c r="BJ74" s="60">
        <f t="shared" si="92"/>
        <v>189.31596996710888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1.5783333333333318</v>
      </c>
      <c r="BY74" s="13">
        <f>IF('Données projet'!$A$114&gt;35,BY73+BX74-CG73,IF(A74&lt;'Données projet'!$A$114,$BV$205^A74,IF(A74='Données projet'!$A$114,'Données projet'!$B$114,BY73+BX74-CG73)))</f>
        <v>85.940833333333273</v>
      </c>
      <c r="BZ74" s="14">
        <f>BY74*VLOOKUP('Données projet'!$B$12,Paramètres!$A$1:$I$89,3,0)*VLOOKUP('Données projet'!$B$12,Paramètres!$A$1:$I$89,5,0)</f>
        <v>99.003839999999926</v>
      </c>
      <c r="CA74" s="14">
        <f t="shared" si="93"/>
        <v>26.724538061641486</v>
      </c>
      <c r="CB74" s="22">
        <f t="shared" si="64"/>
        <v>218.97692512402543</v>
      </c>
      <c r="CC74" s="60">
        <f t="shared" si="65"/>
        <v>472.09006702932493</v>
      </c>
      <c r="CD74" s="60">
        <f ca="1">AVERAGE(OFFSET($CC$3,0,0,'Données projet'!$E$12+1,1))-AVERAGE(OFFSET($H$3,0,0,'Données projet'!$E$12+1,1))</f>
        <v>314.72063458462026</v>
      </c>
      <c r="CE74" s="60">
        <f t="shared" si="94"/>
        <v>216.4380325968244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</v>
      </c>
      <c r="CT74" s="13">
        <f>IF('Données projet'!$A$140&gt;35,CT73+CS74-DB73,IF(A74&lt;'Données projet'!$A$140,$CQ$205^A74,IF(A74='Données projet'!$A$140,'Données projet'!$B$140,CT73+CS74-DB73)))</f>
        <v>177</v>
      </c>
      <c r="CU74" s="18">
        <f>CT74*VLOOKUP('Données projet'!$B$13,Paramètres!$A$1:$I$89,3,0)*VLOOKUP('Données projet'!$B$13,Paramètres!$A$1:$I$89,5,0)</f>
        <v>190.52279999999999</v>
      </c>
      <c r="CV74" s="14">
        <f t="shared" si="95"/>
        <v>47.655518017541539</v>
      </c>
      <c r="CW74" s="22">
        <f t="shared" si="67"/>
        <v>414.82723721388487</v>
      </c>
      <c r="CX74" s="60">
        <f t="shared" si="68"/>
        <v>667.9403791191844</v>
      </c>
      <c r="CY74" s="60">
        <f ca="1">AVERAGE(OFFSET($CX$3,0,0,'Données projet'!$E$13+1,1))-AVERAGE(OFFSET($H$3,0,0,'Données projet'!$E$13+1,1))</f>
        <v>465.51503238626822</v>
      </c>
      <c r="CZ74" s="60">
        <f t="shared" si="96"/>
        <v>205.55320107663496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5</v>
      </c>
      <c r="DO74" s="13">
        <f>IF('Données projet'!$A$166&gt;35,DO73+DN74-DW73,IF(A74&lt;'Données projet'!$A$166,$DL$205^A74,IF(A74='Données projet'!$A$166,'Données projet'!$B$166,DO73+DN74-DW73)))</f>
        <v>177</v>
      </c>
      <c r="DP74" s="18">
        <f>DO74*VLOOKUP('Données projet'!$B$14,Paramètres!$A$1:$I$89,3,0)*VLOOKUP('Données projet'!$B$14,Paramètres!$A$1:$I$89,5,0)</f>
        <v>151.86600000000001</v>
      </c>
      <c r="DQ74" s="14">
        <f t="shared" si="97"/>
        <v>39.00233520939998</v>
      </c>
      <c r="DR74" s="22">
        <f t="shared" si="70"/>
        <v>332.42901715637169</v>
      </c>
      <c r="DS74" s="60">
        <f t="shared" si="71"/>
        <v>585.5421590616711</v>
      </c>
      <c r="DT74" s="60">
        <f ca="1">AVERAGE(OFFSET($DS$3,0,0,'Données projet'!$E$14+1,1))-AVERAGE(OFFSET($H$3,0,0,'Données projet'!$E$14+1,1))</f>
        <v>393.79546872270964</v>
      </c>
      <c r="DU74" s="60">
        <f t="shared" si="98"/>
        <v>179.7333990060757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135.66666666666666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5.8142857142857167</v>
      </c>
      <c r="N75" s="14">
        <f>IF('Données projet'!$A$36&gt;35,N74+M75-V74,IF(A75&lt;'Données projet'!$A$36,$K$205^A75,IF(A75='Données projet'!$A$36,'Données projet'!$B$36,N74+M75-V74)))</f>
        <v>232.75604395604401</v>
      </c>
      <c r="O75" s="14">
        <f>N75*VLOOKUP('Données projet'!$B$9,Paramètres!$A$1:$I$89,3,0)*VLOOKUP('Données projet'!$B$9,Paramètres!$A$1:$I$89,5,0)</f>
        <v>108.9298285714286</v>
      </c>
      <c r="P75" s="14">
        <f t="shared" si="87"/>
        <v>29.078700550789961</v>
      </c>
      <c r="Q75" s="22">
        <f t="shared" si="54"/>
        <v>240.364854887864</v>
      </c>
      <c r="R75" s="60">
        <f t="shared" si="55"/>
        <v>494.17572719556267</v>
      </c>
      <c r="S75" s="60">
        <f ca="1">AVERAGE(OFFSET($R$3,0,0,'Données projet'!$E$9+1,1))-AVERAGE(OFFSET($H$3,0,0,'Données projet'!$E$9+1,1))</f>
        <v>291.44524568678776</v>
      </c>
      <c r="T75" s="60">
        <f t="shared" si="88"/>
        <v>136.43373205899937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2.2600000000000025</v>
      </c>
      <c r="AI75" s="14">
        <f>IF('Données projet'!$A$62&gt;35,AI74+AH75-AQ74,IF(A75&lt;'Données projet'!$A$62,$AF$205^A75,IF(A75='Données projet'!$A$62,'Données projet'!$B$62,AI74+AH75-AQ74)))</f>
        <v>271.41999999999985</v>
      </c>
      <c r="AJ75" s="14">
        <f>AI75*VLOOKUP('Données projet'!$B$10,Paramètres!$A$1:$I$89,3,0)*VLOOKUP('Données projet'!$B$10,Paramètres!$A$1:$I$89,5,0)</f>
        <v>141.13839999999993</v>
      </c>
      <c r="AK75" s="14">
        <f t="shared" si="89"/>
        <v>36.557673901602939</v>
      </c>
      <c r="AL75" s="22">
        <f t="shared" si="58"/>
        <v>309.48732871195836</v>
      </c>
      <c r="AM75" s="60">
        <f t="shared" si="59"/>
        <v>563.29820101965697</v>
      </c>
      <c r="AN75" s="60">
        <f ca="1">AVERAGE(OFFSET($AM$3,0,0,'Données projet'!$E$10+1,1))-AVERAGE(OFFSET($H$3,0,0,'Données projet'!$E$10+1,1))</f>
        <v>300.72820267660154</v>
      </c>
      <c r="AO75" s="60">
        <f t="shared" si="90"/>
        <v>228.35388778608589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5.3778846153846125</v>
      </c>
      <c r="BD75" s="13">
        <f>IF('Données projet'!$A$88&gt;35,BD74+BC75-BL74,IF(A75&lt;'Données projet'!$A$88,$BA$205^A75,IF(A75='Données projet'!$A$88,'Données projet'!$B$88,BD74+BC75-BL74)))</f>
        <v>216.6673076923077</v>
      </c>
      <c r="BE75" s="14">
        <f>BD75*VLOOKUP('Données projet'!$B$11,Paramètres!$A$1:$I$89,3,0)*VLOOKUP('Données projet'!$B$11,Paramètres!$A$1:$I$89,5,0)</f>
        <v>126.75037500000002</v>
      </c>
      <c r="BF75" s="14">
        <f t="shared" si="91"/>
        <v>33.244363684506752</v>
      </c>
      <c r="BG75" s="22">
        <f t="shared" si="61"/>
        <v>278.65750320884928</v>
      </c>
      <c r="BH75" s="60">
        <f t="shared" si="62"/>
        <v>532.46837551654789</v>
      </c>
      <c r="BI75" s="60">
        <f ca="1">AVERAGE(OFFSET($BH$3,0,0,'Données projet'!$E$11+1,1))-AVERAGE(OFFSET($H$3,0,0,'Données projet'!$E$11+1,1))</f>
        <v>221.18884567967481</v>
      </c>
      <c r="BJ75" s="60">
        <f t="shared" si="92"/>
        <v>189.31596996710888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1.5783333333333318</v>
      </c>
      <c r="BY75" s="13">
        <f>IF('Données projet'!$A$114&gt;35,BY74+BX75-CG74,IF(A75&lt;'Données projet'!$A$114,$BV$205^A75,IF(A75='Données projet'!$A$114,'Données projet'!$B$114,BY74+BX75-CG74)))</f>
        <v>87.519166666666607</v>
      </c>
      <c r="BZ75" s="14">
        <f>BY75*VLOOKUP('Données projet'!$B$12,Paramètres!$A$1:$I$89,3,0)*VLOOKUP('Données projet'!$B$12,Paramètres!$A$1:$I$89,5,0)</f>
        <v>100.82207999999993</v>
      </c>
      <c r="CA75" s="14">
        <f t="shared" si="93"/>
        <v>27.157753353396636</v>
      </c>
      <c r="CB75" s="22">
        <f t="shared" si="64"/>
        <v>222.89820975716569</v>
      </c>
      <c r="CC75" s="60">
        <f t="shared" si="65"/>
        <v>476.70908206486433</v>
      </c>
      <c r="CD75" s="60">
        <f ca="1">AVERAGE(OFFSET($CC$3,0,0,'Données projet'!$E$12+1,1))-AVERAGE(OFFSET($H$3,0,0,'Données projet'!$E$12+1,1))</f>
        <v>314.72063458462026</v>
      </c>
      <c r="CE75" s="60">
        <f t="shared" si="94"/>
        <v>216.4380325968244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</v>
      </c>
      <c r="CT75" s="13">
        <f>IF('Données projet'!$A$140&gt;35,CT74+CS75-DB74,IF(A75&lt;'Données projet'!$A$140,$CQ$205^A75,IF(A75='Données projet'!$A$140,'Données projet'!$B$140,CT74+CS75-DB74)))</f>
        <v>182</v>
      </c>
      <c r="CU75" s="18">
        <f>CT75*VLOOKUP('Données projet'!$B$13,Paramètres!$A$1:$I$89,3,0)*VLOOKUP('Données projet'!$B$13,Paramètres!$A$1:$I$89,5,0)</f>
        <v>195.90479999999999</v>
      </c>
      <c r="CV75" s="14">
        <f t="shared" si="95"/>
        <v>48.843085918490004</v>
      </c>
      <c r="CW75" s="22">
        <f t="shared" si="67"/>
        <v>426.26923464137008</v>
      </c>
      <c r="CX75" s="60">
        <f t="shared" si="68"/>
        <v>680.08010694906875</v>
      </c>
      <c r="CY75" s="60">
        <f ca="1">AVERAGE(OFFSET($CX$3,0,0,'Données projet'!$E$13+1,1))-AVERAGE(OFFSET($H$3,0,0,'Données projet'!$E$13+1,1))</f>
        <v>465.51503238626822</v>
      </c>
      <c r="CZ75" s="60">
        <f t="shared" si="96"/>
        <v>205.55320107663496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5</v>
      </c>
      <c r="DO75" s="13">
        <f>IF('Données projet'!$A$166&gt;35,DO74+DN75-DW74,IF(A75&lt;'Données projet'!$A$166,$DL$205^A75,IF(A75='Données projet'!$A$166,'Données projet'!$B$166,DO74+DN75-DW74)))</f>
        <v>182</v>
      </c>
      <c r="DP75" s="18">
        <f>DO75*VLOOKUP('Données projet'!$B$14,Paramètres!$A$1:$I$89,3,0)*VLOOKUP('Données projet'!$B$14,Paramètres!$A$1:$I$89,5,0)</f>
        <v>156.15600000000001</v>
      </c>
      <c r="DQ75" s="14">
        <f t="shared" si="97"/>
        <v>39.974267176222085</v>
      </c>
      <c r="DR75" s="22">
        <f t="shared" si="70"/>
        <v>341.59354866525354</v>
      </c>
      <c r="DS75" s="60">
        <f t="shared" si="71"/>
        <v>595.40442097295227</v>
      </c>
      <c r="DT75" s="60">
        <f ca="1">AVERAGE(OFFSET($DS$3,0,0,'Données projet'!$E$14+1,1))-AVERAGE(OFFSET($H$3,0,0,'Données projet'!$E$14+1,1))</f>
        <v>393.79546872270964</v>
      </c>
      <c r="DU75" s="60">
        <f t="shared" si="98"/>
        <v>179.7333990060757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135.66666666666666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5.8142857142857167</v>
      </c>
      <c r="N76" s="14">
        <f>IF('Données projet'!$A$36&gt;35,N75+M76-V75,IF(A76&lt;'Données projet'!$A$36,$K$205^A76,IF(A76='Données projet'!$A$36,'Données projet'!$B$36,N75+M76-V75)))</f>
        <v>238.57032967032973</v>
      </c>
      <c r="O76" s="14">
        <f>N76*VLOOKUP('Données projet'!$B$9,Paramètres!$A$1:$I$89,3,0)*VLOOKUP('Données projet'!$B$9,Paramètres!$A$1:$I$89,5,0)</f>
        <v>111.65091428571431</v>
      </c>
      <c r="P76" s="14">
        <f t="shared" si="87"/>
        <v>29.719614980107199</v>
      </c>
      <c r="Q76" s="22">
        <f t="shared" si="54"/>
        <v>246.22033847130581</v>
      </c>
      <c r="R76" s="60">
        <f t="shared" si="55"/>
        <v>500.71683711881349</v>
      </c>
      <c r="S76" s="60">
        <f ca="1">AVERAGE(OFFSET($R$3,0,0,'Données projet'!$E$9+1,1))-AVERAGE(OFFSET($H$3,0,0,'Données projet'!$E$9+1,1))</f>
        <v>291.44524568678776</v>
      </c>
      <c r="T76" s="60">
        <f t="shared" si="88"/>
        <v>136.43373205899937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2.2600000000000025</v>
      </c>
      <c r="AI76" s="14">
        <f>IF('Données projet'!$A$62&gt;35,AI75+AH76-AQ75,IF(A76&lt;'Données projet'!$A$62,$AF$205^A76,IF(A76='Données projet'!$A$62,'Données projet'!$B$62,AI75+AH76-AQ75)))</f>
        <v>273.67999999999984</v>
      </c>
      <c r="AJ76" s="14">
        <f>AI76*VLOOKUP('Données projet'!$B$10,Paramètres!$A$1:$I$89,3,0)*VLOOKUP('Données projet'!$B$10,Paramètres!$A$1:$I$89,5,0)</f>
        <v>142.31359999999992</v>
      </c>
      <c r="AK76" s="14">
        <f t="shared" si="89"/>
        <v>36.826512109226599</v>
      </c>
      <c r="AL76" s="22">
        <f t="shared" si="58"/>
        <v>312.00236192356948</v>
      </c>
      <c r="AM76" s="60">
        <f t="shared" si="59"/>
        <v>566.4988605710771</v>
      </c>
      <c r="AN76" s="60">
        <f ca="1">AVERAGE(OFFSET($AM$3,0,0,'Données projet'!$E$10+1,1))-AVERAGE(OFFSET($H$3,0,0,'Données projet'!$E$10+1,1))</f>
        <v>300.72820267660154</v>
      </c>
      <c r="AO76" s="60">
        <f t="shared" si="90"/>
        <v>228.35388778608589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5.3778846153846125</v>
      </c>
      <c r="BD76" s="13">
        <f>IF('Données projet'!$A$88&gt;35,BD75+BC76-BL75,IF(A76&lt;'Données projet'!$A$88,$BA$205^A76,IF(A76='Données projet'!$A$88,'Données projet'!$B$88,BD75+BC76-BL75)))</f>
        <v>222.0451923076923</v>
      </c>
      <c r="BE76" s="14">
        <f>BD76*VLOOKUP('Données projet'!$B$11,Paramètres!$A$1:$I$89,3,0)*VLOOKUP('Données projet'!$B$11,Paramètres!$A$1:$I$89,5,0)</f>
        <v>129.89643750000002</v>
      </c>
      <c r="BF76" s="14">
        <f t="shared" si="91"/>
        <v>33.972427969435074</v>
      </c>
      <c r="BG76" s="22">
        <f t="shared" si="61"/>
        <v>285.40494069259944</v>
      </c>
      <c r="BH76" s="60">
        <f t="shared" si="62"/>
        <v>539.90143934010712</v>
      </c>
      <c r="BI76" s="60">
        <f ca="1">AVERAGE(OFFSET($BH$3,0,0,'Données projet'!$E$11+1,1))-AVERAGE(OFFSET($H$3,0,0,'Données projet'!$E$11+1,1))</f>
        <v>221.18884567967481</v>
      </c>
      <c r="BJ76" s="60">
        <f t="shared" si="92"/>
        <v>189.31596996710888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1.5783333333333318</v>
      </c>
      <c r="BY76" s="13">
        <f>IF('Données projet'!$A$114&gt;35,BY75+BX76-CG75,IF(A76&lt;'Données projet'!$A$114,$BV$205^A76,IF(A76='Données projet'!$A$114,'Données projet'!$B$114,BY75+BX76-CG75)))</f>
        <v>89.09749999999994</v>
      </c>
      <c r="BZ76" s="14">
        <f>BY76*VLOOKUP('Données projet'!$B$12,Paramètres!$A$1:$I$89,3,0)*VLOOKUP('Données projet'!$B$12,Paramètres!$A$1:$I$89,5,0)</f>
        <v>102.64031999999992</v>
      </c>
      <c r="CA76" s="14">
        <f t="shared" si="93"/>
        <v>27.590060152433722</v>
      </c>
      <c r="CB76" s="22">
        <f t="shared" si="64"/>
        <v>226.81791209882192</v>
      </c>
      <c r="CC76" s="60">
        <f t="shared" si="65"/>
        <v>481.3144107463296</v>
      </c>
      <c r="CD76" s="60">
        <f ca="1">AVERAGE(OFFSET($CC$3,0,0,'Données projet'!$E$12+1,1))-AVERAGE(OFFSET($H$3,0,0,'Données projet'!$E$12+1,1))</f>
        <v>314.72063458462026</v>
      </c>
      <c r="CE76" s="60">
        <f t="shared" si="94"/>
        <v>216.4380325968244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</v>
      </c>
      <c r="CT76" s="13">
        <f>IF('Données projet'!$A$140&gt;35,CT75+CS76-DB75,IF(A76&lt;'Données projet'!$A$140,$CQ$205^A76,IF(A76='Données projet'!$A$140,'Données projet'!$B$140,CT75+CS76-DB75)))</f>
        <v>187</v>
      </c>
      <c r="CU76" s="18">
        <f>CT76*VLOOKUP('Données projet'!$B$13,Paramètres!$A$1:$I$89,3,0)*VLOOKUP('Données projet'!$B$13,Paramètres!$A$1:$I$89,5,0)</f>
        <v>201.2868</v>
      </c>
      <c r="CV76" s="14">
        <f t="shared" si="95"/>
        <v>50.026861773677616</v>
      </c>
      <c r="CW76" s="22">
        <f t="shared" si="67"/>
        <v>437.70462758915511</v>
      </c>
      <c r="CX76" s="60">
        <f t="shared" si="68"/>
        <v>692.20112623666273</v>
      </c>
      <c r="CY76" s="60">
        <f ca="1">AVERAGE(OFFSET($CX$3,0,0,'Données projet'!$E$13+1,1))-AVERAGE(OFFSET($H$3,0,0,'Données projet'!$E$13+1,1))</f>
        <v>465.51503238626822</v>
      </c>
      <c r="CZ76" s="60">
        <f t="shared" si="96"/>
        <v>205.55320107663496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5</v>
      </c>
      <c r="DO76" s="13">
        <f>IF('Données projet'!$A$166&gt;35,DO75+DN76-DW75,IF(A76&lt;'Données projet'!$A$166,$DL$205^A76,IF(A76='Données projet'!$A$166,'Données projet'!$B$166,DO75+DN76-DW75)))</f>
        <v>187</v>
      </c>
      <c r="DP76" s="18">
        <f>DO76*VLOOKUP('Données projet'!$B$14,Paramètres!$A$1:$I$89,3,0)*VLOOKUP('Données projet'!$B$14,Paramètres!$A$1:$I$89,5,0)</f>
        <v>160.44600000000003</v>
      </c>
      <c r="DQ76" s="14">
        <f t="shared" si="97"/>
        <v>40.943095648505796</v>
      </c>
      <c r="DR76" s="22">
        <f t="shared" si="70"/>
        <v>350.75267492114762</v>
      </c>
      <c r="DS76" s="60">
        <f t="shared" si="71"/>
        <v>605.24917356865535</v>
      </c>
      <c r="DT76" s="60">
        <f ca="1">AVERAGE(OFFSET($DS$3,0,0,'Données projet'!$E$14+1,1))-AVERAGE(OFFSET($H$3,0,0,'Données projet'!$E$14+1,1))</f>
        <v>393.79546872270964</v>
      </c>
      <c r="DU76" s="60">
        <f t="shared" si="98"/>
        <v>179.7333990060757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135.66666666666666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244.38461538461536</v>
      </c>
      <c r="L77" s="13">
        <f>VLOOKUP(A77,'Données projet'!$A$35:$I$55,9,0)</f>
        <v>5.8142857142857167</v>
      </c>
      <c r="M77" s="13">
        <f t="array" ref="M77">INDEX(L:L,MIN(IF(ISNUMBER(L77:L273),ROW(L77:L273),"")))</f>
        <v>5.8142857142857167</v>
      </c>
      <c r="N77" s="14">
        <f>IF('Données projet'!$A$36&gt;35,N76+M77-V76,IF(A77&lt;'Données projet'!$A$36,$K$205^A77,IF(A77='Données projet'!$A$36,'Données projet'!$B$36,N76+M77-V76)))</f>
        <v>244.38461538461544</v>
      </c>
      <c r="O77" s="14">
        <f>N77*VLOOKUP('Données projet'!$B$9,Paramètres!$A$1:$I$89,3,0)*VLOOKUP('Données projet'!$B$9,Paramètres!$A$1:$I$89,5,0)</f>
        <v>114.37200000000003</v>
      </c>
      <c r="P77" s="14">
        <f t="shared" si="87"/>
        <v>30.358713632287081</v>
      </c>
      <c r="Q77" s="22">
        <f t="shared" si="54"/>
        <v>252.07265957623341</v>
      </c>
      <c r="R77" s="60">
        <f t="shared" si="55"/>
        <v>507.24289047938532</v>
      </c>
      <c r="S77" s="60">
        <f ca="1">AVERAGE(OFFSET($R$3,0,0,'Données projet'!$E$9+1,1))-AVERAGE(OFFSET($H$3,0,0,'Données projet'!$E$9+1,1))</f>
        <v>291.44524568678776</v>
      </c>
      <c r="T77" s="60">
        <f t="shared" si="88"/>
        <v>136.43373205899937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2.2600000000000025</v>
      </c>
      <c r="AI77" s="14">
        <f>IF('Données projet'!$A$62&gt;35,AI76+AH77-AQ76,IF(A77&lt;'Données projet'!$A$62,$AF$205^A77,IF(A77='Données projet'!$A$62,'Données projet'!$B$62,AI76+AH77-AQ76)))</f>
        <v>275.93999999999983</v>
      </c>
      <c r="AJ77" s="14">
        <f>AI77*VLOOKUP('Données projet'!$B$10,Paramètres!$A$1:$I$89,3,0)*VLOOKUP('Données projet'!$B$10,Paramètres!$A$1:$I$89,5,0)</f>
        <v>143.48879999999991</v>
      </c>
      <c r="AK77" s="14">
        <f t="shared" si="89"/>
        <v>37.095092027878849</v>
      </c>
      <c r="AL77" s="22">
        <f t="shared" si="58"/>
        <v>314.51694528188881</v>
      </c>
      <c r="AM77" s="60">
        <f t="shared" si="59"/>
        <v>569.6871761850407</v>
      </c>
      <c r="AN77" s="60">
        <f ca="1">AVERAGE(OFFSET($AM$3,0,0,'Données projet'!$E$10+1,1))-AVERAGE(OFFSET($H$3,0,0,'Données projet'!$E$10+1,1))</f>
        <v>300.72820267660154</v>
      </c>
      <c r="AO77" s="60">
        <f t="shared" si="90"/>
        <v>228.35388778608589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227.42307692307691</v>
      </c>
      <c r="BB77" s="13">
        <f>VLOOKUP(A77,'Données projet'!$A$87:$I$107,9,0)</f>
        <v>5.3778846153846125</v>
      </c>
      <c r="BC77" s="13">
        <f t="array" ref="BC77">INDEX(BB:BB,MIN(IF(ISNUMBER(BB77:BB273),ROW(BB77:BB273),"")))</f>
        <v>5.3778846153846125</v>
      </c>
      <c r="BD77" s="13">
        <f>IF('Données projet'!$A$88&gt;35,BD76+BC77-BL76,IF(A77&lt;'Données projet'!$A$88,$BA$205^A77,IF(A77='Données projet'!$A$88,'Données projet'!$B$88,BD76+BC77-BL76)))</f>
        <v>227.42307692307691</v>
      </c>
      <c r="BE77" s="14">
        <f>BD77*VLOOKUP('Données projet'!$B$11,Paramètres!$A$1:$I$89,3,0)*VLOOKUP('Données projet'!$B$11,Paramètres!$A$1:$I$89,5,0)</f>
        <v>133.04249999999999</v>
      </c>
      <c r="BF77" s="14">
        <f t="shared" si="91"/>
        <v>34.698442387497821</v>
      </c>
      <c r="BG77" s="22">
        <f t="shared" si="61"/>
        <v>292.14880799155861</v>
      </c>
      <c r="BH77" s="60">
        <f t="shared" si="62"/>
        <v>547.3190388947105</v>
      </c>
      <c r="BI77" s="60">
        <f ca="1">AVERAGE(OFFSET($BH$3,0,0,'Données projet'!$E$11+1,1))-AVERAGE(OFFSET($H$3,0,0,'Données projet'!$E$11+1,1))</f>
        <v>221.18884567967481</v>
      </c>
      <c r="BJ77" s="60">
        <f t="shared" si="92"/>
        <v>189.31596996710888</v>
      </c>
      <c r="BK77" s="16">
        <f>IF(ISNA(VLOOKUP(A77,'Données projet'!$A$87:$I$107,3,0)),0,VLOOKUP(A77,'Données projet'!$A$87:$I$107,3,0))</f>
        <v>3</v>
      </c>
      <c r="BL77" s="16">
        <f>IF(ISNA(VLOOKUP(A77,'Données projet'!$A$87:$I$107,4,0)),0,VLOOKUP(A77,'Données projet'!$A$87:$I$107,4,0))</f>
        <v>114.9153846153846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1.5783333333333318</v>
      </c>
      <c r="BY77" s="13">
        <f>IF('Données projet'!$A$114&gt;35,BY76+BX77-CG76,IF(A77&lt;'Données projet'!$A$114,$BV$205^A77,IF(A77='Données projet'!$A$114,'Données projet'!$B$114,BY76+BX77-CG76)))</f>
        <v>90.675833333333273</v>
      </c>
      <c r="BZ77" s="14">
        <f>BY77*VLOOKUP('Données projet'!$B$12,Paramètres!$A$1:$I$89,3,0)*VLOOKUP('Données projet'!$B$12,Paramètres!$A$1:$I$89,5,0)</f>
        <v>104.45855999999993</v>
      </c>
      <c r="CA77" s="14">
        <f t="shared" si="93"/>
        <v>28.021476409089832</v>
      </c>
      <c r="CB77" s="22">
        <f t="shared" si="64"/>
        <v>230.736063412498</v>
      </c>
      <c r="CC77" s="60">
        <f t="shared" si="65"/>
        <v>485.90629431564992</v>
      </c>
      <c r="CD77" s="60">
        <f ca="1">AVERAGE(OFFSET($CC$3,0,0,'Données projet'!$E$12+1,1))-AVERAGE(OFFSET($H$3,0,0,'Données projet'!$E$12+1,1))</f>
        <v>314.72063458462026</v>
      </c>
      <c r="CE77" s="60">
        <f t="shared" si="94"/>
        <v>216.4380325968244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</v>
      </c>
      <c r="CT77" s="13">
        <f>IF('Données projet'!$A$140&gt;35,CT76+CS77-DB76,IF(A77&lt;'Données projet'!$A$140,$CQ$205^A77,IF(A77='Données projet'!$A$140,'Données projet'!$B$140,CT76+CS77-DB76)))</f>
        <v>192</v>
      </c>
      <c r="CU77" s="18">
        <f>CT77*VLOOKUP('Données projet'!$B$13,Paramètres!$A$1:$I$89,3,0)*VLOOKUP('Données projet'!$B$13,Paramètres!$A$1:$I$89,5,0)</f>
        <v>206.6688</v>
      </c>
      <c r="CV77" s="14">
        <f t="shared" si="95"/>
        <v>51.206958627992755</v>
      </c>
      <c r="CW77" s="22">
        <f t="shared" si="67"/>
        <v>449.13361294375403</v>
      </c>
      <c r="CX77" s="60">
        <f t="shared" si="68"/>
        <v>704.30384384690592</v>
      </c>
      <c r="CY77" s="60">
        <f ca="1">AVERAGE(OFFSET($CX$3,0,0,'Données projet'!$E$13+1,1))-AVERAGE(OFFSET($H$3,0,0,'Données projet'!$E$13+1,1))</f>
        <v>465.51503238626822</v>
      </c>
      <c r="CZ77" s="60">
        <f t="shared" si="96"/>
        <v>205.55320107663496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5</v>
      </c>
      <c r="DO77" s="13">
        <f>IF('Données projet'!$A$166&gt;35,DO76+DN77-DW76,IF(A77&lt;'Données projet'!$A$166,$DL$205^A77,IF(A77='Données projet'!$A$166,'Données projet'!$B$166,DO76+DN77-DW76)))</f>
        <v>192</v>
      </c>
      <c r="DP77" s="18">
        <f>DO77*VLOOKUP('Données projet'!$B$14,Paramètres!$A$1:$I$89,3,0)*VLOOKUP('Données projet'!$B$14,Paramètres!$A$1:$I$89,5,0)</f>
        <v>164.73600000000002</v>
      </c>
      <c r="DQ77" s="14">
        <f t="shared" si="97"/>
        <v>41.908913144700328</v>
      </c>
      <c r="DR77" s="22">
        <f t="shared" si="70"/>
        <v>359.90655706035312</v>
      </c>
      <c r="DS77" s="60">
        <f t="shared" si="71"/>
        <v>615.07678796350501</v>
      </c>
      <c r="DT77" s="60">
        <f ca="1">AVERAGE(OFFSET($DS$3,0,0,'Données projet'!$E$14+1,1))-AVERAGE(OFFSET($H$3,0,0,'Données projet'!$E$14+1,1))</f>
        <v>393.79546872270964</v>
      </c>
      <c r="DU77" s="60">
        <f t="shared" si="98"/>
        <v>179.7333990060757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135.66666666666666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5.8269230769230802</v>
      </c>
      <c r="N78" s="14">
        <f>IF('Données projet'!$A$36&gt;35,N77+M78-V77,IF(A78&lt;'Données projet'!$A$36,$K$205^A78,IF(A78='Données projet'!$A$36,'Données projet'!$B$36,N77+M78-V77)))</f>
        <v>250.21153846153851</v>
      </c>
      <c r="O78" s="14">
        <f>N78*VLOOKUP('Données projet'!$B$9,Paramètres!$A$1:$I$89,3,0)*VLOOKUP('Données projet'!$B$9,Paramètres!$A$1:$I$89,5,0)</f>
        <v>117.09900000000002</v>
      </c>
      <c r="P78" s="14">
        <f t="shared" si="87"/>
        <v>30.997428027418501</v>
      </c>
      <c r="Q78" s="22">
        <f t="shared" si="54"/>
        <v>257.93461214775391</v>
      </c>
      <c r="R78" s="60">
        <f t="shared" si="55"/>
        <v>513.76688755815428</v>
      </c>
      <c r="S78" s="60">
        <f ca="1">AVERAGE(OFFSET($R$3,0,0,'Données projet'!$E$9+1,1))-AVERAGE(OFFSET($H$3,0,0,'Données projet'!$E$9+1,1))</f>
        <v>291.44524568678776</v>
      </c>
      <c r="T78" s="60">
        <f t="shared" si="88"/>
        <v>136.43373205899937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278.2</v>
      </c>
      <c r="AG78" s="13">
        <f>VLOOKUP(A78,'Données projet'!$A$61:$I$81,9,0)</f>
        <v>2.2600000000000025</v>
      </c>
      <c r="AH78" s="13">
        <f t="array" ref="AH78">INDEX(AG:AG,MIN(IF(ISNUMBER(AG78:AG274),ROW(AG78:AG274),"")))</f>
        <v>2.2600000000000025</v>
      </c>
      <c r="AI78" s="14">
        <f>IF('Données projet'!$A$62&gt;35,AI77+AH78-AQ77,IF(A78&lt;'Données projet'!$A$62,$AF$205^A78,IF(A78='Données projet'!$A$62,'Données projet'!$B$62,AI77+AH78-AQ77)))</f>
        <v>278.19999999999982</v>
      </c>
      <c r="AJ78" s="14">
        <f>AI78*VLOOKUP('Données projet'!$B$10,Paramètres!$A$1:$I$89,3,0)*VLOOKUP('Données projet'!$B$10,Paramètres!$A$1:$I$89,5,0)</f>
        <v>144.6639999999999</v>
      </c>
      <c r="AK78" s="14">
        <f t="shared" si="89"/>
        <v>37.363416018158652</v>
      </c>
      <c r="AL78" s="22">
        <f t="shared" si="58"/>
        <v>317.03108289829282</v>
      </c>
      <c r="AM78" s="60">
        <f t="shared" si="59"/>
        <v>572.86335830869325</v>
      </c>
      <c r="AN78" s="60">
        <f ca="1">AVERAGE(OFFSET($AM$3,0,0,'Données projet'!$E$10+1,1))-AVERAGE(OFFSET($H$3,0,0,'Données projet'!$E$10+1,1))</f>
        <v>300.72820267660154</v>
      </c>
      <c r="AO78" s="60">
        <f t="shared" si="90"/>
        <v>228.35388778608589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3.5471153846153847</v>
      </c>
      <c r="BD78" s="13">
        <f>IF('Données projet'!$A$88&gt;35,BD77+BC78-BL77,IF(A78&lt;'Données projet'!$A$88,$BA$205^A78,IF(A78='Données projet'!$A$88,'Données projet'!$B$88,BD77+BC78-BL77)))</f>
        <v>116.05480769230769</v>
      </c>
      <c r="BE78" s="14">
        <f>BD78*VLOOKUP('Données projet'!$B$11,Paramètres!$A$1:$I$89,3,0)*VLOOKUP('Données projet'!$B$11,Paramètres!$A$1:$I$89,5,0)</f>
        <v>67.892062500000009</v>
      </c>
      <c r="BF78" s="14">
        <f t="shared" si="91"/>
        <v>19.149054506777464</v>
      </c>
      <c r="BG78" s="22">
        <f t="shared" si="61"/>
        <v>151.59661212013742</v>
      </c>
      <c r="BH78" s="60">
        <f t="shared" si="62"/>
        <v>407.42888753053779</v>
      </c>
      <c r="BI78" s="60">
        <f ca="1">AVERAGE(OFFSET($BH$3,0,0,'Données projet'!$E$11+1,1))-AVERAGE(OFFSET($H$3,0,0,'Données projet'!$E$11+1,1))</f>
        <v>221.18884567967481</v>
      </c>
      <c r="BJ78" s="60">
        <f t="shared" si="92"/>
        <v>189.31596996710888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1.5783333333333318</v>
      </c>
      <c r="BY78" s="13">
        <f>IF('Données projet'!$A$114&gt;35,BY77+BX78-CG77,IF(A78&lt;'Données projet'!$A$114,$BV$205^A78,IF(A78='Données projet'!$A$114,'Données projet'!$B$114,BY77+BX78-CG77)))</f>
        <v>92.254166666666606</v>
      </c>
      <c r="BZ78" s="14">
        <f>BY78*VLOOKUP('Données projet'!$B$12,Paramètres!$A$1:$I$89,3,0)*VLOOKUP('Données projet'!$B$12,Paramètres!$A$1:$I$89,5,0)</f>
        <v>106.27679999999992</v>
      </c>
      <c r="CA78" s="14">
        <f t="shared" si="93"/>
        <v>28.45201941300353</v>
      </c>
      <c r="CB78" s="22">
        <f t="shared" si="64"/>
        <v>234.65269381098105</v>
      </c>
      <c r="CC78" s="60">
        <f t="shared" si="65"/>
        <v>490.48496922138145</v>
      </c>
      <c r="CD78" s="60">
        <f ca="1">AVERAGE(OFFSET($CC$3,0,0,'Données projet'!$E$12+1,1))-AVERAGE(OFFSET($H$3,0,0,'Données projet'!$E$12+1,1))</f>
        <v>314.72063458462026</v>
      </c>
      <c r="CE78" s="60">
        <f t="shared" si="94"/>
        <v>216.4380325968244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197</v>
      </c>
      <c r="CR78" s="13">
        <f>VLOOKUP(A78,'Données projet'!$A$139:$I$159,9,0)</f>
        <v>5</v>
      </c>
      <c r="CS78" s="13">
        <f t="array" ref="CS78">INDEX(CR:CR,MIN(IF(ISNUMBER(CR78:CR274),ROW(CR78:CR274),"")))</f>
        <v>5</v>
      </c>
      <c r="CT78" s="13">
        <f>IF('Données projet'!$A$140&gt;35,CT77+CS78-DB77,IF(A78&lt;'Données projet'!$A$140,$CQ$205^A78,IF(A78='Données projet'!$A$140,'Données projet'!$B$140,CT77+CS78-DB77)))</f>
        <v>197</v>
      </c>
      <c r="CU78" s="18">
        <f>CT78*VLOOKUP('Données projet'!$B$13,Paramètres!$A$1:$I$89,3,0)*VLOOKUP('Données projet'!$B$13,Paramètres!$A$1:$I$89,5,0)</f>
        <v>212.05079999999998</v>
      </c>
      <c r="CV78" s="14">
        <f t="shared" si="95"/>
        <v>52.383483303212302</v>
      </c>
      <c r="CW78" s="22">
        <f t="shared" si="67"/>
        <v>460.55637675309475</v>
      </c>
      <c r="CX78" s="60">
        <f t="shared" si="68"/>
        <v>716.38865216349518</v>
      </c>
      <c r="CY78" s="60">
        <f ca="1">AVERAGE(OFFSET($CX$3,0,0,'Données projet'!$E$13+1,1))-AVERAGE(OFFSET($H$3,0,0,'Données projet'!$E$13+1,1))</f>
        <v>465.51503238626822</v>
      </c>
      <c r="CZ78" s="60">
        <f t="shared" si="96"/>
        <v>205.55320107663496</v>
      </c>
      <c r="DA78" s="16">
        <f>IF(ISNA(VLOOKUP(A78,'Données projet'!$A$139:$I$159,3,0)),0,VLOOKUP(A78,'Données projet'!$A$139:$I$159,3,0))</f>
        <v>5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197</v>
      </c>
      <c r="DM78" s="13">
        <f>VLOOKUP(A78,'Données projet'!$A$165:$I$185,9,0)</f>
        <v>5</v>
      </c>
      <c r="DN78" s="13">
        <f t="array" ref="DN78">INDEX(DM:DM,MIN(IF(ISNUMBER(DM78:DM274),ROW(DM78:DM274),"")))</f>
        <v>5</v>
      </c>
      <c r="DO78" s="13">
        <f>IF('Données projet'!$A$166&gt;35,DO77+DN78-DW77,IF(A78&lt;'Données projet'!$A$166,$DL$205^A78,IF(A78='Données projet'!$A$166,'Données projet'!$B$166,DO77+DN78-DW77)))</f>
        <v>197</v>
      </c>
      <c r="DP78" s="18">
        <f>DO78*VLOOKUP('Données projet'!$B$14,Paramètres!$A$1:$I$89,3,0)*VLOOKUP('Données projet'!$B$14,Paramètres!$A$1:$I$89,5,0)</f>
        <v>169.02600000000001</v>
      </c>
      <c r="DQ78" s="14">
        <f t="shared" si="97"/>
        <v>42.871807090122402</v>
      </c>
      <c r="DR78" s="22">
        <f t="shared" si="70"/>
        <v>369.05534734862982</v>
      </c>
      <c r="DS78" s="60">
        <f t="shared" si="71"/>
        <v>624.88762275903014</v>
      </c>
      <c r="DT78" s="60">
        <f ca="1">AVERAGE(OFFSET($DS$3,0,0,'Données projet'!$E$14+1,1))-AVERAGE(OFFSET($H$3,0,0,'Données projet'!$E$14+1,1))</f>
        <v>393.79546872270964</v>
      </c>
      <c r="DU78" s="60">
        <f t="shared" si="98"/>
        <v>179.7333990060757</v>
      </c>
      <c r="DV78" s="16">
        <f>IF(ISNA(VLOOKUP(A78,'Données projet'!$A$165:$I$185,3,0)),0,VLOOKUP(A78,'Données projet'!$A$165:$I$185,3,0))</f>
        <v>5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135.66666666666666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5.8269230769230802</v>
      </c>
      <c r="N79" s="14">
        <f>IF('Données projet'!$A$36&gt;35,N78+M79-V78,IF(A79&lt;'Données projet'!$A$36,$K$205^A79,IF(A79='Données projet'!$A$36,'Données projet'!$B$36,N78+M79-V78)))</f>
        <v>256.0384615384616</v>
      </c>
      <c r="O79" s="14">
        <f>N79*VLOOKUP('Données projet'!$B$9,Paramètres!$A$1:$I$89,3,0)*VLOOKUP('Données projet'!$B$9,Paramètres!$A$1:$I$89,5,0)</f>
        <v>119.82600000000002</v>
      </c>
      <c r="P79" s="14">
        <f t="shared" si="87"/>
        <v>31.63441322490883</v>
      </c>
      <c r="Q79" s="22">
        <f t="shared" si="54"/>
        <v>263.79355303338292</v>
      </c>
      <c r="R79" s="60">
        <f t="shared" si="55"/>
        <v>520.27638795894086</v>
      </c>
      <c r="S79" s="60">
        <f ca="1">AVERAGE(OFFSET($R$3,0,0,'Données projet'!$E$9+1,1))-AVERAGE(OFFSET($H$3,0,0,'Données projet'!$E$9+1,1))</f>
        <v>291.44524568678776</v>
      </c>
      <c r="T79" s="60">
        <f t="shared" si="88"/>
        <v>136.43373205899937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2.0200000000000045</v>
      </c>
      <c r="AI79" s="14">
        <f>IF('Données projet'!$A$62&gt;35,AI78+AH79-AQ78,IF(A79&lt;'Données projet'!$A$62,$AF$205^A79,IF(A79='Données projet'!$A$62,'Données projet'!$B$62,AI78+AH79-AQ78)))</f>
        <v>280.2199999999998</v>
      </c>
      <c r="AJ79" s="14">
        <f>AI79*VLOOKUP('Données projet'!$B$10,Paramètres!$A$1:$I$89,3,0)*VLOOKUP('Données projet'!$B$10,Paramètres!$A$1:$I$89,5,0)</f>
        <v>145.7143999999999</v>
      </c>
      <c r="AK79" s="14">
        <f t="shared" si="89"/>
        <v>37.603030716193146</v>
      </c>
      <c r="AL79" s="22">
        <f t="shared" si="58"/>
        <v>319.27785849736955</v>
      </c>
      <c r="AM79" s="60">
        <f t="shared" si="59"/>
        <v>575.76069342292749</v>
      </c>
      <c r="AN79" s="60">
        <f ca="1">AVERAGE(OFFSET($AM$3,0,0,'Données projet'!$E$10+1,1))-AVERAGE(OFFSET($H$3,0,0,'Données projet'!$E$10+1,1))</f>
        <v>300.72820267660154</v>
      </c>
      <c r="AO79" s="60">
        <f t="shared" si="90"/>
        <v>228.35388778608589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3.5471153846153847</v>
      </c>
      <c r="BD79" s="13">
        <f>IF('Données projet'!$A$88&gt;35,BD78+BC79-BL78,IF(A79&lt;'Données projet'!$A$88,$BA$205^A79,IF(A79='Données projet'!$A$88,'Données projet'!$B$88,BD78+BC79-BL78)))</f>
        <v>119.60192307692307</v>
      </c>
      <c r="BE79" s="14">
        <f>BD79*VLOOKUP('Données projet'!$B$11,Paramètres!$A$1:$I$89,3,0)*VLOOKUP('Données projet'!$B$11,Paramètres!$A$1:$I$89,5,0)</f>
        <v>69.967124999999996</v>
      </c>
      <c r="BF79" s="14">
        <f t="shared" si="91"/>
        <v>19.665293327030454</v>
      </c>
      <c r="BG79" s="22">
        <f t="shared" si="61"/>
        <v>156.10979525291137</v>
      </c>
      <c r="BH79" s="60">
        <f t="shared" si="62"/>
        <v>412.59263017846922</v>
      </c>
      <c r="BI79" s="60">
        <f ca="1">AVERAGE(OFFSET($BH$3,0,0,'Données projet'!$E$11+1,1))-AVERAGE(OFFSET($H$3,0,0,'Données projet'!$E$11+1,1))</f>
        <v>221.18884567967481</v>
      </c>
      <c r="BJ79" s="60">
        <f t="shared" si="92"/>
        <v>189.31596996710888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1.5783333333333318</v>
      </c>
      <c r="BY79" s="13">
        <f>IF('Données projet'!$A$114&gt;35,BY78+BX79-CG78,IF(A79&lt;'Données projet'!$A$114,$BV$205^A79,IF(A79='Données projet'!$A$114,'Données projet'!$B$114,BY78+BX79-CG78)))</f>
        <v>93.832499999999939</v>
      </c>
      <c r="BZ79" s="14">
        <f>BY79*VLOOKUP('Données projet'!$B$12,Paramètres!$A$1:$I$89,3,0)*VLOOKUP('Données projet'!$B$12,Paramètres!$A$1:$I$89,5,0)</f>
        <v>108.09503999999993</v>
      </c>
      <c r="CA79" s="14">
        <f t="shared" si="93"/>
        <v>28.881705828313297</v>
      </c>
      <c r="CB79" s="22">
        <f t="shared" si="64"/>
        <v>238.56783231764553</v>
      </c>
      <c r="CC79" s="60">
        <f t="shared" si="65"/>
        <v>495.05066724320341</v>
      </c>
      <c r="CD79" s="60">
        <f ca="1">AVERAGE(OFFSET($CC$3,0,0,'Données projet'!$E$12+1,1))-AVERAGE(OFFSET($H$3,0,0,'Données projet'!$E$12+1,1))</f>
        <v>314.72063458462026</v>
      </c>
      <c r="CE79" s="60">
        <f t="shared" si="94"/>
        <v>216.4380325968244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173.6</v>
      </c>
      <c r="CU79" s="18">
        <f>CT79*VLOOKUP('Données projet'!$B$13,Paramètres!$A$1:$I$89,3,0)*VLOOKUP('Données projet'!$B$13,Paramètres!$A$1:$I$89,5,0)</f>
        <v>186.86303999999998</v>
      </c>
      <c r="CV79" s="14">
        <f t="shared" si="95"/>
        <v>46.845744983534466</v>
      </c>
      <c r="CW79" s="22">
        <f t="shared" si="67"/>
        <v>407.04280051298912</v>
      </c>
      <c r="CX79" s="60">
        <f t="shared" si="68"/>
        <v>663.52563543854694</v>
      </c>
      <c r="CY79" s="60">
        <f ca="1">AVERAGE(OFFSET($CX$3,0,0,'Données projet'!$E$13+1,1))-AVERAGE(OFFSET($H$3,0,0,'Données projet'!$E$13+1,1))</f>
        <v>465.51503238626822</v>
      </c>
      <c r="CZ79" s="60">
        <f t="shared" si="96"/>
        <v>205.55320107663496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4.5999999999999996</v>
      </c>
      <c r="DO79" s="13">
        <f>IF('Données projet'!$A$166&gt;35,DO78+DN79-DW78,IF(A79&lt;'Données projet'!$A$166,$DL$205^A79,IF(A79='Données projet'!$A$166,'Données projet'!$B$166,DO78+DN79-DW78)))</f>
        <v>173.6</v>
      </c>
      <c r="DP79" s="18">
        <f>DO79*VLOOKUP('Données projet'!$B$14,Paramètres!$A$1:$I$89,3,0)*VLOOKUP('Données projet'!$B$14,Paramètres!$A$1:$I$89,5,0)</f>
        <v>148.94880000000001</v>
      </c>
      <c r="DQ79" s="14">
        <f t="shared" si="97"/>
        <v>38.339598959124594</v>
      </c>
      <c r="DR79" s="22">
        <f t="shared" si="70"/>
        <v>326.19396152047534</v>
      </c>
      <c r="DS79" s="60">
        <f t="shared" si="71"/>
        <v>582.67679644603322</v>
      </c>
      <c r="DT79" s="60">
        <f ca="1">AVERAGE(OFFSET($DS$3,0,0,'Données projet'!$E$14+1,1))-AVERAGE(OFFSET($H$3,0,0,'Données projet'!$E$14+1,1))</f>
        <v>393.79546872270964</v>
      </c>
      <c r="DU79" s="60">
        <f t="shared" si="98"/>
        <v>179.7333990060757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135.66666666666666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5.8269230769230802</v>
      </c>
      <c r="N80" s="14">
        <f>IF('Données projet'!$A$36&gt;35,N79+M80-V79,IF(A80&lt;'Données projet'!$A$36,$K$205^A80,IF(A80='Données projet'!$A$36,'Données projet'!$B$36,N79+M80-V79)))</f>
        <v>261.8653846153847</v>
      </c>
      <c r="O80" s="14">
        <f>N80*VLOOKUP('Données projet'!$B$9,Paramètres!$A$1:$I$89,3,0)*VLOOKUP('Données projet'!$B$9,Paramètres!$A$1:$I$89,5,0)</f>
        <v>122.55300000000003</v>
      </c>
      <c r="P80" s="14">
        <f t="shared" si="87"/>
        <v>32.269713108050254</v>
      </c>
      <c r="Q80" s="22">
        <f t="shared" si="54"/>
        <v>269.64955866318752</v>
      </c>
      <c r="R80" s="60">
        <f t="shared" si="55"/>
        <v>526.77166735074809</v>
      </c>
      <c r="S80" s="60">
        <f ca="1">AVERAGE(OFFSET($R$3,0,0,'Données projet'!$E$9+1,1))-AVERAGE(OFFSET($H$3,0,0,'Données projet'!$E$9+1,1))</f>
        <v>291.44524568678776</v>
      </c>
      <c r="T80" s="60">
        <f t="shared" si="88"/>
        <v>136.43373205899937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2.0200000000000045</v>
      </c>
      <c r="AI80" s="14">
        <f>IF('Données projet'!$A$62&gt;35,AI79+AH80-AQ79,IF(A80&lt;'Données projet'!$A$62,$AF$205^A80,IF(A80='Données projet'!$A$62,'Données projet'!$B$62,AI79+AH80-AQ79)))</f>
        <v>282.23999999999978</v>
      </c>
      <c r="AJ80" s="14">
        <f>AI80*VLOOKUP('Données projet'!$B$10,Paramètres!$A$1:$I$89,3,0)*VLOOKUP('Données projet'!$B$10,Paramètres!$A$1:$I$89,5,0)</f>
        <v>146.76479999999989</v>
      </c>
      <c r="AK80" s="14">
        <f t="shared" si="89"/>
        <v>37.84244443995663</v>
      </c>
      <c r="AL80" s="22">
        <f t="shared" si="58"/>
        <v>321.52428406625762</v>
      </c>
      <c r="AM80" s="60">
        <f t="shared" si="59"/>
        <v>578.64639275381819</v>
      </c>
      <c r="AN80" s="60">
        <f ca="1">AVERAGE(OFFSET($AM$3,0,0,'Données projet'!$E$10+1,1))-AVERAGE(OFFSET($H$3,0,0,'Données projet'!$E$10+1,1))</f>
        <v>300.72820267660154</v>
      </c>
      <c r="AO80" s="60">
        <f t="shared" si="90"/>
        <v>228.35388778608589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3.5471153846153847</v>
      </c>
      <c r="BD80" s="13">
        <f>IF('Données projet'!$A$88&gt;35,BD79+BC80-BL79,IF(A80&lt;'Données projet'!$A$88,$BA$205^A80,IF(A80='Données projet'!$A$88,'Données projet'!$B$88,BD79+BC80-BL79)))</f>
        <v>123.14903846153845</v>
      </c>
      <c r="BE80" s="14">
        <f>BD80*VLOOKUP('Données projet'!$B$11,Paramètres!$A$1:$I$89,3,0)*VLOOKUP('Données projet'!$B$11,Paramètres!$A$1:$I$89,5,0)</f>
        <v>72.042187499999997</v>
      </c>
      <c r="BF80" s="14">
        <f t="shared" si="91"/>
        <v>20.179752808447528</v>
      </c>
      <c r="BG80" s="22">
        <f t="shared" si="61"/>
        <v>160.6198793705461</v>
      </c>
      <c r="BH80" s="60">
        <f t="shared" si="62"/>
        <v>417.7419880581067</v>
      </c>
      <c r="BI80" s="60">
        <f ca="1">AVERAGE(OFFSET($BH$3,0,0,'Données projet'!$E$11+1,1))-AVERAGE(OFFSET($H$3,0,0,'Données projet'!$E$11+1,1))</f>
        <v>221.18884567967481</v>
      </c>
      <c r="BJ80" s="60">
        <f t="shared" si="92"/>
        <v>189.31596996710888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1.5783333333333318</v>
      </c>
      <c r="BY80" s="13">
        <f>IF('Données projet'!$A$114&gt;35,BY79+BX80-CG79,IF(A80&lt;'Données projet'!$A$114,$BV$205^A80,IF(A80='Données projet'!$A$114,'Données projet'!$B$114,BY79+BX80-CG79)))</f>
        <v>95.410833333333272</v>
      </c>
      <c r="BZ80" s="14">
        <f>BY80*VLOOKUP('Données projet'!$B$12,Paramètres!$A$1:$I$89,3,0)*VLOOKUP('Données projet'!$B$12,Paramètres!$A$1:$I$89,5,0)</f>
        <v>109.91327999999992</v>
      </c>
      <c r="CA80" s="14">
        <f t="shared" si="93"/>
        <v>29.310551726420417</v>
      </c>
      <c r="CB80" s="22">
        <f t="shared" si="64"/>
        <v>242.48150692351541</v>
      </c>
      <c r="CC80" s="60">
        <f t="shared" si="65"/>
        <v>499.60361561107595</v>
      </c>
      <c r="CD80" s="60">
        <f ca="1">AVERAGE(OFFSET($CC$3,0,0,'Données projet'!$E$12+1,1))-AVERAGE(OFFSET($H$3,0,0,'Données projet'!$E$12+1,1))</f>
        <v>314.72063458462026</v>
      </c>
      <c r="CE80" s="60">
        <f t="shared" si="94"/>
        <v>216.4380325968244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178.2</v>
      </c>
      <c r="CU80" s="18">
        <f>CT80*VLOOKUP('Données projet'!$B$13,Paramètres!$A$1:$I$89,3,0)*VLOOKUP('Données projet'!$B$13,Paramètres!$A$1:$I$89,5,0)</f>
        <v>191.81447999999997</v>
      </c>
      <c r="CV80" s="14">
        <f t="shared" si="95"/>
        <v>47.940886441320977</v>
      </c>
      <c r="CW80" s="22">
        <f t="shared" si="67"/>
        <v>417.57392988530063</v>
      </c>
      <c r="CX80" s="60">
        <f t="shared" si="68"/>
        <v>674.6960385728612</v>
      </c>
      <c r="CY80" s="60">
        <f ca="1">AVERAGE(OFFSET($CX$3,0,0,'Données projet'!$E$13+1,1))-AVERAGE(OFFSET($H$3,0,0,'Données projet'!$E$13+1,1))</f>
        <v>465.51503238626822</v>
      </c>
      <c r="CZ80" s="60">
        <f t="shared" si="96"/>
        <v>205.55320107663496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4.5999999999999996</v>
      </c>
      <c r="DO80" s="13">
        <f>IF('Données projet'!$A$166&gt;35,DO79+DN80-DW79,IF(A80&lt;'Données projet'!$A$166,$DL$205^A80,IF(A80='Données projet'!$A$166,'Données projet'!$B$166,DO79+DN80-DW79)))</f>
        <v>178.2</v>
      </c>
      <c r="DP80" s="18">
        <f>DO80*VLOOKUP('Données projet'!$B$14,Paramètres!$A$1:$I$89,3,0)*VLOOKUP('Données projet'!$B$14,Paramètres!$A$1:$I$89,5,0)</f>
        <v>152.8956</v>
      </c>
      <c r="DQ80" s="14">
        <f t="shared" si="97"/>
        <v>39.235887070452605</v>
      </c>
      <c r="DR80" s="22">
        <f t="shared" si="70"/>
        <v>334.62900664770495</v>
      </c>
      <c r="DS80" s="60">
        <f t="shared" si="71"/>
        <v>591.75111533526547</v>
      </c>
      <c r="DT80" s="60">
        <f ca="1">AVERAGE(OFFSET($DS$3,0,0,'Données projet'!$E$14+1,1))-AVERAGE(OFFSET($H$3,0,0,'Données projet'!$E$14+1,1))</f>
        <v>393.79546872270964</v>
      </c>
      <c r="DU80" s="60">
        <f t="shared" si="98"/>
        <v>179.7333990060757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135.66666666666666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5.8269230769230802</v>
      </c>
      <c r="N81" s="14">
        <f>IF('Données projet'!$A$36&gt;35,N80+M81-V80,IF(A81&lt;'Données projet'!$A$36,$K$205^A81,IF(A81='Données projet'!$A$36,'Données projet'!$B$36,N80+M81-V80)))</f>
        <v>267.69230769230779</v>
      </c>
      <c r="O81" s="14">
        <f>N81*VLOOKUP('Données projet'!$B$9,Paramètres!$A$1:$I$89,3,0)*VLOOKUP('Données projet'!$B$9,Paramètres!$A$1:$I$89,5,0)</f>
        <v>125.28000000000004</v>
      </c>
      <c r="P81" s="14">
        <f t="shared" si="87"/>
        <v>32.903369495688672</v>
      </c>
      <c r="Q81" s="22">
        <f t="shared" si="54"/>
        <v>275.50270187165779</v>
      </c>
      <c r="R81" s="60">
        <f t="shared" si="55"/>
        <v>533.25299435065222</v>
      </c>
      <c r="S81" s="60">
        <f ca="1">AVERAGE(OFFSET($R$3,0,0,'Données projet'!$E$9+1,1))-AVERAGE(OFFSET($H$3,0,0,'Données projet'!$E$9+1,1))</f>
        <v>291.44524568678776</v>
      </c>
      <c r="T81" s="60">
        <f t="shared" si="88"/>
        <v>136.43373205899937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2.0200000000000045</v>
      </c>
      <c r="AI81" s="14">
        <f>IF('Données projet'!$A$62&gt;35,AI80+AH81-AQ80,IF(A81&lt;'Données projet'!$A$62,$AF$205^A81,IF(A81='Données projet'!$A$62,'Données projet'!$B$62,AI80+AH81-AQ80)))</f>
        <v>284.25999999999976</v>
      </c>
      <c r="AJ81" s="14">
        <f>AI81*VLOOKUP('Données projet'!$B$10,Paramètres!$A$1:$I$89,3,0)*VLOOKUP('Données projet'!$B$10,Paramètres!$A$1:$I$89,5,0)</f>
        <v>147.81519999999989</v>
      </c>
      <c r="AK81" s="14">
        <f t="shared" si="89"/>
        <v>38.081658794614022</v>
      </c>
      <c r="AL81" s="22">
        <f t="shared" si="58"/>
        <v>323.77036240061921</v>
      </c>
      <c r="AM81" s="60">
        <f t="shared" si="59"/>
        <v>581.52065487961363</v>
      </c>
      <c r="AN81" s="60">
        <f ca="1">AVERAGE(OFFSET($AM$3,0,0,'Données projet'!$E$10+1,1))-AVERAGE(OFFSET($H$3,0,0,'Données projet'!$E$10+1,1))</f>
        <v>300.72820267660154</v>
      </c>
      <c r="AO81" s="60">
        <f t="shared" si="90"/>
        <v>228.35388778608589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3.5471153846153847</v>
      </c>
      <c r="BD81" s="13">
        <f>IF('Données projet'!$A$88&gt;35,BD80+BC81-BL80,IF(A81&lt;'Données projet'!$A$88,$BA$205^A81,IF(A81='Données projet'!$A$88,'Données projet'!$B$88,BD80+BC81-BL80)))</f>
        <v>126.69615384615383</v>
      </c>
      <c r="BE81" s="14">
        <f>BD81*VLOOKUP('Données projet'!$B$11,Paramètres!$A$1:$I$89,3,0)*VLOOKUP('Données projet'!$B$11,Paramètres!$A$1:$I$89,5,0)</f>
        <v>74.117249999999999</v>
      </c>
      <c r="BF81" s="14">
        <f t="shared" si="91"/>
        <v>20.692490087928007</v>
      </c>
      <c r="BG81" s="22">
        <f t="shared" si="61"/>
        <v>165.12696398647461</v>
      </c>
      <c r="BH81" s="60">
        <f t="shared" si="62"/>
        <v>422.87725646546909</v>
      </c>
      <c r="BI81" s="60">
        <f ca="1">AVERAGE(OFFSET($BH$3,0,0,'Données projet'!$E$11+1,1))-AVERAGE(OFFSET($H$3,0,0,'Données projet'!$E$11+1,1))</f>
        <v>221.18884567967481</v>
      </c>
      <c r="BJ81" s="60">
        <f t="shared" si="92"/>
        <v>189.31596996710888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1.5783333333333318</v>
      </c>
      <c r="BY81" s="13">
        <f>IF('Données projet'!$A$114&gt;35,BY80+BX81-CG80,IF(A81&lt;'Données projet'!$A$114,$BV$205^A81,IF(A81='Données projet'!$A$114,'Données projet'!$B$114,BY80+BX81-CG80)))</f>
        <v>96.989166666666605</v>
      </c>
      <c r="BZ81" s="14">
        <f>BY81*VLOOKUP('Données projet'!$B$12,Paramètres!$A$1:$I$89,3,0)*VLOOKUP('Données projet'!$B$12,Paramètres!$A$1:$I$89,5,0)</f>
        <v>111.73151999999993</v>
      </c>
      <c r="CA81" s="14">
        <f t="shared" si="93"/>
        <v>29.738572616522461</v>
      </c>
      <c r="CB81" s="22">
        <f t="shared" si="64"/>
        <v>246.39374464044309</v>
      </c>
      <c r="CC81" s="60">
        <f t="shared" si="65"/>
        <v>504.1440371194376</v>
      </c>
      <c r="CD81" s="60">
        <f ca="1">AVERAGE(OFFSET($CC$3,0,0,'Données projet'!$E$12+1,1))-AVERAGE(OFFSET($H$3,0,0,'Données projet'!$E$12+1,1))</f>
        <v>314.72063458462026</v>
      </c>
      <c r="CE81" s="60">
        <f t="shared" si="94"/>
        <v>216.4380325968244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182.79999999999998</v>
      </c>
      <c r="CU81" s="18">
        <f>CT81*VLOOKUP('Données projet'!$B$13,Paramètres!$A$1:$I$89,3,0)*VLOOKUP('Données projet'!$B$13,Paramètres!$A$1:$I$89,5,0)</f>
        <v>196.76591999999997</v>
      </c>
      <c r="CV81" s="14">
        <f t="shared" si="95"/>
        <v>49.03274186547759</v>
      </c>
      <c r="CW81" s="22">
        <f t="shared" si="67"/>
        <v>428.09933608237338</v>
      </c>
      <c r="CX81" s="60">
        <f t="shared" si="68"/>
        <v>685.84962856136781</v>
      </c>
      <c r="CY81" s="60">
        <f ca="1">AVERAGE(OFFSET($CX$3,0,0,'Données projet'!$E$13+1,1))-AVERAGE(OFFSET($H$3,0,0,'Données projet'!$E$13+1,1))</f>
        <v>465.51503238626822</v>
      </c>
      <c r="CZ81" s="60">
        <f t="shared" si="96"/>
        <v>205.55320107663496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4.5999999999999996</v>
      </c>
      <c r="DO81" s="13">
        <f>IF('Données projet'!$A$166&gt;35,DO80+DN81-DW80,IF(A81&lt;'Données projet'!$A$166,$DL$205^A81,IF(A81='Données projet'!$A$166,'Données projet'!$B$166,DO80+DN81-DW80)))</f>
        <v>182.79999999999998</v>
      </c>
      <c r="DP81" s="18">
        <f>DO81*VLOOKUP('Données projet'!$B$14,Paramètres!$A$1:$I$89,3,0)*VLOOKUP('Données projet'!$B$14,Paramètres!$A$1:$I$89,5,0)</f>
        <v>156.8424</v>
      </c>
      <c r="DQ81" s="14">
        <f t="shared" si="97"/>
        <v>40.129485818817543</v>
      </c>
      <c r="DR81" s="22">
        <f t="shared" si="70"/>
        <v>343.05936780110716</v>
      </c>
      <c r="DS81" s="60">
        <f t="shared" si="71"/>
        <v>600.80966028010164</v>
      </c>
      <c r="DT81" s="60">
        <f ca="1">AVERAGE(OFFSET($DS$3,0,0,'Données projet'!$E$14+1,1))-AVERAGE(OFFSET($H$3,0,0,'Données projet'!$E$14+1,1))</f>
        <v>393.79546872270964</v>
      </c>
      <c r="DU81" s="60">
        <f t="shared" si="98"/>
        <v>179.7333990060757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135.66666666666666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5.8269230769230802</v>
      </c>
      <c r="N82" s="14">
        <f>IF('Données projet'!$A$36&gt;35,N81+M82-V81,IF(A82&lt;'Données projet'!$A$36,$K$205^A82,IF(A82='Données projet'!$A$36,'Données projet'!$B$36,N81+M82-V81)))</f>
        <v>273.51923076923089</v>
      </c>
      <c r="O82" s="14">
        <f>N82*VLOOKUP('Données projet'!$B$9,Paramètres!$A$1:$I$89,3,0)*VLOOKUP('Données projet'!$B$9,Paramètres!$A$1:$I$89,5,0)</f>
        <v>128.00700000000003</v>
      </c>
      <c r="P82" s="14">
        <f t="shared" si="87"/>
        <v>33.535422282133354</v>
      </c>
      <c r="Q82" s="22">
        <f t="shared" si="54"/>
        <v>281.35305214138225</v>
      </c>
      <c r="R82" s="60">
        <f t="shared" si="55"/>
        <v>539.72063082743784</v>
      </c>
      <c r="S82" s="60">
        <f ca="1">AVERAGE(OFFSET($R$3,0,0,'Données projet'!$E$9+1,1))-AVERAGE(OFFSET($H$3,0,0,'Données projet'!$E$9+1,1))</f>
        <v>291.44524568678776</v>
      </c>
      <c r="T82" s="60">
        <f t="shared" si="88"/>
        <v>136.43373205899937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2.0200000000000045</v>
      </c>
      <c r="AI82" s="14">
        <f>IF('Données projet'!$A$62&gt;35,AI81+AH82-AQ81,IF(A82&lt;'Données projet'!$A$62,$AF$205^A82,IF(A82='Données projet'!$A$62,'Données projet'!$B$62,AI81+AH82-AQ81)))</f>
        <v>286.27999999999975</v>
      </c>
      <c r="AJ82" s="14">
        <f>AI82*VLOOKUP('Données projet'!$B$10,Paramètres!$A$1:$I$89,3,0)*VLOOKUP('Données projet'!$B$10,Paramètres!$A$1:$I$89,5,0)</f>
        <v>148.86559999999989</v>
      </c>
      <c r="AK82" s="14">
        <f t="shared" si="89"/>
        <v>38.320675361198653</v>
      </c>
      <c r="AL82" s="22">
        <f t="shared" si="58"/>
        <v>326.01609625408747</v>
      </c>
      <c r="AM82" s="60">
        <f t="shared" si="59"/>
        <v>584.38367494014312</v>
      </c>
      <c r="AN82" s="60">
        <f ca="1">AVERAGE(OFFSET($AM$3,0,0,'Données projet'!$E$10+1,1))-AVERAGE(OFFSET($H$3,0,0,'Données projet'!$E$10+1,1))</f>
        <v>300.72820267660154</v>
      </c>
      <c r="AO82" s="60">
        <f t="shared" si="90"/>
        <v>228.35388778608589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3.5471153846153847</v>
      </c>
      <c r="BD82" s="13">
        <f>IF('Données projet'!$A$88&gt;35,BD81+BC82-BL81,IF(A82&lt;'Données projet'!$A$88,$BA$205^A82,IF(A82='Données projet'!$A$88,'Données projet'!$B$88,BD81+BC82-BL81)))</f>
        <v>130.24326923076922</v>
      </c>
      <c r="BE82" s="14">
        <f>BD82*VLOOKUP('Données projet'!$B$11,Paramètres!$A$1:$I$89,3,0)*VLOOKUP('Données projet'!$B$11,Paramètres!$A$1:$I$89,5,0)</f>
        <v>76.1923125</v>
      </c>
      <c r="BF82" s="14">
        <f t="shared" si="91"/>
        <v>21.203558921018757</v>
      </c>
      <c r="BG82" s="22">
        <f t="shared" si="61"/>
        <v>169.63114272494099</v>
      </c>
      <c r="BH82" s="60">
        <f t="shared" si="62"/>
        <v>427.99872141099661</v>
      </c>
      <c r="BI82" s="60">
        <f ca="1">AVERAGE(OFFSET($BH$3,0,0,'Données projet'!$E$11+1,1))-AVERAGE(OFFSET($H$3,0,0,'Données projet'!$E$11+1,1))</f>
        <v>221.18884567967481</v>
      </c>
      <c r="BJ82" s="60">
        <f t="shared" si="92"/>
        <v>189.31596996710888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1.5783333333333318</v>
      </c>
      <c r="BY82" s="13">
        <f>IF('Données projet'!$A$114&gt;35,BY81+BX82-CG81,IF(A82&lt;'Données projet'!$A$114,$BV$205^A82,IF(A82='Données projet'!$A$114,'Données projet'!$B$114,BY81+BX82-CG81)))</f>
        <v>98.567499999999939</v>
      </c>
      <c r="BZ82" s="14">
        <f>BY82*VLOOKUP('Données projet'!$B$12,Paramètres!$A$1:$I$89,3,0)*VLOOKUP('Données projet'!$B$12,Paramètres!$A$1:$I$89,5,0)</f>
        <v>113.54975999999992</v>
      </c>
      <c r="CA82" s="14">
        <f t="shared" si="93"/>
        <v>30.165783474102916</v>
      </c>
      <c r="CB82" s="22">
        <f t="shared" si="64"/>
        <v>250.30457155072909</v>
      </c>
      <c r="CC82" s="60">
        <f t="shared" si="65"/>
        <v>508.67215023678477</v>
      </c>
      <c r="CD82" s="60">
        <f ca="1">AVERAGE(OFFSET($CC$3,0,0,'Données projet'!$E$12+1,1))-AVERAGE(OFFSET($H$3,0,0,'Données projet'!$E$12+1,1))</f>
        <v>314.72063458462026</v>
      </c>
      <c r="CE82" s="60">
        <f t="shared" si="94"/>
        <v>216.4380325968244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187.39999999999998</v>
      </c>
      <c r="CU82" s="18">
        <f>CT82*VLOOKUP('Données projet'!$B$13,Paramètres!$A$1:$I$89,3,0)*VLOOKUP('Données projet'!$B$13,Paramètres!$A$1:$I$89,5,0)</f>
        <v>201.71735999999999</v>
      </c>
      <c r="CV82" s="14">
        <f t="shared" si="95"/>
        <v>50.121403455877136</v>
      </c>
      <c r="CW82" s="22">
        <f t="shared" si="67"/>
        <v>438.61917968565263</v>
      </c>
      <c r="CX82" s="60">
        <f t="shared" si="68"/>
        <v>696.98675837170822</v>
      </c>
      <c r="CY82" s="60">
        <f ca="1">AVERAGE(OFFSET($CX$3,0,0,'Données projet'!$E$13+1,1))-AVERAGE(OFFSET($H$3,0,0,'Données projet'!$E$13+1,1))</f>
        <v>465.51503238626822</v>
      </c>
      <c r="CZ82" s="60">
        <f t="shared" si="96"/>
        <v>205.55320107663496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4.5999999999999996</v>
      </c>
      <c r="DO82" s="13">
        <f>IF('Données projet'!$A$166&gt;35,DO81+DN82-DW81,IF(A82&lt;'Données projet'!$A$166,$DL$205^A82,IF(A82='Données projet'!$A$166,'Données projet'!$B$166,DO81+DN82-DW81)))</f>
        <v>187.39999999999998</v>
      </c>
      <c r="DP82" s="18">
        <f>DO82*VLOOKUP('Données projet'!$B$14,Paramètres!$A$1:$I$89,3,0)*VLOOKUP('Données projet'!$B$14,Paramètres!$A$1:$I$89,5,0)</f>
        <v>160.78919999999999</v>
      </c>
      <c r="DQ82" s="14">
        <f t="shared" si="97"/>
        <v>41.020470662644705</v>
      </c>
      <c r="DR82" s="22">
        <f t="shared" si="70"/>
        <v>351.48517640410614</v>
      </c>
      <c r="DS82" s="60">
        <f t="shared" si="71"/>
        <v>609.85275509016174</v>
      </c>
      <c r="DT82" s="60">
        <f ca="1">AVERAGE(OFFSET($DS$3,0,0,'Données projet'!$E$14+1,1))-AVERAGE(OFFSET($H$3,0,0,'Données projet'!$E$14+1,1))</f>
        <v>393.79546872270964</v>
      </c>
      <c r="DU82" s="60">
        <f t="shared" si="98"/>
        <v>179.7333990060757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135.66666666666666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5.8269230769230802</v>
      </c>
      <c r="N83" s="14">
        <f>IF('Données projet'!$A$36&gt;35,N82+M83-V82,IF(A83&lt;'Données projet'!$A$36,$K$205^A83,IF(A83='Données projet'!$A$36,'Données projet'!$B$36,N82+M83-V82)))</f>
        <v>279.34615384615398</v>
      </c>
      <c r="O83" s="14">
        <f>N83*VLOOKUP('Données projet'!$B$9,Paramètres!$A$1:$I$89,3,0)*VLOOKUP('Données projet'!$B$9,Paramètres!$A$1:$I$89,5,0)</f>
        <v>130.73400000000007</v>
      </c>
      <c r="P83" s="14">
        <f t="shared" si="87"/>
        <v>34.16590956480794</v>
      </c>
      <c r="Q83" s="22">
        <f t="shared" si="54"/>
        <v>287.20067582537393</v>
      </c>
      <c r="R83" s="60">
        <f t="shared" si="55"/>
        <v>546.17483218284349</v>
      </c>
      <c r="S83" s="60">
        <f ca="1">AVERAGE(OFFSET($R$3,0,0,'Données projet'!$E$9+1,1))-AVERAGE(OFFSET($H$3,0,0,'Données projet'!$E$9+1,1))</f>
        <v>291.44524568678776</v>
      </c>
      <c r="T83" s="60">
        <f t="shared" si="88"/>
        <v>136.43373205899937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288.3</v>
      </c>
      <c r="AG83" s="13">
        <f>VLOOKUP(A83,'Données projet'!$A$61:$I$81,9,0)</f>
        <v>2.0200000000000045</v>
      </c>
      <c r="AH83" s="13">
        <f t="array" ref="AH83">INDEX(AG:AG,MIN(IF(ISNUMBER(AG83:AG279),ROW(AG83:AG279),"")))</f>
        <v>2.0200000000000045</v>
      </c>
      <c r="AI83" s="14">
        <f>IF('Données projet'!$A$62&gt;35,AI82+AH83-AQ82,IF(A83&lt;'Données projet'!$A$62,$AF$205^A83,IF(A83='Données projet'!$A$62,'Données projet'!$B$62,AI82+AH83-AQ82)))</f>
        <v>288.29999999999973</v>
      </c>
      <c r="AJ83" s="14">
        <f>AI83*VLOOKUP('Données projet'!$B$10,Paramètres!$A$1:$I$89,3,0)*VLOOKUP('Données projet'!$B$10,Paramètres!$A$1:$I$89,5,0)</f>
        <v>149.91599999999985</v>
      </c>
      <c r="AK83" s="14">
        <f t="shared" si="89"/>
        <v>38.559495697142879</v>
      </c>
      <c r="AL83" s="22">
        <f t="shared" si="58"/>
        <v>328.26148833919024</v>
      </c>
      <c r="AM83" s="60">
        <f t="shared" si="59"/>
        <v>587.23564469665985</v>
      </c>
      <c r="AN83" s="60">
        <f ca="1">AVERAGE(OFFSET($AM$3,0,0,'Données projet'!$E$10+1,1))-AVERAGE(OFFSET($H$3,0,0,'Données projet'!$E$10+1,1))</f>
        <v>300.72820267660154</v>
      </c>
      <c r="AO83" s="60">
        <f t="shared" si="90"/>
        <v>228.35388778608589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3.5471153846153847</v>
      </c>
      <c r="BD83" s="13">
        <f>IF('Données projet'!$A$88&gt;35,BD82+BC83-BL82,IF(A83&lt;'Données projet'!$A$88,$BA$205^A83,IF(A83='Données projet'!$A$88,'Données projet'!$B$88,BD82+BC83-BL82)))</f>
        <v>133.7903846153846</v>
      </c>
      <c r="BE83" s="14">
        <f>BD83*VLOOKUP('Données projet'!$B$11,Paramètres!$A$1:$I$89,3,0)*VLOOKUP('Données projet'!$B$11,Paramètres!$A$1:$I$89,5,0)</f>
        <v>78.267374999999987</v>
      </c>
      <c r="BF83" s="14">
        <f t="shared" si="91"/>
        <v>21.713009968591095</v>
      </c>
      <c r="BG83" s="22">
        <f t="shared" si="61"/>
        <v>174.13250382029614</v>
      </c>
      <c r="BH83" s="60">
        <f t="shared" si="62"/>
        <v>433.10666017776566</v>
      </c>
      <c r="BI83" s="60">
        <f ca="1">AVERAGE(OFFSET($BH$3,0,0,'Données projet'!$E$11+1,1))-AVERAGE(OFFSET($H$3,0,0,'Données projet'!$E$11+1,1))</f>
        <v>221.18884567967481</v>
      </c>
      <c r="BJ83" s="60">
        <f t="shared" si="92"/>
        <v>189.31596996710888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100.14583333333333</v>
      </c>
      <c r="BW83" s="13">
        <f>VLOOKUP(A83,'Données projet'!$A$113:$I$133,9,0)</f>
        <v>1.5783333333333318</v>
      </c>
      <c r="BX83" s="13">
        <f t="array" ref="BX83">INDEX(BW:BW,MIN(IF(ISNUMBER(BW83:BW279),ROW(BW83:BW279),"")))</f>
        <v>1.5783333333333318</v>
      </c>
      <c r="BY83" s="13">
        <f>IF('Données projet'!$A$114&gt;35,BY82+BX83-CG82,IF(A83&lt;'Données projet'!$A$114,$BV$205^A83,IF(A83='Données projet'!$A$114,'Données projet'!$B$114,BY82+BX83-CG82)))</f>
        <v>100.14583333333327</v>
      </c>
      <c r="BZ83" s="14">
        <f>BY83*VLOOKUP('Données projet'!$B$12,Paramètres!$A$1:$I$89,3,0)*VLOOKUP('Données projet'!$B$12,Paramètres!$A$1:$I$89,5,0)</f>
        <v>115.36799999999992</v>
      </c>
      <c r="CA83" s="14">
        <f t="shared" si="93"/>
        <v>30.592198767544506</v>
      </c>
      <c r="CB83" s="22">
        <f t="shared" si="64"/>
        <v>254.21401285347324</v>
      </c>
      <c r="CC83" s="60">
        <f t="shared" si="65"/>
        <v>513.18816921094276</v>
      </c>
      <c r="CD83" s="60">
        <f ca="1">AVERAGE(OFFSET($CC$3,0,0,'Données projet'!$E$12+1,1))-AVERAGE(OFFSET($H$3,0,0,'Données projet'!$E$12+1,1))</f>
        <v>314.72063458462026</v>
      </c>
      <c r="CE83" s="60">
        <f t="shared" si="94"/>
        <v>216.4380325968244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9.1666666666666679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191.99999999999997</v>
      </c>
      <c r="CU83" s="18">
        <f>CT83*VLOOKUP('Données projet'!$B$13,Paramètres!$A$1:$I$89,3,0)*VLOOKUP('Données projet'!$B$13,Paramètres!$A$1:$I$89,5,0)</f>
        <v>206.66879999999995</v>
      </c>
      <c r="CV83" s="14">
        <f t="shared" si="95"/>
        <v>51.206958627992705</v>
      </c>
      <c r="CW83" s="22">
        <f t="shared" si="67"/>
        <v>449.1336129437538</v>
      </c>
      <c r="CX83" s="60">
        <f t="shared" si="68"/>
        <v>708.10776930122336</v>
      </c>
      <c r="CY83" s="60">
        <f ca="1">AVERAGE(OFFSET($CX$3,0,0,'Données projet'!$E$13+1,1))-AVERAGE(OFFSET($H$3,0,0,'Données projet'!$E$13+1,1))</f>
        <v>465.51503238626822</v>
      </c>
      <c r="CZ83" s="60">
        <f t="shared" si="96"/>
        <v>205.55320107663496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192</v>
      </c>
      <c r="DM83" s="13">
        <f>VLOOKUP(A83,'Données projet'!$A$165:$I$185,9,0)</f>
        <v>4.5999999999999996</v>
      </c>
      <c r="DN83" s="13">
        <f t="array" ref="DN83">INDEX(DM:DM,MIN(IF(ISNUMBER(DM83:DM279),ROW(DM83:DM279),"")))</f>
        <v>4.5999999999999996</v>
      </c>
      <c r="DO83" s="13">
        <f>IF('Données projet'!$A$166&gt;35,DO82+DN83-DW82,IF(A83&lt;'Données projet'!$A$166,$DL$205^A83,IF(A83='Données projet'!$A$166,'Données projet'!$B$166,DO82+DN83-DW82)))</f>
        <v>191.99999999999997</v>
      </c>
      <c r="DP83" s="18">
        <f>DO83*VLOOKUP('Données projet'!$B$14,Paramètres!$A$1:$I$89,3,0)*VLOOKUP('Données projet'!$B$14,Paramètres!$A$1:$I$89,5,0)</f>
        <v>164.73599999999999</v>
      </c>
      <c r="DQ83" s="14">
        <f t="shared" si="97"/>
        <v>41.908913144700328</v>
      </c>
      <c r="DR83" s="22">
        <f t="shared" si="70"/>
        <v>359.90655706035301</v>
      </c>
      <c r="DS83" s="60">
        <f t="shared" si="71"/>
        <v>618.88071341782256</v>
      </c>
      <c r="DT83" s="60">
        <f ca="1">AVERAGE(OFFSET($DS$3,0,0,'Données projet'!$E$14+1,1))-AVERAGE(OFFSET($H$3,0,0,'Données projet'!$E$14+1,1))</f>
        <v>393.79546872270964</v>
      </c>
      <c r="DU83" s="60">
        <f t="shared" si="98"/>
        <v>179.7333990060757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135.66666666666666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5.8269230769230802</v>
      </c>
      <c r="N84" s="14">
        <f>IF('Données projet'!$A$36&gt;35,N83+M84-V83,IF(A84&lt;'Données projet'!$A$36,$K$205^A84,IF(A84='Données projet'!$A$36,'Données projet'!$B$36,N83+M84-V83)))</f>
        <v>285.17307692307708</v>
      </c>
      <c r="O84" s="14">
        <f>N84*VLOOKUP('Données projet'!$B$9,Paramètres!$A$1:$I$89,3,0)*VLOOKUP('Données projet'!$B$9,Paramètres!$A$1:$I$89,5,0)</f>
        <v>133.46100000000007</v>
      </c>
      <c r="P84" s="14">
        <f t="shared" si="87"/>
        <v>34.794867760949984</v>
      </c>
      <c r="Q84" s="22">
        <f t="shared" si="54"/>
        <v>293.04563635032133</v>
      </c>
      <c r="R84" s="60">
        <f t="shared" si="55"/>
        <v>552.61584761271013</v>
      </c>
      <c r="S84" s="60">
        <f ca="1">AVERAGE(OFFSET($R$3,0,0,'Données projet'!$E$9+1,1))-AVERAGE(OFFSET($H$3,0,0,'Données projet'!$E$9+1,1))</f>
        <v>291.44524568678776</v>
      </c>
      <c r="T84" s="60">
        <f t="shared" si="88"/>
        <v>136.43373205899937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1.7799999999999954</v>
      </c>
      <c r="AI84" s="14">
        <f>IF('Données projet'!$A$62&gt;35,AI83+AH84-AQ83,IF(A84&lt;'Données projet'!$A$62,$AF$205^A84,IF(A84='Données projet'!$A$62,'Données projet'!$B$62,AI83+AH84-AQ83)))</f>
        <v>290.0799999999997</v>
      </c>
      <c r="AJ84" s="14">
        <f>AI84*VLOOKUP('Données projet'!$B$10,Paramètres!$A$1:$I$89,3,0)*VLOOKUP('Données projet'!$B$10,Paramètres!$A$1:$I$89,5,0)</f>
        <v>150.84159999999986</v>
      </c>
      <c r="AK84" s="14">
        <f t="shared" si="89"/>
        <v>38.769779917742092</v>
      </c>
      <c r="AL84" s="22">
        <f t="shared" si="58"/>
        <v>330.23982002340057</v>
      </c>
      <c r="AM84" s="60">
        <f t="shared" si="59"/>
        <v>589.81003128578936</v>
      </c>
      <c r="AN84" s="60">
        <f ca="1">AVERAGE(OFFSET($AM$3,0,0,'Données projet'!$E$10+1,1))-AVERAGE(OFFSET($H$3,0,0,'Données projet'!$E$10+1,1))</f>
        <v>300.72820267660154</v>
      </c>
      <c r="AO84" s="60">
        <f t="shared" si="90"/>
        <v>228.35388778608589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3.5471153846153847</v>
      </c>
      <c r="BD84" s="13">
        <f>IF('Données projet'!$A$88&gt;35,BD83+BC84-BL83,IF(A84&lt;'Données projet'!$A$88,$BA$205^A84,IF(A84='Données projet'!$A$88,'Données projet'!$B$88,BD83+BC84-BL83)))</f>
        <v>137.33749999999998</v>
      </c>
      <c r="BE84" s="14">
        <f>BD84*VLOOKUP('Données projet'!$B$11,Paramètres!$A$1:$I$89,3,0)*VLOOKUP('Données projet'!$B$11,Paramètres!$A$1:$I$89,5,0)</f>
        <v>80.342437499999988</v>
      </c>
      <c r="BF84" s="14">
        <f t="shared" si="91"/>
        <v>22.220891052260587</v>
      </c>
      <c r="BG84" s="22">
        <f t="shared" si="61"/>
        <v>178.63113056185384</v>
      </c>
      <c r="BH84" s="60">
        <f t="shared" si="62"/>
        <v>438.2013418242426</v>
      </c>
      <c r="BI84" s="60">
        <f ca="1">AVERAGE(OFFSET($BH$3,0,0,'Données projet'!$E$11+1,1))-AVERAGE(OFFSET($H$3,0,0,'Données projet'!$E$11+1,1))</f>
        <v>221.18884567967481</v>
      </c>
      <c r="BJ84" s="60">
        <f t="shared" si="92"/>
        <v>189.31596996710888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1.5429166666666674</v>
      </c>
      <c r="BY84" s="13">
        <f>IF('Données projet'!$A$114&gt;35,BY83+BX84-CG83,IF(A84&lt;'Données projet'!$A$114,$BV$205^A84,IF(A84='Données projet'!$A$114,'Données projet'!$B$114,BY83+BX84-CG83)))</f>
        <v>92.522083333333271</v>
      </c>
      <c r="BZ84" s="14">
        <f>BY84*VLOOKUP('Données projet'!$B$12,Paramètres!$A$1:$I$89,3,0)*VLOOKUP('Données projet'!$B$12,Paramètres!$A$1:$I$89,5,0)</f>
        <v>106.58543999999992</v>
      </c>
      <c r="CA84" s="14">
        <f t="shared" si="93"/>
        <v>28.525017119169313</v>
      </c>
      <c r="CB84" s="22">
        <f t="shared" si="64"/>
        <v>235.31737948255306</v>
      </c>
      <c r="CC84" s="60">
        <f t="shared" si="65"/>
        <v>494.88759074494186</v>
      </c>
      <c r="CD84" s="60">
        <f ca="1">AVERAGE(OFFSET($CC$3,0,0,'Données projet'!$E$12+1,1))-AVERAGE(OFFSET($H$3,0,0,'Données projet'!$E$12+1,1))</f>
        <v>314.72063458462026</v>
      </c>
      <c r="CE84" s="60">
        <f t="shared" si="94"/>
        <v>216.4380325968244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196.39999999999998</v>
      </c>
      <c r="CU84" s="18">
        <f>CT84*VLOOKUP('Données projet'!$B$13,Paramètres!$A$1:$I$89,3,0)*VLOOKUP('Données projet'!$B$13,Paramètres!$A$1:$I$89,5,0)</f>
        <v>211.40495999999996</v>
      </c>
      <c r="CV84" s="14">
        <f t="shared" si="95"/>
        <v>52.242485557708825</v>
      </c>
      <c r="CW84" s="22">
        <f t="shared" si="67"/>
        <v>459.18596767967614</v>
      </c>
      <c r="CX84" s="60">
        <f t="shared" si="68"/>
        <v>718.75617894206493</v>
      </c>
      <c r="CY84" s="60">
        <f ca="1">AVERAGE(OFFSET($CX$3,0,0,'Données projet'!$E$13+1,1))-AVERAGE(OFFSET($H$3,0,0,'Données projet'!$E$13+1,1))</f>
        <v>465.51503238626822</v>
      </c>
      <c r="CZ84" s="60">
        <f t="shared" si="96"/>
        <v>205.55320107663496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4.4000000000000004</v>
      </c>
      <c r="DO84" s="13">
        <f>IF('Données projet'!$A$166&gt;35,DO83+DN84-DW83,IF(A84&lt;'Données projet'!$A$166,$DL$205^A84,IF(A84='Données projet'!$A$166,'Données projet'!$B$166,DO83+DN84-DW83)))</f>
        <v>196.39999999999998</v>
      </c>
      <c r="DP84" s="18">
        <f>DO84*VLOOKUP('Données projet'!$B$14,Paramètres!$A$1:$I$89,3,0)*VLOOKUP('Données projet'!$B$14,Paramètres!$A$1:$I$89,5,0)</f>
        <v>168.5112</v>
      </c>
      <c r="DQ84" s="14">
        <f t="shared" si="97"/>
        <v>42.756411401172556</v>
      </c>
      <c r="DR84" s="22">
        <f t="shared" si="70"/>
        <v>367.95775652370889</v>
      </c>
      <c r="DS84" s="60">
        <f t="shared" si="71"/>
        <v>627.52796778609763</v>
      </c>
      <c r="DT84" s="60">
        <f ca="1">AVERAGE(OFFSET($DS$3,0,0,'Données projet'!$E$14+1,1))-AVERAGE(OFFSET($H$3,0,0,'Données projet'!$E$14+1,1))</f>
        <v>393.79546872270964</v>
      </c>
      <c r="DU84" s="60">
        <f t="shared" si="98"/>
        <v>179.7333990060757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135.66666666666666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291</v>
      </c>
      <c r="L85" s="13">
        <f>VLOOKUP(A85,'Données projet'!$A$35:$I$55,9,0)</f>
        <v>5.8269230769230802</v>
      </c>
      <c r="M85" s="13">
        <f t="array" ref="M85">INDEX(L:L,MIN(IF(ISNUMBER(L85:L281),ROW(L85:L281),"")))</f>
        <v>5.8269230769230802</v>
      </c>
      <c r="N85" s="14">
        <f>IF('Données projet'!$A$36&gt;35,N84+M85-V84,IF(A85&lt;'Données projet'!$A$36,$K$205^A85,IF(A85='Données projet'!$A$36,'Données projet'!$B$36,N84+M85-V84)))</f>
        <v>291.00000000000017</v>
      </c>
      <c r="O85" s="14">
        <f>N85*VLOOKUP('Données projet'!$B$9,Paramètres!$A$1:$I$89,3,0)*VLOOKUP('Données projet'!$B$9,Paramètres!$A$1:$I$89,5,0)</f>
        <v>136.18800000000007</v>
      </c>
      <c r="P85" s="14">
        <f t="shared" si="87"/>
        <v>35.422331714503208</v>
      </c>
      <c r="Q85" s="22">
        <f t="shared" si="54"/>
        <v>298.88799440275983</v>
      </c>
      <c r="R85" s="60">
        <f t="shared" si="55"/>
        <v>559.04392035004685</v>
      </c>
      <c r="S85" s="60">
        <f ca="1">AVERAGE(OFFSET($R$3,0,0,'Données projet'!$E$9+1,1))-AVERAGE(OFFSET($H$3,0,0,'Données projet'!$E$9+1,1))</f>
        <v>291.44524568678776</v>
      </c>
      <c r="T85" s="60">
        <f t="shared" si="88"/>
        <v>136.43373205899937</v>
      </c>
      <c r="U85" s="16">
        <f>IF(ISNA(VLOOKUP(A85,'Données projet'!$A$35:$I$55,3,0)),0,VLOOKUP(A85,'Données projet'!$A$35:$I$55,3,0))</f>
        <v>2</v>
      </c>
      <c r="V85" s="16">
        <f>IF(ISNA(VLOOKUP(A85,'Données projet'!$A$35:$I$55,4,0)),0,VLOOKUP(A85,'Données projet'!$A$35:$I$55,4,0))</f>
        <v>75.91538461538461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1.7799999999999954</v>
      </c>
      <c r="AI85" s="14">
        <f>IF('Données projet'!$A$62&gt;35,AI84+AH85-AQ84,IF(A85&lt;'Données projet'!$A$62,$AF$205^A85,IF(A85='Données projet'!$A$62,'Données projet'!$B$62,AI84+AH85-AQ84)))</f>
        <v>291.85999999999967</v>
      </c>
      <c r="AJ85" s="14">
        <f>AI85*VLOOKUP('Données projet'!$B$10,Paramètres!$A$1:$I$89,3,0)*VLOOKUP('Données projet'!$B$10,Paramètres!$A$1:$I$89,5,0)</f>
        <v>151.76719999999983</v>
      </c>
      <c r="AK85" s="14">
        <f t="shared" si="89"/>
        <v>38.979913993756242</v>
      </c>
      <c r="AL85" s="22">
        <f t="shared" si="58"/>
        <v>332.21789020579178</v>
      </c>
      <c r="AM85" s="60">
        <f t="shared" si="59"/>
        <v>592.37381615307868</v>
      </c>
      <c r="AN85" s="60">
        <f ca="1">AVERAGE(OFFSET($AM$3,0,0,'Données projet'!$E$10+1,1))-AVERAGE(OFFSET($H$3,0,0,'Données projet'!$E$10+1,1))</f>
        <v>300.72820267660154</v>
      </c>
      <c r="AO85" s="60">
        <f t="shared" si="90"/>
        <v>228.35388778608589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140.88461538461539</v>
      </c>
      <c r="BB85" s="13">
        <f>VLOOKUP(A85,'Données projet'!$A$87:$I$107,9,0)</f>
        <v>3.5471153846153847</v>
      </c>
      <c r="BC85" s="13">
        <f t="array" ref="BC85">INDEX(BB:BB,MIN(IF(ISNUMBER(BB85:BB281),ROW(BB85:BB281),"")))</f>
        <v>3.5471153846153847</v>
      </c>
      <c r="BD85" s="13">
        <f>IF('Données projet'!$A$88&gt;35,BD84+BC85-BL84,IF(A85&lt;'Données projet'!$A$88,$BA$205^A85,IF(A85='Données projet'!$A$88,'Données projet'!$B$88,BD84+BC85-BL84)))</f>
        <v>140.88461538461536</v>
      </c>
      <c r="BE85" s="14">
        <f>BD85*VLOOKUP('Données projet'!$B$11,Paramètres!$A$1:$I$89,3,0)*VLOOKUP('Données projet'!$B$11,Paramètres!$A$1:$I$89,5,0)</f>
        <v>82.41749999999999</v>
      </c>
      <c r="BF85" s="14">
        <f t="shared" si="91"/>
        <v>22.727247382676751</v>
      </c>
      <c r="BG85" s="22">
        <f t="shared" si="61"/>
        <v>183.12710169149531</v>
      </c>
      <c r="BH85" s="60">
        <f t="shared" si="62"/>
        <v>443.2830276387823</v>
      </c>
      <c r="BI85" s="60">
        <f ca="1">AVERAGE(OFFSET($BH$3,0,0,'Données projet'!$E$11+1,1))-AVERAGE(OFFSET($H$3,0,0,'Données projet'!$E$11+1,1))</f>
        <v>221.18884567967481</v>
      </c>
      <c r="BJ85" s="60">
        <f t="shared" si="92"/>
        <v>189.31596996710888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1.5429166666666674</v>
      </c>
      <c r="BY85" s="13">
        <f>IF('Données projet'!$A$114&gt;35,BY84+BX85-CG84,IF(A85&lt;'Données projet'!$A$114,$BV$205^A85,IF(A85='Données projet'!$A$114,'Données projet'!$B$114,BY84+BX85-CG84)))</f>
        <v>94.064999999999941</v>
      </c>
      <c r="BZ85" s="14">
        <f>BY85*VLOOKUP('Données projet'!$B$12,Paramètres!$A$1:$I$89,3,0)*VLOOKUP('Données projet'!$B$12,Paramètres!$A$1:$I$89,5,0)</f>
        <v>108.36287999999992</v>
      </c>
      <c r="CA85" s="14">
        <f t="shared" si="93"/>
        <v>28.944930362905506</v>
      </c>
      <c r="CB85" s="22">
        <f t="shared" si="64"/>
        <v>239.14443638206026</v>
      </c>
      <c r="CC85" s="60">
        <f t="shared" si="65"/>
        <v>499.30036232934719</v>
      </c>
      <c r="CD85" s="60">
        <f ca="1">AVERAGE(OFFSET($CC$3,0,0,'Données projet'!$E$12+1,1))-AVERAGE(OFFSET($H$3,0,0,'Données projet'!$E$12+1,1))</f>
        <v>314.72063458462026</v>
      </c>
      <c r="CE85" s="60">
        <f t="shared" si="94"/>
        <v>216.4380325968244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200.79999999999998</v>
      </c>
      <c r="CU85" s="18">
        <f>CT85*VLOOKUP('Données projet'!$B$13,Paramètres!$A$1:$I$89,3,0)*VLOOKUP('Données projet'!$B$13,Paramètres!$A$1:$I$89,5,0)</f>
        <v>216.14111999999994</v>
      </c>
      <c r="CV85" s="14">
        <f t="shared" si="95"/>
        <v>53.275315382572593</v>
      </c>
      <c r="CW85" s="22">
        <f t="shared" si="67"/>
        <v>469.23362495798051</v>
      </c>
      <c r="CX85" s="60">
        <f t="shared" si="68"/>
        <v>729.38955090526747</v>
      </c>
      <c r="CY85" s="60">
        <f ca="1">AVERAGE(OFFSET($CX$3,0,0,'Données projet'!$E$13+1,1))-AVERAGE(OFFSET($H$3,0,0,'Données projet'!$E$13+1,1))</f>
        <v>465.51503238626822</v>
      </c>
      <c r="CZ85" s="60">
        <f t="shared" si="96"/>
        <v>205.55320107663496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4.4000000000000004</v>
      </c>
      <c r="DO85" s="13">
        <f>IF('Données projet'!$A$166&gt;35,DO84+DN85-DW84,IF(A85&lt;'Données projet'!$A$166,$DL$205^A85,IF(A85='Données projet'!$A$166,'Données projet'!$B$166,DO84+DN85-DW84)))</f>
        <v>200.79999999999998</v>
      </c>
      <c r="DP85" s="18">
        <f>DO85*VLOOKUP('Données projet'!$B$14,Paramètres!$A$1:$I$89,3,0)*VLOOKUP('Données projet'!$B$14,Paramètres!$A$1:$I$89,5,0)</f>
        <v>172.28640000000001</v>
      </c>
      <c r="DQ85" s="14">
        <f t="shared" si="97"/>
        <v>43.601702287083704</v>
      </c>
      <c r="DR85" s="22">
        <f t="shared" si="70"/>
        <v>376.00511148333749</v>
      </c>
      <c r="DS85" s="60">
        <f t="shared" si="71"/>
        <v>636.16103743062445</v>
      </c>
      <c r="DT85" s="60">
        <f ca="1">AVERAGE(OFFSET($DS$3,0,0,'Données projet'!$E$14+1,1))-AVERAGE(OFFSET($H$3,0,0,'Données projet'!$E$14+1,1))</f>
        <v>393.79546872270964</v>
      </c>
      <c r="DU85" s="60">
        <f t="shared" si="98"/>
        <v>179.7333990060757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135.66666666666666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5.0567307692307644</v>
      </c>
      <c r="N86" s="14">
        <f>IF('Données projet'!$A$36&gt;35,N85+M86-V85,IF(A86&lt;'Données projet'!$A$36,$K$205^A86,IF(A86='Données projet'!$A$36,'Données projet'!$B$36,N85+M86-V85)))</f>
        <v>220.14134615384631</v>
      </c>
      <c r="O86" s="14">
        <f>N86*VLOOKUP('Données projet'!$B$9,Paramètres!$A$1:$I$89,3,0)*VLOOKUP('Données projet'!$B$9,Paramètres!$A$1:$I$89,5,0)</f>
        <v>103.02615000000007</v>
      </c>
      <c r="P86" s="14">
        <f t="shared" si="87"/>
        <v>27.681680399571409</v>
      </c>
      <c r="Q86" s="22">
        <f t="shared" si="54"/>
        <v>227.64947127925367</v>
      </c>
      <c r="R86" s="60">
        <f t="shared" si="55"/>
        <v>488.38095107111758</v>
      </c>
      <c r="S86" s="60">
        <f ca="1">AVERAGE(OFFSET($R$3,0,0,'Données projet'!$E$9+1,1))-AVERAGE(OFFSET($H$3,0,0,'Données projet'!$E$9+1,1))</f>
        <v>291.44524568678776</v>
      </c>
      <c r="T86" s="60">
        <f t="shared" si="88"/>
        <v>136.43373205899937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1.7799999999999954</v>
      </c>
      <c r="AI86" s="14">
        <f>IF('Données projet'!$A$62&gt;35,AI85+AH86-AQ85,IF(A86&lt;'Données projet'!$A$62,$AF$205^A86,IF(A86='Données projet'!$A$62,'Données projet'!$B$62,AI85+AH86-AQ85)))</f>
        <v>293.63999999999965</v>
      </c>
      <c r="AJ86" s="14">
        <f>AI86*VLOOKUP('Données projet'!$B$10,Paramètres!$A$1:$I$89,3,0)*VLOOKUP('Données projet'!$B$10,Paramètres!$A$1:$I$89,5,0)</f>
        <v>152.69279999999983</v>
      </c>
      <c r="AK86" s="14">
        <f t="shared" si="89"/>
        <v>39.189898947127119</v>
      </c>
      <c r="AL86" s="22">
        <f t="shared" si="58"/>
        <v>334.19570066624607</v>
      </c>
      <c r="AM86" s="60">
        <f t="shared" si="59"/>
        <v>594.92718045811</v>
      </c>
      <c r="AN86" s="60">
        <f ca="1">AVERAGE(OFFSET($AM$3,0,0,'Données projet'!$E$10+1,1))-AVERAGE(OFFSET($H$3,0,0,'Données projet'!$E$10+1,1))</f>
        <v>300.72820267660154</v>
      </c>
      <c r="AO86" s="60">
        <f t="shared" si="90"/>
        <v>228.35388778608589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3.6835164835164806</v>
      </c>
      <c r="BD86" s="13">
        <f>IF('Données projet'!$A$88&gt;35,BD85+BC86-BL85,IF(A86&lt;'Données projet'!$A$88,$BA$205^A86,IF(A86='Données projet'!$A$88,'Données projet'!$B$88,BD85+BC86-BL85)))</f>
        <v>144.56813186813184</v>
      </c>
      <c r="BE86" s="14">
        <f>BD86*VLOOKUP('Données projet'!$B$11,Paramètres!$A$1:$I$89,3,0)*VLOOKUP('Données projet'!$B$11,Paramètres!$A$1:$I$89,5,0)</f>
        <v>84.572357142857129</v>
      </c>
      <c r="BF86" s="14">
        <f t="shared" si="91"/>
        <v>23.25150721803028</v>
      </c>
      <c r="BG86" s="22">
        <f t="shared" si="61"/>
        <v>187.79323042854557</v>
      </c>
      <c r="BH86" s="60">
        <f t="shared" si="62"/>
        <v>448.52471022040947</v>
      </c>
      <c r="BI86" s="60">
        <f ca="1">AVERAGE(OFFSET($BH$3,0,0,'Données projet'!$E$11+1,1))-AVERAGE(OFFSET($H$3,0,0,'Données projet'!$E$11+1,1))</f>
        <v>221.18884567967481</v>
      </c>
      <c r="BJ86" s="60">
        <f t="shared" si="92"/>
        <v>189.31596996710888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1.5429166666666674</v>
      </c>
      <c r="BY86" s="13">
        <f>IF('Données projet'!$A$114&gt;35,BY85+BX86-CG85,IF(A86&lt;'Données projet'!$A$114,$BV$205^A86,IF(A86='Données projet'!$A$114,'Données projet'!$B$114,BY85+BX86-CG85)))</f>
        <v>95.607916666666611</v>
      </c>
      <c r="BZ86" s="14">
        <f>BY86*VLOOKUP('Données projet'!$B$12,Paramètres!$A$1:$I$89,3,0)*VLOOKUP('Données projet'!$B$12,Paramètres!$A$1:$I$89,5,0)</f>
        <v>110.14031999999993</v>
      </c>
      <c r="CA86" s="14">
        <f t="shared" si="93"/>
        <v>29.364042605701115</v>
      </c>
      <c r="CB86" s="22">
        <f t="shared" si="64"/>
        <v>242.97009820492926</v>
      </c>
      <c r="CC86" s="60">
        <f t="shared" si="65"/>
        <v>503.70157799679316</v>
      </c>
      <c r="CD86" s="60">
        <f ca="1">AVERAGE(OFFSET($CC$3,0,0,'Données projet'!$E$12+1,1))-AVERAGE(OFFSET($H$3,0,0,'Données projet'!$E$12+1,1))</f>
        <v>314.72063458462026</v>
      </c>
      <c r="CE86" s="60">
        <f t="shared" si="94"/>
        <v>216.4380325968244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205.2</v>
      </c>
      <c r="CU86" s="18">
        <f>CT86*VLOOKUP('Données projet'!$B$13,Paramètres!$A$1:$I$89,3,0)*VLOOKUP('Données projet'!$B$13,Paramètres!$A$1:$I$89,5,0)</f>
        <v>220.87727999999998</v>
      </c>
      <c r="CV86" s="14">
        <f t="shared" si="95"/>
        <v>54.305514008302801</v>
      </c>
      <c r="CW86" s="22">
        <f t="shared" si="67"/>
        <v>479.27669956446061</v>
      </c>
      <c r="CX86" s="60">
        <f t="shared" si="68"/>
        <v>740.00817935632449</v>
      </c>
      <c r="CY86" s="60">
        <f ca="1">AVERAGE(OFFSET($CX$3,0,0,'Données projet'!$E$13+1,1))-AVERAGE(OFFSET($H$3,0,0,'Données projet'!$E$13+1,1))</f>
        <v>465.51503238626822</v>
      </c>
      <c r="CZ86" s="60">
        <f t="shared" si="96"/>
        <v>205.55320107663496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4.4000000000000004</v>
      </c>
      <c r="DO86" s="13">
        <f>IF('Données projet'!$A$166&gt;35,DO85+DN86-DW85,IF(A86&lt;'Données projet'!$A$166,$DL$205^A86,IF(A86='Données projet'!$A$166,'Données projet'!$B$166,DO85+DN86-DW85)))</f>
        <v>205.2</v>
      </c>
      <c r="DP86" s="18">
        <f>DO86*VLOOKUP('Données projet'!$B$14,Paramètres!$A$1:$I$89,3,0)*VLOOKUP('Données projet'!$B$14,Paramètres!$A$1:$I$89,5,0)</f>
        <v>176.0616</v>
      </c>
      <c r="DQ86" s="14">
        <f t="shared" si="97"/>
        <v>44.444839741138928</v>
      </c>
      <c r="DR86" s="22">
        <f t="shared" si="70"/>
        <v>384.04871588248358</v>
      </c>
      <c r="DS86" s="60">
        <f t="shared" si="71"/>
        <v>644.78019567434751</v>
      </c>
      <c r="DT86" s="60">
        <f ca="1">AVERAGE(OFFSET($DS$3,0,0,'Données projet'!$E$14+1,1))-AVERAGE(OFFSET($H$3,0,0,'Données projet'!$E$14+1,1))</f>
        <v>393.79546872270964</v>
      </c>
      <c r="DU86" s="60">
        <f t="shared" si="98"/>
        <v>179.7333990060757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135.66666666666666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5.0567307692307644</v>
      </c>
      <c r="N87" s="14">
        <f>IF('Données projet'!$A$36&gt;35,N86+M87-V86,IF(A87&lt;'Données projet'!$A$36,$K$205^A87,IF(A87='Données projet'!$A$36,'Données projet'!$B$36,N86+M87-V86)))</f>
        <v>225.19807692307708</v>
      </c>
      <c r="O87" s="14">
        <f>N87*VLOOKUP('Données projet'!$B$9,Paramètres!$A$1:$I$89,3,0)*VLOOKUP('Données projet'!$B$9,Paramètres!$A$1:$I$89,5,0)</f>
        <v>105.39270000000006</v>
      </c>
      <c r="P87" s="14">
        <f t="shared" si="87"/>
        <v>28.242780433137632</v>
      </c>
      <c r="Q87" s="22">
        <f t="shared" si="54"/>
        <v>232.74846175438151</v>
      </c>
      <c r="R87" s="60">
        <f t="shared" si="55"/>
        <v>494.04551081836462</v>
      </c>
      <c r="S87" s="60">
        <f ca="1">AVERAGE(OFFSET($R$3,0,0,'Données projet'!$E$9+1,1))-AVERAGE(OFFSET($H$3,0,0,'Données projet'!$E$9+1,1))</f>
        <v>291.44524568678776</v>
      </c>
      <c r="T87" s="60">
        <f t="shared" si="88"/>
        <v>136.43373205899937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1.7799999999999954</v>
      </c>
      <c r="AI87" s="14">
        <f>IF('Données projet'!$A$62&gt;35,AI86+AH87-AQ86,IF(A87&lt;'Données projet'!$A$62,$AF$205^A87,IF(A87='Données projet'!$A$62,'Données projet'!$B$62,AI86+AH87-AQ86)))</f>
        <v>295.41999999999962</v>
      </c>
      <c r="AJ87" s="14">
        <f>AI87*VLOOKUP('Données projet'!$B$10,Paramètres!$A$1:$I$89,3,0)*VLOOKUP('Données projet'!$B$10,Paramètres!$A$1:$I$89,5,0)</f>
        <v>153.61839999999981</v>
      </c>
      <c r="AK87" s="14">
        <f t="shared" si="89"/>
        <v>39.399735786690194</v>
      </c>
      <c r="AL87" s="22">
        <f t="shared" si="58"/>
        <v>336.17325316181842</v>
      </c>
      <c r="AM87" s="60">
        <f t="shared" si="59"/>
        <v>597.47030222580156</v>
      </c>
      <c r="AN87" s="60">
        <f ca="1">AVERAGE(OFFSET($AM$3,0,0,'Données projet'!$E$10+1,1))-AVERAGE(OFFSET($H$3,0,0,'Données projet'!$E$10+1,1))</f>
        <v>300.72820267660154</v>
      </c>
      <c r="AO87" s="60">
        <f t="shared" si="90"/>
        <v>228.35388778608589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3.6835164835164806</v>
      </c>
      <c r="BD87" s="13">
        <f>IF('Données projet'!$A$88&gt;35,BD86+BC87-BL86,IF(A87&lt;'Données projet'!$A$88,$BA$205^A87,IF(A87='Données projet'!$A$88,'Données projet'!$B$88,BD86+BC87-BL86)))</f>
        <v>148.25164835164833</v>
      </c>
      <c r="BE87" s="14">
        <f>BD87*VLOOKUP('Données projet'!$B$11,Paramètres!$A$1:$I$89,3,0)*VLOOKUP('Données projet'!$B$11,Paramètres!$A$1:$I$89,5,0)</f>
        <v>86.727214285714282</v>
      </c>
      <c r="BF87" s="14">
        <f t="shared" si="91"/>
        <v>23.774214325255532</v>
      </c>
      <c r="BG87" s="22">
        <f t="shared" si="61"/>
        <v>192.45665483077241</v>
      </c>
      <c r="BH87" s="60">
        <f t="shared" si="62"/>
        <v>453.75370389475552</v>
      </c>
      <c r="BI87" s="60">
        <f ca="1">AVERAGE(OFFSET($BH$3,0,0,'Données projet'!$E$11+1,1))-AVERAGE(OFFSET($H$3,0,0,'Données projet'!$E$11+1,1))</f>
        <v>221.18884567967481</v>
      </c>
      <c r="BJ87" s="60">
        <f t="shared" si="92"/>
        <v>189.31596996710888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1.5429166666666674</v>
      </c>
      <c r="BY87" s="13">
        <f>IF('Données projet'!$A$114&gt;35,BY86+BX87-CG86,IF(A87&lt;'Données projet'!$A$114,$BV$205^A87,IF(A87='Données projet'!$A$114,'Données projet'!$B$114,BY86+BX87-CG86)))</f>
        <v>97.150833333333281</v>
      </c>
      <c r="BZ87" s="14">
        <f>BY87*VLOOKUP('Données projet'!$B$12,Paramètres!$A$1:$I$89,3,0)*VLOOKUP('Données projet'!$B$12,Paramètres!$A$1:$I$89,5,0)</f>
        <v>111.91775999999994</v>
      </c>
      <c r="CA87" s="14">
        <f t="shared" si="93"/>
        <v>29.782368266438901</v>
      </c>
      <c r="CB87" s="22">
        <f t="shared" si="64"/>
        <v>246.79439006404766</v>
      </c>
      <c r="CC87" s="60">
        <f t="shared" si="65"/>
        <v>508.0914391280308</v>
      </c>
      <c r="CD87" s="60">
        <f ca="1">AVERAGE(OFFSET($CC$3,0,0,'Données projet'!$E$12+1,1))-AVERAGE(OFFSET($H$3,0,0,'Données projet'!$E$12+1,1))</f>
        <v>314.72063458462026</v>
      </c>
      <c r="CE87" s="60">
        <f t="shared" si="94"/>
        <v>216.4380325968244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209.6</v>
      </c>
      <c r="CU87" s="18">
        <f>CT87*VLOOKUP('Données projet'!$B$13,Paramètres!$A$1:$I$89,3,0)*VLOOKUP('Données projet'!$B$13,Paramètres!$A$1:$I$89,5,0)</f>
        <v>225.61344</v>
      </c>
      <c r="CV87" s="14">
        <f t="shared" si="95"/>
        <v>55.333144352799209</v>
      </c>
      <c r="CW87" s="22">
        <f t="shared" si="67"/>
        <v>489.31530108112526</v>
      </c>
      <c r="CX87" s="60">
        <f t="shared" si="68"/>
        <v>750.61235014510839</v>
      </c>
      <c r="CY87" s="60">
        <f ca="1">AVERAGE(OFFSET($CX$3,0,0,'Données projet'!$E$13+1,1))-AVERAGE(OFFSET($H$3,0,0,'Données projet'!$E$13+1,1))</f>
        <v>465.51503238626822</v>
      </c>
      <c r="CZ87" s="60">
        <f t="shared" si="96"/>
        <v>205.55320107663496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4.4000000000000004</v>
      </c>
      <c r="DO87" s="13">
        <f>IF('Données projet'!$A$166&gt;35,DO86+DN87-DW86,IF(A87&lt;'Données projet'!$A$166,$DL$205^A87,IF(A87='Données projet'!$A$166,'Données projet'!$B$166,DO86+DN87-DW86)))</f>
        <v>209.6</v>
      </c>
      <c r="DP87" s="18">
        <f>DO87*VLOOKUP('Données projet'!$B$14,Paramètres!$A$1:$I$89,3,0)*VLOOKUP('Données projet'!$B$14,Paramètres!$A$1:$I$89,5,0)</f>
        <v>179.83680000000001</v>
      </c>
      <c r="DQ87" s="14">
        <f t="shared" si="97"/>
        <v>45.285875256745896</v>
      </c>
      <c r="DR87" s="22">
        <f t="shared" si="70"/>
        <v>392.08865940549913</v>
      </c>
      <c r="DS87" s="60">
        <f t="shared" si="71"/>
        <v>653.38570846948232</v>
      </c>
      <c r="DT87" s="60">
        <f ca="1">AVERAGE(OFFSET($DS$3,0,0,'Données projet'!$E$14+1,1))-AVERAGE(OFFSET($H$3,0,0,'Données projet'!$E$14+1,1))</f>
        <v>393.79546872270964</v>
      </c>
      <c r="DU87" s="60">
        <f t="shared" si="98"/>
        <v>179.7333990060757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135.66666666666666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5.0567307692307644</v>
      </c>
      <c r="N88" s="14">
        <f>IF('Données projet'!$A$36&gt;35,N87+M88-V87,IF(A88&lt;'Données projet'!$A$36,$K$205^A88,IF(A88='Données projet'!$A$36,'Données projet'!$B$36,N87+M88-V87)))</f>
        <v>230.25480769230785</v>
      </c>
      <c r="O88" s="14">
        <f>N88*VLOOKUP('Données projet'!$B$9,Paramètres!$A$1:$I$89,3,0)*VLOOKUP('Données projet'!$B$9,Paramètres!$A$1:$I$89,5,0)</f>
        <v>107.75925000000007</v>
      </c>
      <c r="P88" s="14">
        <f t="shared" si="87"/>
        <v>28.802415696262006</v>
      </c>
      <c r="Q88" s="22">
        <f t="shared" si="54"/>
        <v>237.84490108765644</v>
      </c>
      <c r="R88" s="60">
        <f t="shared" si="55"/>
        <v>499.697708061311</v>
      </c>
      <c r="S88" s="60">
        <f ca="1">AVERAGE(OFFSET($R$3,0,0,'Données projet'!$E$9+1,1))-AVERAGE(OFFSET($H$3,0,0,'Données projet'!$E$9+1,1))</f>
        <v>291.44524568678776</v>
      </c>
      <c r="T88" s="60">
        <f t="shared" si="88"/>
        <v>136.43373205899937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297.2</v>
      </c>
      <c r="AG88" s="13">
        <f>VLOOKUP(A88,'Données projet'!$A$61:$I$81,9,0)</f>
        <v>1.7799999999999954</v>
      </c>
      <c r="AH88" s="13">
        <f t="array" ref="AH88">INDEX(AG:AG,MIN(IF(ISNUMBER(AG88:AG284),ROW(AG88:AG284),"")))</f>
        <v>1.7799999999999954</v>
      </c>
      <c r="AI88" s="14">
        <f>IF('Données projet'!$A$62&gt;35,AI87+AH88-AQ87,IF(A88&lt;'Données projet'!$A$62,$AF$205^A88,IF(A88='Données projet'!$A$62,'Données projet'!$B$62,AI87+AH88-AQ87)))</f>
        <v>297.19999999999959</v>
      </c>
      <c r="AJ88" s="14">
        <f>AI88*VLOOKUP('Données projet'!$B$10,Paramètres!$A$1:$I$89,3,0)*VLOOKUP('Données projet'!$B$10,Paramètres!$A$1:$I$89,5,0)</f>
        <v>154.54399999999978</v>
      </c>
      <c r="AK88" s="14">
        <f t="shared" si="89"/>
        <v>39.60942550842055</v>
      </c>
      <c r="AL88" s="22">
        <f t="shared" si="58"/>
        <v>338.15054942716534</v>
      </c>
      <c r="AM88" s="60">
        <f t="shared" si="59"/>
        <v>600.00335640081994</v>
      </c>
      <c r="AN88" s="60">
        <f ca="1">AVERAGE(OFFSET($AM$3,0,0,'Données projet'!$E$10+1,1))-AVERAGE(OFFSET($H$3,0,0,'Données projet'!$E$10+1,1))</f>
        <v>300.72820267660154</v>
      </c>
      <c r="AO88" s="60">
        <f t="shared" si="90"/>
        <v>228.35388778608589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3.6835164835164806</v>
      </c>
      <c r="BD88" s="13">
        <f>IF('Données projet'!$A$88&gt;35,BD87+BC88-BL87,IF(A88&lt;'Données projet'!$A$88,$BA$205^A88,IF(A88='Données projet'!$A$88,'Données projet'!$B$88,BD87+BC88-BL87)))</f>
        <v>151.93516483516481</v>
      </c>
      <c r="BE88" s="14">
        <f>BD88*VLOOKUP('Données projet'!$B$11,Paramètres!$A$1:$I$89,3,0)*VLOOKUP('Données projet'!$B$11,Paramètres!$A$1:$I$89,5,0)</f>
        <v>88.882071428571422</v>
      </c>
      <c r="BF88" s="14">
        <f t="shared" si="91"/>
        <v>24.295411721427023</v>
      </c>
      <c r="BG88" s="22">
        <f t="shared" si="61"/>
        <v>197.11744981958063</v>
      </c>
      <c r="BH88" s="60">
        <f t="shared" si="62"/>
        <v>458.97025679323519</v>
      </c>
      <c r="BI88" s="60">
        <f ca="1">AVERAGE(OFFSET($BH$3,0,0,'Données projet'!$E$11+1,1))-AVERAGE(OFFSET($H$3,0,0,'Données projet'!$E$11+1,1))</f>
        <v>221.18884567967481</v>
      </c>
      <c r="BJ88" s="60">
        <f t="shared" si="92"/>
        <v>189.31596996710888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1.5429166666666674</v>
      </c>
      <c r="BY88" s="13">
        <f>IF('Données projet'!$A$114&gt;35,BY87+BX88-CG87,IF(A88&lt;'Données projet'!$A$114,$BV$205^A88,IF(A88='Données projet'!$A$114,'Données projet'!$B$114,BY87+BX88-CG87)))</f>
        <v>98.693749999999952</v>
      </c>
      <c r="BZ88" s="14">
        <f>BY88*VLOOKUP('Données projet'!$B$12,Paramètres!$A$1:$I$89,3,0)*VLOOKUP('Données projet'!$B$12,Paramètres!$A$1:$I$89,5,0)</f>
        <v>113.69519999999994</v>
      </c>
      <c r="CA88" s="14">
        <f t="shared" si="93"/>
        <v>30.199921279741705</v>
      </c>
      <c r="CB88" s="22">
        <f t="shared" si="64"/>
        <v>250.61733622888337</v>
      </c>
      <c r="CC88" s="60">
        <f t="shared" si="65"/>
        <v>512.470143202538</v>
      </c>
      <c r="CD88" s="60">
        <f ca="1">AVERAGE(OFFSET($CC$3,0,0,'Données projet'!$E$12+1,1))-AVERAGE(OFFSET($H$3,0,0,'Données projet'!$E$12+1,1))</f>
        <v>314.72063458462026</v>
      </c>
      <c r="CE88" s="60">
        <f t="shared" si="94"/>
        <v>216.4380325968244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214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214</v>
      </c>
      <c r="CU88" s="18">
        <f>CT88*VLOOKUP('Données projet'!$B$13,Paramètres!$A$1:$I$89,3,0)*VLOOKUP('Données projet'!$B$13,Paramètres!$A$1:$I$89,5,0)</f>
        <v>230.34960000000001</v>
      </c>
      <c r="CV88" s="14">
        <f t="shared" si="95"/>
        <v>56.35826654142631</v>
      </c>
      <c r="CW88" s="22">
        <f t="shared" si="67"/>
        <v>499.34953422631753</v>
      </c>
      <c r="CX88" s="60">
        <f t="shared" si="68"/>
        <v>761.20234119997212</v>
      </c>
      <c r="CY88" s="60">
        <f ca="1">AVERAGE(OFFSET($CX$3,0,0,'Données projet'!$E$13+1,1))-AVERAGE(OFFSET($H$3,0,0,'Données projet'!$E$13+1,1))</f>
        <v>465.51503238626822</v>
      </c>
      <c r="CZ88" s="60">
        <f t="shared" si="96"/>
        <v>205.55320107663496</v>
      </c>
      <c r="DA88" s="16">
        <f>IF(ISNA(VLOOKUP(A88,'Données projet'!$A$139:$I$159,3,0)),0,VLOOKUP(A88,'Données projet'!$A$139:$I$159,3,0))</f>
        <v>6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214</v>
      </c>
      <c r="DM88" s="13">
        <f>VLOOKUP(A88,'Données projet'!$A$165:$I$185,9,0)</f>
        <v>4.4000000000000004</v>
      </c>
      <c r="DN88" s="13">
        <f t="array" ref="DN88">INDEX(DM:DM,MIN(IF(ISNUMBER(DM88:DM284),ROW(DM88:DM284),"")))</f>
        <v>4.4000000000000004</v>
      </c>
      <c r="DO88" s="13">
        <f>IF('Données projet'!$A$166&gt;35,DO87+DN88-DW87,IF(A88&lt;'Données projet'!$A$166,$DL$205^A88,IF(A88='Données projet'!$A$166,'Données projet'!$B$166,DO87+DN88-DW87)))</f>
        <v>214</v>
      </c>
      <c r="DP88" s="18">
        <f>DO88*VLOOKUP('Données projet'!$B$14,Paramètres!$A$1:$I$89,3,0)*VLOOKUP('Données projet'!$B$14,Paramètres!$A$1:$I$89,5,0)</f>
        <v>183.61200000000002</v>
      </c>
      <c r="DQ88" s="14">
        <f t="shared" si="97"/>
        <v>46.124858041839339</v>
      </c>
      <c r="DR88" s="22">
        <f t="shared" si="70"/>
        <v>400.12502775620351</v>
      </c>
      <c r="DS88" s="60">
        <f t="shared" si="71"/>
        <v>661.97783472985816</v>
      </c>
      <c r="DT88" s="60">
        <f ca="1">AVERAGE(OFFSET($DS$3,0,0,'Données projet'!$E$14+1,1))-AVERAGE(OFFSET($H$3,0,0,'Données projet'!$E$14+1,1))</f>
        <v>393.79546872270964</v>
      </c>
      <c r="DU88" s="60">
        <f t="shared" si="98"/>
        <v>179.7333990060757</v>
      </c>
      <c r="DV88" s="16">
        <f>IF(ISNA(VLOOKUP(A88,'Données projet'!$A$165:$I$185,3,0)),0,VLOOKUP(A88,'Données projet'!$A$165:$I$185,3,0))</f>
        <v>6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135.66666666666666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5.0567307692307644</v>
      </c>
      <c r="N89" s="14">
        <f>IF('Données projet'!$A$36&gt;35,N88+M89-V88,IF(A89&lt;'Données projet'!$A$36,$K$205^A89,IF(A89='Données projet'!$A$36,'Données projet'!$B$36,N88+M89-V88)))</f>
        <v>235.31153846153862</v>
      </c>
      <c r="O89" s="14">
        <f>N89*VLOOKUP('Données projet'!$B$9,Paramètres!$A$1:$I$89,3,0)*VLOOKUP('Données projet'!$B$9,Paramètres!$A$1:$I$89,5,0)</f>
        <v>110.12580000000007</v>
      </c>
      <c r="P89" s="14">
        <f t="shared" si="87"/>
        <v>29.360622061810137</v>
      </c>
      <c r="Q89" s="22">
        <f t="shared" si="54"/>
        <v>242.93885175765274</v>
      </c>
      <c r="R89" s="60">
        <f t="shared" si="55"/>
        <v>505.33777548373445</v>
      </c>
      <c r="S89" s="60">
        <f ca="1">AVERAGE(OFFSET($R$3,0,0,'Données projet'!$E$9+1,1))-AVERAGE(OFFSET($H$3,0,0,'Données projet'!$E$9+1,1))</f>
        <v>291.44524568678776</v>
      </c>
      <c r="T89" s="60">
        <f t="shared" si="88"/>
        <v>136.43373205899937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1.5399999999999978</v>
      </c>
      <c r="AI89" s="14">
        <f>IF('Données projet'!$A$62&gt;35,AI88+AH89-AQ88,IF(A89&lt;'Données projet'!$A$62,$AF$205^A89,IF(A89='Données projet'!$A$62,'Données projet'!$B$62,AI88+AH89-AQ88)))</f>
        <v>298.73999999999961</v>
      </c>
      <c r="AJ89" s="14">
        <f>AI89*VLOOKUP('Données projet'!$B$10,Paramètres!$A$1:$I$89,3,0)*VLOOKUP('Données projet'!$B$10,Paramètres!$A$1:$I$89,5,0)</f>
        <v>155.34479999999982</v>
      </c>
      <c r="AK89" s="14">
        <f t="shared" si="89"/>
        <v>39.790724515827861</v>
      </c>
      <c r="AL89" s="22">
        <f t="shared" si="58"/>
        <v>339.86103853173319</v>
      </c>
      <c r="AM89" s="60">
        <f t="shared" si="59"/>
        <v>602.25996225781489</v>
      </c>
      <c r="AN89" s="60">
        <f ca="1">AVERAGE(OFFSET($AM$3,0,0,'Données projet'!$E$10+1,1))-AVERAGE(OFFSET($H$3,0,0,'Données projet'!$E$10+1,1))</f>
        <v>300.72820267660154</v>
      </c>
      <c r="AO89" s="60">
        <f t="shared" si="90"/>
        <v>228.35388778608589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3.6835164835164806</v>
      </c>
      <c r="BD89" s="13">
        <f>IF('Données projet'!$A$88&gt;35,BD88+BC89-BL88,IF(A89&lt;'Données projet'!$A$88,$BA$205^A89,IF(A89='Données projet'!$A$88,'Données projet'!$B$88,BD88+BC89-BL88)))</f>
        <v>155.6186813186813</v>
      </c>
      <c r="BE89" s="14">
        <f>BD89*VLOOKUP('Données projet'!$B$11,Paramètres!$A$1:$I$89,3,0)*VLOOKUP('Données projet'!$B$11,Paramètres!$A$1:$I$89,5,0)</f>
        <v>91.036928571428561</v>
      </c>
      <c r="BF89" s="14">
        <f t="shared" si="91"/>
        <v>24.815140218873672</v>
      </c>
      <c r="BG89" s="22">
        <f t="shared" si="61"/>
        <v>201.77568647644307</v>
      </c>
      <c r="BH89" s="60">
        <f t="shared" si="62"/>
        <v>464.17461020252478</v>
      </c>
      <c r="BI89" s="60">
        <f ca="1">AVERAGE(OFFSET($BH$3,0,0,'Données projet'!$E$11+1,1))-AVERAGE(OFFSET($H$3,0,0,'Données projet'!$E$11+1,1))</f>
        <v>221.18884567967481</v>
      </c>
      <c r="BJ89" s="60">
        <f t="shared" si="92"/>
        <v>189.31596996710888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1.5429166666666674</v>
      </c>
      <c r="BY89" s="13">
        <f>IF('Données projet'!$A$114&gt;35,BY88+BX89-CG88,IF(A89&lt;'Données projet'!$A$114,$BV$205^A89,IF(A89='Données projet'!$A$114,'Données projet'!$B$114,BY88+BX89-CG88)))</f>
        <v>100.23666666666662</v>
      </c>
      <c r="BZ89" s="14">
        <f>BY89*VLOOKUP('Données projet'!$B$12,Paramètres!$A$1:$I$89,3,0)*VLOOKUP('Données projet'!$B$12,Paramètres!$A$1:$I$89,5,0)</f>
        <v>115.47263999999994</v>
      </c>
      <c r="CA89" s="14">
        <f t="shared" si="93"/>
        <v>30.616715119547948</v>
      </c>
      <c r="CB89" s="22">
        <f t="shared" si="64"/>
        <v>254.43896016654585</v>
      </c>
      <c r="CC89" s="60">
        <f t="shared" si="65"/>
        <v>516.83788389262759</v>
      </c>
      <c r="CD89" s="60">
        <f ca="1">AVERAGE(OFFSET($CC$3,0,0,'Données projet'!$E$12+1,1))-AVERAGE(OFFSET($H$3,0,0,'Données projet'!$E$12+1,1))</f>
        <v>314.72063458462026</v>
      </c>
      <c r="CE89" s="60">
        <f t="shared" si="94"/>
        <v>216.4380325968244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4.2</v>
      </c>
      <c r="CT89" s="13">
        <f>IF('Données projet'!$A$140&gt;35,CT88+CS89-DB88,IF(A89&lt;'Données projet'!$A$140,$CQ$205^A89,IF(A89='Données projet'!$A$140,'Données projet'!$B$140,CT88+CS89-DB88)))</f>
        <v>190.2</v>
      </c>
      <c r="CU89" s="18">
        <f>CT89*VLOOKUP('Données projet'!$B$13,Paramètres!$A$1:$I$89,3,0)*VLOOKUP('Données projet'!$B$13,Paramètres!$A$1:$I$89,5,0)</f>
        <v>204.73127999999997</v>
      </c>
      <c r="CV89" s="14">
        <f t="shared" si="95"/>
        <v>50.782540726679308</v>
      </c>
      <c r="CW89" s="22">
        <f t="shared" si="67"/>
        <v>445.01990443229971</v>
      </c>
      <c r="CX89" s="60">
        <f t="shared" si="68"/>
        <v>707.41882815838142</v>
      </c>
      <c r="CY89" s="60">
        <f ca="1">AVERAGE(OFFSET($CX$3,0,0,'Données projet'!$E$13+1,1))-AVERAGE(OFFSET($H$3,0,0,'Données projet'!$E$13+1,1))</f>
        <v>465.51503238626822</v>
      </c>
      <c r="CZ89" s="60">
        <f t="shared" si="96"/>
        <v>205.55320107663496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4.2</v>
      </c>
      <c r="DO89" s="13">
        <f>IF('Données projet'!$A$166&gt;35,DO88+DN89-DW88,IF(A89&lt;'Données projet'!$A$166,$DL$205^A89,IF(A89='Données projet'!$A$166,'Données projet'!$B$166,DO88+DN89-DW88)))</f>
        <v>190.2</v>
      </c>
      <c r="DP89" s="18">
        <f>DO89*VLOOKUP('Données projet'!$B$14,Paramètres!$A$1:$I$89,3,0)*VLOOKUP('Données projet'!$B$14,Paramètres!$A$1:$I$89,5,0)</f>
        <v>163.19159999999999</v>
      </c>
      <c r="DQ89" s="14">
        <f t="shared" si="97"/>
        <v>41.561560100509226</v>
      </c>
      <c r="DR89" s="22">
        <f t="shared" si="70"/>
        <v>356.6117538417202</v>
      </c>
      <c r="DS89" s="60">
        <f t="shared" si="71"/>
        <v>619.01067756780185</v>
      </c>
      <c r="DT89" s="60">
        <f ca="1">AVERAGE(OFFSET($DS$3,0,0,'Données projet'!$E$14+1,1))-AVERAGE(OFFSET($H$3,0,0,'Données projet'!$E$14+1,1))</f>
        <v>393.79546872270964</v>
      </c>
      <c r="DU89" s="60">
        <f t="shared" si="98"/>
        <v>179.7333990060757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135.66666666666666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5.0567307692307644</v>
      </c>
      <c r="N90" s="14">
        <f>IF('Données projet'!$A$36&gt;35,N89+M90-V89,IF(A90&lt;'Données projet'!$A$36,$K$205^A90,IF(A90='Données projet'!$A$36,'Données projet'!$B$36,N89+M90-V89)))</f>
        <v>240.36826923076939</v>
      </c>
      <c r="O90" s="14">
        <f>N90*VLOOKUP('Données projet'!$B$9,Paramètres!$A$1:$I$89,3,0)*VLOOKUP('Données projet'!$B$9,Paramètres!$A$1:$I$89,5,0)</f>
        <v>112.49235000000007</v>
      </c>
      <c r="P90" s="14">
        <f t="shared" si="87"/>
        <v>29.917433772797001</v>
      </c>
      <c r="Q90" s="22">
        <f t="shared" si="54"/>
        <v>248.03037340428827</v>
      </c>
      <c r="R90" s="60">
        <f t="shared" si="55"/>
        <v>510.96593997807668</v>
      </c>
      <c r="S90" s="60">
        <f ca="1">AVERAGE(OFFSET($R$3,0,0,'Données projet'!$E$9+1,1))-AVERAGE(OFFSET($H$3,0,0,'Données projet'!$E$9+1,1))</f>
        <v>291.44524568678776</v>
      </c>
      <c r="T90" s="60">
        <f t="shared" si="88"/>
        <v>136.43373205899937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1.5399999999999978</v>
      </c>
      <c r="AI90" s="14">
        <f>IF('Données projet'!$A$62&gt;35,AI89+AH90-AQ89,IF(A90&lt;'Données projet'!$A$62,$AF$205^A90,IF(A90='Données projet'!$A$62,'Données projet'!$B$62,AI89+AH90-AQ89)))</f>
        <v>300.27999999999963</v>
      </c>
      <c r="AJ90" s="14">
        <f>AI90*VLOOKUP('Données projet'!$B$10,Paramètres!$A$1:$I$89,3,0)*VLOOKUP('Données projet'!$B$10,Paramètres!$A$1:$I$89,5,0)</f>
        <v>156.1455999999998</v>
      </c>
      <c r="AK90" s="14">
        <f t="shared" si="89"/>
        <v>39.971914768670302</v>
      </c>
      <c r="AL90" s="22">
        <f t="shared" si="58"/>
        <v>341.57133822210039</v>
      </c>
      <c r="AM90" s="60">
        <f t="shared" si="59"/>
        <v>604.50690479588889</v>
      </c>
      <c r="AN90" s="60">
        <f ca="1">AVERAGE(OFFSET($AM$3,0,0,'Données projet'!$E$10+1,1))-AVERAGE(OFFSET($H$3,0,0,'Données projet'!$E$10+1,1))</f>
        <v>300.72820267660154</v>
      </c>
      <c r="AO90" s="60">
        <f t="shared" si="90"/>
        <v>228.35388778608589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3.6835164835164806</v>
      </c>
      <c r="BD90" s="13">
        <f>IF('Données projet'!$A$88&gt;35,BD89+BC90-BL89,IF(A90&lt;'Données projet'!$A$88,$BA$205^A90,IF(A90='Données projet'!$A$88,'Données projet'!$B$88,BD89+BC90-BL89)))</f>
        <v>159.30219780219778</v>
      </c>
      <c r="BE90" s="14">
        <f>BD90*VLOOKUP('Données projet'!$B$11,Paramètres!$A$1:$I$89,3,0)*VLOOKUP('Données projet'!$B$11,Paramètres!$A$1:$I$89,5,0)</f>
        <v>93.191785714285714</v>
      </c>
      <c r="BF90" s="14">
        <f t="shared" si="91"/>
        <v>25.333438587650654</v>
      </c>
      <c r="BG90" s="22">
        <f t="shared" si="61"/>
        <v>206.43143232587249</v>
      </c>
      <c r="BH90" s="60">
        <f t="shared" si="62"/>
        <v>469.36699889966093</v>
      </c>
      <c r="BI90" s="60">
        <f ca="1">AVERAGE(OFFSET($BH$3,0,0,'Données projet'!$E$11+1,1))-AVERAGE(OFFSET($H$3,0,0,'Données projet'!$E$11+1,1))</f>
        <v>221.18884567967481</v>
      </c>
      <c r="BJ90" s="60">
        <f t="shared" si="92"/>
        <v>189.31596996710888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1.5429166666666674</v>
      </c>
      <c r="BY90" s="13">
        <f>IF('Données projet'!$A$114&gt;35,BY89+BX90-CG89,IF(A90&lt;'Données projet'!$A$114,$BV$205^A90,IF(A90='Données projet'!$A$114,'Données projet'!$B$114,BY89+BX90-CG89)))</f>
        <v>101.77958333333329</v>
      </c>
      <c r="BZ90" s="14">
        <f>BY90*VLOOKUP('Données projet'!$B$12,Paramètres!$A$1:$I$89,3,0)*VLOOKUP('Données projet'!$B$12,Paramètres!$A$1:$I$89,5,0)</f>
        <v>117.25007999999994</v>
      </c>
      <c r="CA90" s="14">
        <f t="shared" si="93"/>
        <v>31.032762821194346</v>
      </c>
      <c r="CB90" s="22">
        <f t="shared" si="64"/>
        <v>258.25928458024669</v>
      </c>
      <c r="CC90" s="60">
        <f t="shared" si="65"/>
        <v>521.19485115403518</v>
      </c>
      <c r="CD90" s="60">
        <f ca="1">AVERAGE(OFFSET($CC$3,0,0,'Données projet'!$E$12+1,1))-AVERAGE(OFFSET($H$3,0,0,'Données projet'!$E$12+1,1))</f>
        <v>314.72063458462026</v>
      </c>
      <c r="CE90" s="60">
        <f t="shared" si="94"/>
        <v>216.4380325968244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4.2</v>
      </c>
      <c r="CT90" s="13">
        <f>IF('Données projet'!$A$140&gt;35,CT89+CS90-DB89,IF(A90&lt;'Données projet'!$A$140,$CQ$205^A90,IF(A90='Données projet'!$A$140,'Données projet'!$B$140,CT89+CS90-DB89)))</f>
        <v>194.39999999999998</v>
      </c>
      <c r="CU90" s="18">
        <f>CT90*VLOOKUP('Données projet'!$B$13,Paramètres!$A$1:$I$89,3,0)*VLOOKUP('Données projet'!$B$13,Paramètres!$A$1:$I$89,5,0)</f>
        <v>209.25215999999995</v>
      </c>
      <c r="CV90" s="14">
        <f t="shared" si="95"/>
        <v>51.772129927379012</v>
      </c>
      <c r="CW90" s="22">
        <f t="shared" si="67"/>
        <v>454.61730495685168</v>
      </c>
      <c r="CX90" s="60">
        <f t="shared" si="68"/>
        <v>717.55287153064012</v>
      </c>
      <c r="CY90" s="60">
        <f ca="1">AVERAGE(OFFSET($CX$3,0,0,'Données projet'!$E$13+1,1))-AVERAGE(OFFSET($H$3,0,0,'Données projet'!$E$13+1,1))</f>
        <v>465.51503238626822</v>
      </c>
      <c r="CZ90" s="60">
        <f t="shared" si="96"/>
        <v>205.55320107663496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4.2</v>
      </c>
      <c r="DO90" s="13">
        <f>IF('Données projet'!$A$166&gt;35,DO89+DN90-DW89,IF(A90&lt;'Données projet'!$A$166,$DL$205^A90,IF(A90='Données projet'!$A$166,'Données projet'!$B$166,DO89+DN90-DW89)))</f>
        <v>194.39999999999998</v>
      </c>
      <c r="DP90" s="18">
        <f>DO90*VLOOKUP('Données projet'!$B$14,Paramètres!$A$1:$I$89,3,0)*VLOOKUP('Données projet'!$B$14,Paramètres!$A$1:$I$89,5,0)</f>
        <v>166.79520000000002</v>
      </c>
      <c r="DQ90" s="14">
        <f t="shared" si="97"/>
        <v>42.371461898472788</v>
      </c>
      <c r="DR90" s="22">
        <f t="shared" si="70"/>
        <v>364.29860280650678</v>
      </c>
      <c r="DS90" s="60">
        <f t="shared" si="71"/>
        <v>627.23416938029527</v>
      </c>
      <c r="DT90" s="60">
        <f ca="1">AVERAGE(OFFSET($DS$3,0,0,'Données projet'!$E$14+1,1))-AVERAGE(OFFSET($H$3,0,0,'Données projet'!$E$14+1,1))</f>
        <v>393.79546872270964</v>
      </c>
      <c r="DU90" s="60">
        <f t="shared" si="98"/>
        <v>179.7333990060757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135.66666666666666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5.0567307692307644</v>
      </c>
      <c r="N91" s="14">
        <f>IF('Données projet'!$A$36&gt;35,N90+M91-V90,IF(A91&lt;'Données projet'!$A$36,$K$205^A91,IF(A91='Données projet'!$A$36,'Données projet'!$B$36,N90+M91-V90)))</f>
        <v>245.42500000000015</v>
      </c>
      <c r="O91" s="14">
        <f>N91*VLOOKUP('Données projet'!$B$9,Paramètres!$A$1:$I$89,3,0)*VLOOKUP('Données projet'!$B$9,Paramètres!$A$1:$I$89,5,0)</f>
        <v>114.85890000000008</v>
      </c>
      <c r="P91" s="14">
        <f t="shared" si="87"/>
        <v>30.472883549142502</v>
      </c>
      <c r="Q91" s="22">
        <f t="shared" si="54"/>
        <v>253.11952301475662</v>
      </c>
      <c r="R91" s="60">
        <f t="shared" si="55"/>
        <v>516.58242288259771</v>
      </c>
      <c r="S91" s="60">
        <f ca="1">AVERAGE(OFFSET($R$3,0,0,'Données projet'!$E$9+1,1))-AVERAGE(OFFSET($H$3,0,0,'Données projet'!$E$9+1,1))</f>
        <v>291.44524568678776</v>
      </c>
      <c r="T91" s="60">
        <f t="shared" si="88"/>
        <v>136.43373205899937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1.5399999999999978</v>
      </c>
      <c r="AI91" s="14">
        <f>IF('Données projet'!$A$62&gt;35,AI90+AH91-AQ90,IF(A91&lt;'Données projet'!$A$62,$AF$205^A91,IF(A91='Données projet'!$A$62,'Données projet'!$B$62,AI90+AH91-AQ90)))</f>
        <v>301.81999999999965</v>
      </c>
      <c r="AJ91" s="14">
        <f>AI91*VLOOKUP('Données projet'!$B$10,Paramètres!$A$1:$I$89,3,0)*VLOOKUP('Données projet'!$B$10,Paramètres!$A$1:$I$89,5,0)</f>
        <v>156.94639999999984</v>
      </c>
      <c r="AK91" s="14">
        <f t="shared" si="89"/>
        <v>40.152996889442761</v>
      </c>
      <c r="AL91" s="22">
        <f t="shared" si="58"/>
        <v>343.28144958244587</v>
      </c>
      <c r="AM91" s="60">
        <f t="shared" si="59"/>
        <v>606.74434945028702</v>
      </c>
      <c r="AN91" s="60">
        <f ca="1">AVERAGE(OFFSET($AM$3,0,0,'Données projet'!$E$10+1,1))-AVERAGE(OFFSET($H$3,0,0,'Données projet'!$E$10+1,1))</f>
        <v>300.72820267660154</v>
      </c>
      <c r="AO91" s="60">
        <f t="shared" si="90"/>
        <v>228.35388778608589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3.6835164835164806</v>
      </c>
      <c r="BD91" s="13">
        <f>IF('Données projet'!$A$88&gt;35,BD90+BC91-BL90,IF(A91&lt;'Données projet'!$A$88,$BA$205^A91,IF(A91='Données projet'!$A$88,'Données projet'!$B$88,BD90+BC91-BL90)))</f>
        <v>162.98571428571427</v>
      </c>
      <c r="BE91" s="14">
        <f>BD91*VLOOKUP('Données projet'!$B$11,Paramètres!$A$1:$I$89,3,0)*VLOOKUP('Données projet'!$B$11,Paramètres!$A$1:$I$89,5,0)</f>
        <v>95.346642857142854</v>
      </c>
      <c r="BF91" s="14">
        <f t="shared" si="91"/>
        <v>25.850343702560167</v>
      </c>
      <c r="BG91" s="22">
        <f t="shared" si="61"/>
        <v>211.08475159148273</v>
      </c>
      <c r="BH91" s="60">
        <f t="shared" si="62"/>
        <v>474.54765145932379</v>
      </c>
      <c r="BI91" s="60">
        <f ca="1">AVERAGE(OFFSET($BH$3,0,0,'Données projet'!$E$11+1,1))-AVERAGE(OFFSET($H$3,0,0,'Données projet'!$E$11+1,1))</f>
        <v>221.18884567967481</v>
      </c>
      <c r="BJ91" s="60">
        <f t="shared" si="92"/>
        <v>189.31596996710888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1.5429166666666674</v>
      </c>
      <c r="BY91" s="13">
        <f>IF('Données projet'!$A$114&gt;35,BY90+BX91-CG90,IF(A91&lt;'Données projet'!$A$114,$BV$205^A91,IF(A91='Données projet'!$A$114,'Données projet'!$B$114,BY90+BX91-CG90)))</f>
        <v>103.32249999999996</v>
      </c>
      <c r="BZ91" s="14">
        <f>BY91*VLOOKUP('Données projet'!$B$12,Paramètres!$A$1:$I$89,3,0)*VLOOKUP('Données projet'!$B$12,Paramètres!$A$1:$I$89,5,0)</f>
        <v>119.02751999999994</v>
      </c>
      <c r="CA91" s="14">
        <f t="shared" si="93"/>
        <v>31.448077002121423</v>
      </c>
      <c r="CB91" s="22">
        <f t="shared" si="64"/>
        <v>262.07833144536136</v>
      </c>
      <c r="CC91" s="60">
        <f t="shared" si="65"/>
        <v>525.54123131320239</v>
      </c>
      <c r="CD91" s="60">
        <f ca="1">AVERAGE(OFFSET($CC$3,0,0,'Données projet'!$E$12+1,1))-AVERAGE(OFFSET($H$3,0,0,'Données projet'!$E$12+1,1))</f>
        <v>314.72063458462026</v>
      </c>
      <c r="CE91" s="60">
        <f t="shared" si="94"/>
        <v>216.4380325968244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4.2</v>
      </c>
      <c r="CT91" s="13">
        <f>IF('Données projet'!$A$140&gt;35,CT90+CS91-DB90,IF(A91&lt;'Données projet'!$A$140,$CQ$205^A91,IF(A91='Données projet'!$A$140,'Données projet'!$B$140,CT90+CS91-DB90)))</f>
        <v>198.59999999999997</v>
      </c>
      <c r="CU91" s="18">
        <f>CT91*VLOOKUP('Données projet'!$B$13,Paramètres!$A$1:$I$89,3,0)*VLOOKUP('Données projet'!$B$13,Paramètres!$A$1:$I$89,5,0)</f>
        <v>213.77303999999995</v>
      </c>
      <c r="CV91" s="14">
        <f t="shared" si="95"/>
        <v>52.759233416703239</v>
      </c>
      <c r="CW91" s="22">
        <f t="shared" si="67"/>
        <v>464.21037620075805</v>
      </c>
      <c r="CX91" s="60">
        <f t="shared" si="68"/>
        <v>727.67327606859908</v>
      </c>
      <c r="CY91" s="60">
        <f ca="1">AVERAGE(OFFSET($CX$3,0,0,'Données projet'!$E$13+1,1))-AVERAGE(OFFSET($H$3,0,0,'Données projet'!$E$13+1,1))</f>
        <v>465.51503238626822</v>
      </c>
      <c r="CZ91" s="60">
        <f t="shared" si="96"/>
        <v>205.55320107663496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4.2</v>
      </c>
      <c r="DO91" s="13">
        <f>IF('Données projet'!$A$166&gt;35,DO90+DN91-DW90,IF(A91&lt;'Données projet'!$A$166,$DL$205^A91,IF(A91='Données projet'!$A$166,'Données projet'!$B$166,DO90+DN91-DW90)))</f>
        <v>198.59999999999997</v>
      </c>
      <c r="DP91" s="18">
        <f>DO91*VLOOKUP('Données projet'!$B$14,Paramètres!$A$1:$I$89,3,0)*VLOOKUP('Données projet'!$B$14,Paramètres!$A$1:$I$89,5,0)</f>
        <v>170.39879999999999</v>
      </c>
      <c r="DQ91" s="14">
        <f t="shared" si="97"/>
        <v>43.179329334995472</v>
      </c>
      <c r="DR91" s="22">
        <f t="shared" si="70"/>
        <v>371.98190859178379</v>
      </c>
      <c r="DS91" s="60">
        <f t="shared" si="71"/>
        <v>635.44480845962494</v>
      </c>
      <c r="DT91" s="60">
        <f ca="1">AVERAGE(OFFSET($DS$3,0,0,'Données projet'!$E$14+1,1))-AVERAGE(OFFSET($H$3,0,0,'Données projet'!$E$14+1,1))</f>
        <v>393.79546872270964</v>
      </c>
      <c r="DU91" s="60">
        <f t="shared" si="98"/>
        <v>179.7333990060757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135.66666666666666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5.0567307692307644</v>
      </c>
      <c r="N92" s="14">
        <f>IF('Données projet'!$A$36&gt;35,N91+M92-V91,IF(A92&lt;'Données projet'!$A$36,$K$205^A92,IF(A92='Données projet'!$A$36,'Données projet'!$B$36,N91+M92-V91)))</f>
        <v>250.48173076923092</v>
      </c>
      <c r="O92" s="14">
        <f>N92*VLOOKUP('Données projet'!$B$9,Paramètres!$A$1:$I$89,3,0)*VLOOKUP('Données projet'!$B$9,Paramètres!$A$1:$I$89,5,0)</f>
        <v>117.22545000000007</v>
      </c>
      <c r="P92" s="14">
        <f t="shared" si="87"/>
        <v>31.027002685380328</v>
      </c>
      <c r="Q92" s="22">
        <f t="shared" si="54"/>
        <v>258.20635509370419</v>
      </c>
      <c r="R92" s="60">
        <f t="shared" si="55"/>
        <v>522.18744020188672</v>
      </c>
      <c r="S92" s="60">
        <f ca="1">AVERAGE(OFFSET($R$3,0,0,'Données projet'!$E$9+1,1))-AVERAGE(OFFSET($H$3,0,0,'Données projet'!$E$9+1,1))</f>
        <v>291.44524568678776</v>
      </c>
      <c r="T92" s="60">
        <f t="shared" si="88"/>
        <v>136.43373205899937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1.5399999999999978</v>
      </c>
      <c r="AI92" s="14">
        <f>IF('Données projet'!$A$62&gt;35,AI91+AH92-AQ91,IF(A92&lt;'Données projet'!$A$62,$AF$205^A92,IF(A92='Données projet'!$A$62,'Données projet'!$B$62,AI91+AH92-AQ91)))</f>
        <v>303.35999999999967</v>
      </c>
      <c r="AJ92" s="14">
        <f>AI92*VLOOKUP('Données projet'!$B$10,Paramètres!$A$1:$I$89,3,0)*VLOOKUP('Données projet'!$B$10,Paramètres!$A$1:$I$89,5,0)</f>
        <v>157.74719999999985</v>
      </c>
      <c r="AK92" s="14">
        <f t="shared" si="89"/>
        <v>40.333971493920025</v>
      </c>
      <c r="AL92" s="22">
        <f t="shared" si="58"/>
        <v>344.99137368524379</v>
      </c>
      <c r="AM92" s="60">
        <f t="shared" si="59"/>
        <v>608.97245879342631</v>
      </c>
      <c r="AN92" s="60">
        <f ca="1">AVERAGE(OFFSET($AM$3,0,0,'Données projet'!$E$10+1,1))-AVERAGE(OFFSET($H$3,0,0,'Données projet'!$E$10+1,1))</f>
        <v>300.72820267660154</v>
      </c>
      <c r="AO92" s="60">
        <f t="shared" si="90"/>
        <v>228.35388778608589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>
        <f>VLOOKUP(A92,'Données projet'!$A$87:$I$107,2,0)</f>
        <v>166.66923076923075</v>
      </c>
      <c r="BB92" s="13">
        <f>VLOOKUP(A92,'Données projet'!$A$87:$I$107,9,0)</f>
        <v>3.6835164835164806</v>
      </c>
      <c r="BC92" s="13">
        <f t="array" ref="BC92">INDEX(BB:BB,MIN(IF(ISNUMBER(BB92:BB288),ROW(BB92:BB288),"")))</f>
        <v>3.6835164835164806</v>
      </c>
      <c r="BD92" s="13">
        <f>IF('Données projet'!$A$88&gt;35,BD91+BC92-BL91,IF(A92&lt;'Données projet'!$A$88,$BA$205^A92,IF(A92='Données projet'!$A$88,'Données projet'!$B$88,BD91+BC92-BL91)))</f>
        <v>166.66923076923075</v>
      </c>
      <c r="BE92" s="14">
        <f>BD92*VLOOKUP('Données projet'!$B$11,Paramètres!$A$1:$I$89,3,0)*VLOOKUP('Données projet'!$B$11,Paramètres!$A$1:$I$89,5,0)</f>
        <v>97.501499999999993</v>
      </c>
      <c r="BF92" s="14">
        <f t="shared" si="91"/>
        <v>26.365890676507046</v>
      </c>
      <c r="BG92" s="22">
        <f t="shared" si="61"/>
        <v>215.73570542824973</v>
      </c>
      <c r="BH92" s="60">
        <f t="shared" si="62"/>
        <v>479.71679053643226</v>
      </c>
      <c r="BI92" s="60">
        <f ca="1">AVERAGE(OFFSET($BH$3,0,0,'Données projet'!$E$11+1,1))-AVERAGE(OFFSET($H$3,0,0,'Données projet'!$E$11+1,1))</f>
        <v>221.18884567967481</v>
      </c>
      <c r="BJ92" s="60">
        <f t="shared" si="92"/>
        <v>189.31596996710888</v>
      </c>
      <c r="BK92" s="16">
        <f>IF(ISNA(VLOOKUP(A92,'Données projet'!$A$87:$I$107,3,0)),0,VLOOKUP(A92,'Données projet'!$A$87:$I$107,3,0))</f>
        <v>4</v>
      </c>
      <c r="BL92" s="16">
        <f>IF(ISNA(VLOOKUP(A92,'Données projet'!$A$87:$I$107,4,0)),0,VLOOKUP(A92,'Données projet'!$A$87:$I$107,4,0))</f>
        <v>166.66923076923075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1.5429166666666674</v>
      </c>
      <c r="BY92" s="13">
        <f>IF('Données projet'!$A$114&gt;35,BY91+BX92-CG91,IF(A92&lt;'Données projet'!$A$114,$BV$205^A92,IF(A92='Données projet'!$A$114,'Données projet'!$B$114,BY91+BX92-CG91)))</f>
        <v>104.86541666666663</v>
      </c>
      <c r="BZ92" s="14">
        <f>BY92*VLOOKUP('Données projet'!$B$12,Paramètres!$A$1:$I$89,3,0)*VLOOKUP('Données projet'!$B$12,Paramètres!$A$1:$I$89,5,0)</f>
        <v>120.80495999999994</v>
      </c>
      <c r="CA92" s="14">
        <f t="shared" si="93"/>
        <v>31.862669881307355</v>
      </c>
      <c r="CB92" s="22">
        <f t="shared" si="64"/>
        <v>265.89612204327688</v>
      </c>
      <c r="CC92" s="60">
        <f t="shared" si="65"/>
        <v>529.8772071514594</v>
      </c>
      <c r="CD92" s="60">
        <f ca="1">AVERAGE(OFFSET($CC$3,0,0,'Données projet'!$E$12+1,1))-AVERAGE(OFFSET($H$3,0,0,'Données projet'!$E$12+1,1))</f>
        <v>314.72063458462026</v>
      </c>
      <c r="CE92" s="60">
        <f t="shared" si="94"/>
        <v>216.4380325968244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4.2</v>
      </c>
      <c r="CT92" s="13">
        <f>IF('Données projet'!$A$140&gt;35,CT91+CS92-DB91,IF(A92&lt;'Données projet'!$A$140,$CQ$205^A92,IF(A92='Données projet'!$A$140,'Données projet'!$B$140,CT91+CS92-DB91)))</f>
        <v>202.79999999999995</v>
      </c>
      <c r="CU92" s="18">
        <f>CT92*VLOOKUP('Données projet'!$B$13,Paramètres!$A$1:$I$89,3,0)*VLOOKUP('Données projet'!$B$13,Paramètres!$A$1:$I$89,5,0)</f>
        <v>218.29391999999996</v>
      </c>
      <c r="CV92" s="14">
        <f t="shared" si="95"/>
        <v>53.743909818122162</v>
      </c>
      <c r="CW92" s="22">
        <f t="shared" si="67"/>
        <v>473.79922026656277</v>
      </c>
      <c r="CX92" s="60">
        <f t="shared" si="68"/>
        <v>737.78030537474524</v>
      </c>
      <c r="CY92" s="60">
        <f ca="1">AVERAGE(OFFSET($CX$3,0,0,'Données projet'!$E$13+1,1))-AVERAGE(OFFSET($H$3,0,0,'Données projet'!$E$13+1,1))</f>
        <v>465.51503238626822</v>
      </c>
      <c r="CZ92" s="60">
        <f t="shared" si="96"/>
        <v>205.55320107663496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4.2</v>
      </c>
      <c r="DO92" s="13">
        <f>IF('Données projet'!$A$166&gt;35,DO91+DN92-DW91,IF(A92&lt;'Données projet'!$A$166,$DL$205^A92,IF(A92='Données projet'!$A$166,'Données projet'!$B$166,DO91+DN92-DW91)))</f>
        <v>202.79999999999995</v>
      </c>
      <c r="DP92" s="18">
        <f>DO92*VLOOKUP('Données projet'!$B$14,Paramètres!$A$1:$I$89,3,0)*VLOOKUP('Données projet'!$B$14,Paramètres!$A$1:$I$89,5,0)</f>
        <v>174.00239999999997</v>
      </c>
      <c r="DQ92" s="14">
        <f t="shared" si="97"/>
        <v>43.985210388828321</v>
      </c>
      <c r="DR92" s="22">
        <f t="shared" si="70"/>
        <v>379.66175476054258</v>
      </c>
      <c r="DS92" s="60">
        <f t="shared" si="71"/>
        <v>643.6428398687251</v>
      </c>
      <c r="DT92" s="60">
        <f ca="1">AVERAGE(OFFSET($DS$3,0,0,'Données projet'!$E$14+1,1))-AVERAGE(OFFSET($H$3,0,0,'Données projet'!$E$14+1,1))</f>
        <v>393.79546872270964</v>
      </c>
      <c r="DU92" s="60">
        <f t="shared" si="98"/>
        <v>179.7333990060757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135.66666666666666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255.53846153846152</v>
      </c>
      <c r="L93" s="13">
        <f>VLOOKUP(A93,'Données projet'!$A$35:$I$55,9,0)</f>
        <v>5.0567307692307644</v>
      </c>
      <c r="M93" s="13">
        <f t="array" ref="M93">INDEX(L:L,MIN(IF(ISNUMBER(L93:L289),ROW(L93:L289),"")))</f>
        <v>5.0567307692307644</v>
      </c>
      <c r="N93" s="14">
        <f>IF('Données projet'!$A$36&gt;35,N92+M93-V92,IF(A93&lt;'Données projet'!$A$36,$K$205^A93,IF(A93='Données projet'!$A$36,'Données projet'!$B$36,N92+M93-V92)))</f>
        <v>255.53846153846169</v>
      </c>
      <c r="O93" s="14">
        <f>N93*VLOOKUP('Données projet'!$B$9,Paramètres!$A$1:$I$89,3,0)*VLOOKUP('Données projet'!$B$9,Paramètres!$A$1:$I$89,5,0)</f>
        <v>119.59200000000007</v>
      </c>
      <c r="P93" s="14">
        <f t="shared" si="87"/>
        <v>31.579821140253586</v>
      </c>
      <c r="Q93" s="22">
        <f t="shared" si="54"/>
        <v>263.29092181927513</v>
      </c>
      <c r="R93" s="60">
        <f t="shared" si="55"/>
        <v>527.78120281236784</v>
      </c>
      <c r="S93" s="60">
        <f ca="1">AVERAGE(OFFSET($R$3,0,0,'Données projet'!$E$9+1,1))-AVERAGE(OFFSET($H$3,0,0,'Données projet'!$E$9+1,1))</f>
        <v>291.44524568678776</v>
      </c>
      <c r="T93" s="60">
        <f t="shared" si="88"/>
        <v>136.43373205899937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304.89999999999998</v>
      </c>
      <c r="AG93" s="13">
        <f>VLOOKUP(A93,'Données projet'!$A$61:$I$81,9,0)</f>
        <v>1.5399999999999978</v>
      </c>
      <c r="AH93" s="13">
        <f t="array" ref="AH93">INDEX(AG:AG,MIN(IF(ISNUMBER(AG93:AG289),ROW(AG93:AG289),"")))</f>
        <v>1.5399999999999978</v>
      </c>
      <c r="AI93" s="14">
        <f>IF('Données projet'!$A$62&gt;35,AI92+AH93-AQ92,IF(A93&lt;'Données projet'!$A$62,$AF$205^A93,IF(A93='Données projet'!$A$62,'Données projet'!$B$62,AI92+AH93-AQ92)))</f>
        <v>304.89999999999969</v>
      </c>
      <c r="AJ93" s="14">
        <f>AI93*VLOOKUP('Données projet'!$B$10,Paramètres!$A$1:$I$89,3,0)*VLOOKUP('Données projet'!$B$10,Paramètres!$A$1:$I$89,5,0)</f>
        <v>158.54799999999986</v>
      </c>
      <c r="AK93" s="14">
        <f t="shared" si="89"/>
        <v>40.514839191262929</v>
      </c>
      <c r="AL93" s="22">
        <f t="shared" si="58"/>
        <v>346.70111159144932</v>
      </c>
      <c r="AM93" s="60">
        <f t="shared" si="59"/>
        <v>611.19139258454209</v>
      </c>
      <c r="AN93" s="60">
        <f ca="1">AVERAGE(OFFSET($AM$3,0,0,'Données projet'!$E$10+1,1))-AVERAGE(OFFSET($H$3,0,0,'Données projet'!$E$10+1,1))</f>
        <v>300.72820267660154</v>
      </c>
      <c r="AO93" s="60">
        <f t="shared" si="90"/>
        <v>228.35388778608589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221.18884567967481</v>
      </c>
      <c r="BJ93" s="60">
        <f t="shared" si="92"/>
        <v>189.31596996710888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106.40833333333333</v>
      </c>
      <c r="BW93" s="13">
        <f>VLOOKUP(A93,'Données projet'!$A$113:$I$133,9,0)</f>
        <v>1.5429166666666674</v>
      </c>
      <c r="BX93" s="13">
        <f t="array" ref="BX93">INDEX(BW:BW,MIN(IF(ISNUMBER(BW93:BW289),ROW(BW93:BW289),"")))</f>
        <v>1.5429166666666674</v>
      </c>
      <c r="BY93" s="13">
        <f>IF('Données projet'!$A$114&gt;35,BY92+BX93-CG92,IF(A93&lt;'Données projet'!$A$114,$BV$205^A93,IF(A93='Données projet'!$A$114,'Données projet'!$B$114,BY92+BX93-CG92)))</f>
        <v>106.4083333333333</v>
      </c>
      <c r="BZ93" s="14">
        <f>BY93*VLOOKUP('Données projet'!$B$12,Paramètres!$A$1:$I$89,3,0)*VLOOKUP('Données projet'!$B$12,Paramètres!$A$1:$I$89,5,0)</f>
        <v>122.58239999999996</v>
      </c>
      <c r="CA93" s="14">
        <f t="shared" si="93"/>
        <v>32.276553297525268</v>
      </c>
      <c r="CB93" s="22">
        <f t="shared" si="64"/>
        <v>269.7126769931898</v>
      </c>
      <c r="CC93" s="60">
        <f t="shared" si="65"/>
        <v>534.20295798628263</v>
      </c>
      <c r="CD93" s="60">
        <f ca="1">AVERAGE(OFFSET($CC$3,0,0,'Données projet'!$E$12+1,1))-AVERAGE(OFFSET($H$3,0,0,'Données projet'!$E$12+1,1))</f>
        <v>314.72063458462026</v>
      </c>
      <c r="CE93" s="60">
        <f t="shared" si="94"/>
        <v>216.4380325968244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9.1666666666666679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207</v>
      </c>
      <c r="CR93" s="13">
        <f>VLOOKUP(A93,'Données projet'!$A$139:$I$159,9,0)</f>
        <v>4.2</v>
      </c>
      <c r="CS93" s="13">
        <f t="array" ref="CS93">INDEX(CR:CR,MIN(IF(ISNUMBER(CR93:CR289),ROW(CR93:CR289),"")))</f>
        <v>4.2</v>
      </c>
      <c r="CT93" s="13">
        <f>IF('Données projet'!$A$140&gt;35,CT92+CS93-DB92,IF(A93&lt;'Données projet'!$A$140,$CQ$205^A93,IF(A93='Données projet'!$A$140,'Données projet'!$B$140,CT92+CS93-DB92)))</f>
        <v>206.99999999999994</v>
      </c>
      <c r="CU93" s="18">
        <f>CT93*VLOOKUP('Données projet'!$B$13,Paramètres!$A$1:$I$89,3,0)*VLOOKUP('Données projet'!$B$13,Paramètres!$A$1:$I$89,5,0)</f>
        <v>222.81479999999993</v>
      </c>
      <c r="CV93" s="14">
        <f t="shared" si="95"/>
        <v>54.726215188137907</v>
      </c>
      <c r="CW93" s="22">
        <f t="shared" si="67"/>
        <v>483.38393478600671</v>
      </c>
      <c r="CX93" s="60">
        <f t="shared" si="68"/>
        <v>747.87421577909947</v>
      </c>
      <c r="CY93" s="60">
        <f ca="1">AVERAGE(OFFSET($CX$3,0,0,'Données projet'!$E$13+1,1))-AVERAGE(OFFSET($H$3,0,0,'Données projet'!$E$13+1,1))</f>
        <v>465.51503238626822</v>
      </c>
      <c r="CZ93" s="60">
        <f t="shared" si="96"/>
        <v>205.55320107663496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207</v>
      </c>
      <c r="DM93" s="13">
        <f>VLOOKUP(A93,'Données projet'!$A$165:$I$185,9,0)</f>
        <v>4.2</v>
      </c>
      <c r="DN93" s="13">
        <f t="array" ref="DN93">INDEX(DM:DM,MIN(IF(ISNUMBER(DM93:DM289),ROW(DM93:DM289),"")))</f>
        <v>4.2</v>
      </c>
      <c r="DO93" s="13">
        <f>IF('Données projet'!$A$166&gt;35,DO92+DN93-DW92,IF(A93&lt;'Données projet'!$A$166,$DL$205^A93,IF(A93='Données projet'!$A$166,'Données projet'!$B$166,DO92+DN93-DW92)))</f>
        <v>206.99999999999994</v>
      </c>
      <c r="DP93" s="18">
        <f>DO93*VLOOKUP('Données projet'!$B$14,Paramètres!$A$1:$I$89,3,0)*VLOOKUP('Données projet'!$B$14,Paramètres!$A$1:$I$89,5,0)</f>
        <v>177.60599999999997</v>
      </c>
      <c r="DQ93" s="14">
        <f t="shared" si="97"/>
        <v>44.789150937858665</v>
      </c>
      <c r="DR93" s="22">
        <f t="shared" si="70"/>
        <v>387.33822121677048</v>
      </c>
      <c r="DS93" s="60">
        <f t="shared" si="71"/>
        <v>651.82850220986325</v>
      </c>
      <c r="DT93" s="60">
        <f ca="1">AVERAGE(OFFSET($DS$3,0,0,'Données projet'!$E$14+1,1))-AVERAGE(OFFSET($H$3,0,0,'Données projet'!$E$14+1,1))</f>
        <v>393.79546872270964</v>
      </c>
      <c r="DU93" s="60">
        <f t="shared" si="98"/>
        <v>179.7333990060757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135.66666666666666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4.9709401709401737</v>
      </c>
      <c r="N94" s="14">
        <f>IF('Données projet'!$A$36&gt;35,N93+M94-V93,IF(A94&lt;'Données projet'!$A$36,$K$205^A94,IF(A94='Données projet'!$A$36,'Données projet'!$B$36,N93+M94-V93)))</f>
        <v>260.50940170940186</v>
      </c>
      <c r="O94" s="14">
        <f>N94*VLOOKUP('Données projet'!$B$9,Paramètres!$A$1:$I$89,3,0)*VLOOKUP('Données projet'!$B$9,Paramètres!$A$1:$I$89,5,0)</f>
        <v>121.91840000000006</v>
      </c>
      <c r="P94" s="14">
        <f t="shared" si="87"/>
        <v>32.122020741805095</v>
      </c>
      <c r="Q94" s="22">
        <f t="shared" si="54"/>
        <v>268.28706612531062</v>
      </c>
      <c r="R94" s="60">
        <f t="shared" si="55"/>
        <v>533.2777095931018</v>
      </c>
      <c r="S94" s="60">
        <f ca="1">AVERAGE(OFFSET($R$3,0,0,'Données projet'!$E$9+1,1))-AVERAGE(OFFSET($H$3,0,0,'Données projet'!$E$9+1,1))</f>
        <v>291.44524568678776</v>
      </c>
      <c r="T94" s="60">
        <f t="shared" si="88"/>
        <v>136.43373205899937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1.2800000000000069</v>
      </c>
      <c r="AI94" s="14">
        <f>IF('Données projet'!$A$62&gt;35,AI93+AH94-AQ93,IF(A94&lt;'Données projet'!$A$62,$AF$205^A94,IF(A94='Données projet'!$A$62,'Données projet'!$B$62,AI93+AH94-AQ93)))</f>
        <v>306.17999999999972</v>
      </c>
      <c r="AJ94" s="14">
        <f>AI94*VLOOKUP('Données projet'!$B$10,Paramètres!$A$1:$I$89,3,0)*VLOOKUP('Données projet'!$B$10,Paramètres!$A$1:$I$89,5,0)</f>
        <v>159.21359999999987</v>
      </c>
      <c r="AK94" s="14">
        <f t="shared" si="89"/>
        <v>40.665089859977073</v>
      </c>
      <c r="AL94" s="22">
        <f t="shared" si="58"/>
        <v>348.12205150612652</v>
      </c>
      <c r="AM94" s="60">
        <f t="shared" si="59"/>
        <v>613.11269497391777</v>
      </c>
      <c r="AN94" s="60">
        <f ca="1">AVERAGE(OFFSET($AM$3,0,0,'Données projet'!$E$10+1,1))-AVERAGE(OFFSET($H$3,0,0,'Données projet'!$E$10+1,1))</f>
        <v>300.72820267660154</v>
      </c>
      <c r="AO94" s="60">
        <f t="shared" si="90"/>
        <v>228.35388778608589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221.18884567967481</v>
      </c>
      <c r="BJ94" s="60">
        <f t="shared" si="92"/>
        <v>189.31596996710888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1.4583333333333344</v>
      </c>
      <c r="BY94" s="13">
        <f>IF('Données projet'!$A$114&gt;35,BY93+BX94-CG93,IF(A94&lt;'Données projet'!$A$114,$BV$205^A94,IF(A94='Données projet'!$A$114,'Données projet'!$B$114,BY93+BX94-CG93)))</f>
        <v>98.69999999999996</v>
      </c>
      <c r="BZ94" s="14">
        <f>BY94*VLOOKUP('Données projet'!$B$12,Paramètres!$A$1:$I$89,3,0)*VLOOKUP('Données projet'!$B$12,Paramètres!$A$1:$I$89,5,0)</f>
        <v>113.70239999999994</v>
      </c>
      <c r="CA94" s="14">
        <f t="shared" si="93"/>
        <v>30.20161113802142</v>
      </c>
      <c r="CB94" s="22">
        <f t="shared" si="64"/>
        <v>250.6328193987205</v>
      </c>
      <c r="CC94" s="60">
        <f t="shared" si="65"/>
        <v>515.62346286651166</v>
      </c>
      <c r="CD94" s="60">
        <f ca="1">AVERAGE(OFFSET($CC$3,0,0,'Données projet'!$E$12+1,1))-AVERAGE(OFFSET($H$3,0,0,'Données projet'!$E$12+1,1))</f>
        <v>314.72063458462026</v>
      </c>
      <c r="CE94" s="60">
        <f t="shared" si="94"/>
        <v>216.4380325968244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3.7</v>
      </c>
      <c r="CT94" s="13">
        <f>IF('Données projet'!$A$140&gt;35,CT93+CS94-DB93,IF(A94&lt;'Données projet'!$A$140,$CQ$205^A94,IF(A94='Données projet'!$A$140,'Données projet'!$B$140,CT93+CS94-DB93)))</f>
        <v>210.69999999999993</v>
      </c>
      <c r="CU94" s="18">
        <f>CT94*VLOOKUP('Données projet'!$B$13,Paramètres!$A$1:$I$89,3,0)*VLOOKUP('Données projet'!$B$13,Paramètres!$A$1:$I$89,5,0)</f>
        <v>226.79747999999992</v>
      </c>
      <c r="CV94" s="14">
        <f t="shared" si="95"/>
        <v>55.589657749663566</v>
      </c>
      <c r="CW94" s="22">
        <f t="shared" si="67"/>
        <v>491.82426491399724</v>
      </c>
      <c r="CX94" s="60">
        <f t="shared" si="68"/>
        <v>756.81490838178843</v>
      </c>
      <c r="CY94" s="60">
        <f ca="1">AVERAGE(OFFSET($CX$3,0,0,'Données projet'!$E$13+1,1))-AVERAGE(OFFSET($H$3,0,0,'Données projet'!$E$13+1,1))</f>
        <v>465.51503238626822</v>
      </c>
      <c r="CZ94" s="60">
        <f t="shared" si="96"/>
        <v>205.55320107663496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</v>
      </c>
      <c r="DO94" s="13">
        <f>IF('Données projet'!$A$166&gt;35,DO93+DN94-DW93,IF(A94&lt;'Données projet'!$A$166,$DL$205^A94,IF(A94='Données projet'!$A$166,'Données projet'!$B$166,DO93+DN94-DW93)))</f>
        <v>210.69999999999993</v>
      </c>
      <c r="DP94" s="18">
        <f>DO94*VLOOKUP('Données projet'!$B$14,Paramètres!$A$1:$I$89,3,0)*VLOOKUP('Données projet'!$B$14,Paramètres!$A$1:$I$89,5,0)</f>
        <v>180.78059999999996</v>
      </c>
      <c r="DQ94" s="14">
        <f t="shared" si="97"/>
        <v>45.495811522395613</v>
      </c>
      <c r="DR94" s="22">
        <f t="shared" si="70"/>
        <v>394.09808340150562</v>
      </c>
      <c r="DS94" s="60">
        <f t="shared" si="71"/>
        <v>659.08872686929681</v>
      </c>
      <c r="DT94" s="60">
        <f ca="1">AVERAGE(OFFSET($DS$3,0,0,'Données projet'!$E$14+1,1))-AVERAGE(OFFSET($H$3,0,0,'Données projet'!$E$14+1,1))</f>
        <v>393.79546872270964</v>
      </c>
      <c r="DU94" s="60">
        <f t="shared" si="98"/>
        <v>179.7333990060757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135.66666666666666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4.9709401709401737</v>
      </c>
      <c r="N95" s="14">
        <f>IF('Données projet'!$A$36&gt;35,N94+M95-V94,IF(A95&lt;'Données projet'!$A$36,$K$205^A95,IF(A95='Données projet'!$A$36,'Données projet'!$B$36,N94+M95-V94)))</f>
        <v>265.48034188034205</v>
      </c>
      <c r="O95" s="14">
        <f>N95*VLOOKUP('Données projet'!$B$9,Paramètres!$A$1:$I$89,3,0)*VLOOKUP('Données projet'!$B$9,Paramètres!$A$1:$I$89,5,0)</f>
        <v>124.24480000000007</v>
      </c>
      <c r="P95" s="14">
        <f t="shared" si="87"/>
        <v>32.663017323062</v>
      </c>
      <c r="Q95" s="22">
        <f t="shared" si="54"/>
        <v>273.28111517099973</v>
      </c>
      <c r="R95" s="60">
        <f t="shared" si="55"/>
        <v>538.7634409431962</v>
      </c>
      <c r="S95" s="60">
        <f ca="1">AVERAGE(OFFSET($R$3,0,0,'Données projet'!$E$9+1,1))-AVERAGE(OFFSET($H$3,0,0,'Données projet'!$E$9+1,1))</f>
        <v>291.44524568678776</v>
      </c>
      <c r="T95" s="60">
        <f t="shared" si="88"/>
        <v>136.43373205899937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1.2800000000000069</v>
      </c>
      <c r="AI95" s="14">
        <f>IF('Données projet'!$A$62&gt;35,AI94+AH95-AQ94,IF(A95&lt;'Données projet'!$A$62,$AF$205^A95,IF(A95='Données projet'!$A$62,'Données projet'!$B$62,AI94+AH95-AQ94)))</f>
        <v>307.45999999999975</v>
      </c>
      <c r="AJ95" s="14">
        <f>AI95*VLOOKUP('Données projet'!$B$10,Paramètres!$A$1:$I$89,3,0)*VLOOKUP('Données projet'!$B$10,Paramètres!$A$1:$I$89,5,0)</f>
        <v>159.87919999999988</v>
      </c>
      <c r="AK95" s="14">
        <f t="shared" si="89"/>
        <v>40.815267431915544</v>
      </c>
      <c r="AL95" s="22">
        <f t="shared" si="58"/>
        <v>349.54286411058598</v>
      </c>
      <c r="AM95" s="60">
        <f t="shared" si="59"/>
        <v>615.02518988278257</v>
      </c>
      <c r="AN95" s="60">
        <f ca="1">AVERAGE(OFFSET($AM$3,0,0,'Données projet'!$E$10+1,1))-AVERAGE(OFFSET($H$3,0,0,'Données projet'!$E$10+1,1))</f>
        <v>300.72820267660154</v>
      </c>
      <c r="AO95" s="60">
        <f t="shared" si="90"/>
        <v>228.35388778608589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221.18884567967481</v>
      </c>
      <c r="BJ95" s="60">
        <f t="shared" si="92"/>
        <v>189.31596996710888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1.4583333333333344</v>
      </c>
      <c r="BY95" s="13">
        <f>IF('Données projet'!$A$114&gt;35,BY94+BX95-CG94,IF(A95&lt;'Données projet'!$A$114,$BV$205^A95,IF(A95='Données projet'!$A$114,'Données projet'!$B$114,BY94+BX95-CG94)))</f>
        <v>100.15833333333329</v>
      </c>
      <c r="BZ95" s="14">
        <f>BY95*VLOOKUP('Données projet'!$B$12,Paramètres!$A$1:$I$89,3,0)*VLOOKUP('Données projet'!$B$12,Paramètres!$A$1:$I$89,5,0)</f>
        <v>115.38239999999995</v>
      </c>
      <c r="CA95" s="14">
        <f t="shared" si="93"/>
        <v>30.59557273099043</v>
      </c>
      <c r="CB95" s="22">
        <f t="shared" si="64"/>
        <v>254.24496917314158</v>
      </c>
      <c r="CC95" s="60">
        <f t="shared" si="65"/>
        <v>519.72729494533814</v>
      </c>
      <c r="CD95" s="60">
        <f ca="1">AVERAGE(OFFSET($CC$3,0,0,'Données projet'!$E$12+1,1))-AVERAGE(OFFSET($H$3,0,0,'Données projet'!$E$12+1,1))</f>
        <v>314.72063458462026</v>
      </c>
      <c r="CE95" s="60">
        <f t="shared" si="94"/>
        <v>216.4380325968244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3.7</v>
      </c>
      <c r="CT95" s="13">
        <f>IF('Données projet'!$A$140&gt;35,CT94+CS95-DB94,IF(A95&lt;'Données projet'!$A$140,$CQ$205^A95,IF(A95='Données projet'!$A$140,'Données projet'!$B$140,CT94+CS95-DB94)))</f>
        <v>214.39999999999992</v>
      </c>
      <c r="CU95" s="18">
        <f>CT95*VLOOKUP('Données projet'!$B$13,Paramètres!$A$1:$I$89,3,0)*VLOOKUP('Données projet'!$B$13,Paramètres!$A$1:$I$89,5,0)</f>
        <v>230.78015999999988</v>
      </c>
      <c r="CV95" s="14">
        <f t="shared" si="95"/>
        <v>56.451337103640839</v>
      </c>
      <c r="CW95" s="22">
        <f t="shared" si="67"/>
        <v>500.26152412217425</v>
      </c>
      <c r="CX95" s="60">
        <f t="shared" si="68"/>
        <v>765.74384989437078</v>
      </c>
      <c r="CY95" s="60">
        <f ca="1">AVERAGE(OFFSET($CX$3,0,0,'Données projet'!$E$13+1,1))-AVERAGE(OFFSET($H$3,0,0,'Données projet'!$E$13+1,1))</f>
        <v>465.51503238626822</v>
      </c>
      <c r="CZ95" s="60">
        <f t="shared" si="96"/>
        <v>205.55320107663496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</v>
      </c>
      <c r="DO95" s="13">
        <f>IF('Données projet'!$A$166&gt;35,DO94+DN95-DW94,IF(A95&lt;'Données projet'!$A$166,$DL$205^A95,IF(A95='Données projet'!$A$166,'Données projet'!$B$166,DO94+DN95-DW94)))</f>
        <v>214.39999999999992</v>
      </c>
      <c r="DP95" s="18">
        <f>DO95*VLOOKUP('Données projet'!$B$14,Paramètres!$A$1:$I$89,3,0)*VLOOKUP('Données projet'!$B$14,Paramètres!$A$1:$I$89,5,0)</f>
        <v>183.95519999999993</v>
      </c>
      <c r="DQ95" s="14">
        <f t="shared" si="97"/>
        <v>46.201029058683226</v>
      </c>
      <c r="DR95" s="22">
        <f t="shared" si="70"/>
        <v>400.85543227720649</v>
      </c>
      <c r="DS95" s="60">
        <f t="shared" si="71"/>
        <v>666.33775804940296</v>
      </c>
      <c r="DT95" s="60">
        <f ca="1">AVERAGE(OFFSET($DS$3,0,0,'Données projet'!$E$14+1,1))-AVERAGE(OFFSET($H$3,0,0,'Données projet'!$E$14+1,1))</f>
        <v>393.79546872270964</v>
      </c>
      <c r="DU95" s="60">
        <f t="shared" si="98"/>
        <v>179.7333990060757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135.66666666666666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4.9709401709401737</v>
      </c>
      <c r="N96" s="14">
        <f>IF('Données projet'!$A$36&gt;35,N95+M96-V95,IF(A96&lt;'Données projet'!$A$36,$K$205^A96,IF(A96='Données projet'!$A$36,'Données projet'!$B$36,N95+M96-V95)))</f>
        <v>270.45128205128225</v>
      </c>
      <c r="O96" s="14">
        <f>N96*VLOOKUP('Données projet'!$B$9,Paramètres!$A$1:$I$89,3,0)*VLOOKUP('Données projet'!$B$9,Paramètres!$A$1:$I$89,5,0)</f>
        <v>126.57120000000009</v>
      </c>
      <c r="P96" s="14">
        <f t="shared" si="87"/>
        <v>33.202836007339634</v>
      </c>
      <c r="Q96" s="22">
        <f t="shared" si="54"/>
        <v>278.27311271278336</v>
      </c>
      <c r="R96" s="60">
        <f t="shared" si="55"/>
        <v>544.23859120064071</v>
      </c>
      <c r="S96" s="60">
        <f ca="1">AVERAGE(OFFSET($R$3,0,0,'Données projet'!$E$9+1,1))-AVERAGE(OFFSET($H$3,0,0,'Données projet'!$E$9+1,1))</f>
        <v>291.44524568678776</v>
      </c>
      <c r="T96" s="60">
        <f t="shared" si="88"/>
        <v>136.43373205899937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1.2800000000000069</v>
      </c>
      <c r="AI96" s="14">
        <f>IF('Données projet'!$A$62&gt;35,AI95+AH96-AQ95,IF(A96&lt;'Données projet'!$A$62,$AF$205^A96,IF(A96='Données projet'!$A$62,'Données projet'!$B$62,AI95+AH96-AQ95)))</f>
        <v>308.73999999999978</v>
      </c>
      <c r="AJ96" s="14">
        <f>AI96*VLOOKUP('Données projet'!$B$10,Paramètres!$A$1:$I$89,3,0)*VLOOKUP('Données projet'!$B$10,Paramètres!$A$1:$I$89,5,0)</f>
        <v>160.5447999999999</v>
      </c>
      <c r="AK96" s="14">
        <f t="shared" si="89"/>
        <v>40.965372246732414</v>
      </c>
      <c r="AL96" s="22">
        <f t="shared" si="58"/>
        <v>350.96354999639215</v>
      </c>
      <c r="AM96" s="60">
        <f t="shared" si="59"/>
        <v>616.92902848424956</v>
      </c>
      <c r="AN96" s="60">
        <f ca="1">AVERAGE(OFFSET($AM$3,0,0,'Données projet'!$E$10+1,1))-AVERAGE(OFFSET($H$3,0,0,'Données projet'!$E$10+1,1))</f>
        <v>300.72820267660154</v>
      </c>
      <c r="AO96" s="60">
        <f t="shared" si="90"/>
        <v>228.35388778608589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221.18884567967481</v>
      </c>
      <c r="BJ96" s="60">
        <f t="shared" si="92"/>
        <v>189.31596996710888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1.4583333333333344</v>
      </c>
      <c r="BY96" s="13">
        <f>IF('Données projet'!$A$114&gt;35,BY95+BX96-CG95,IF(A96&lt;'Données projet'!$A$114,$BV$205^A96,IF(A96='Données projet'!$A$114,'Données projet'!$B$114,BY95+BX96-CG95)))</f>
        <v>101.61666666666662</v>
      </c>
      <c r="BZ96" s="14">
        <f>BY96*VLOOKUP('Données projet'!$B$12,Paramètres!$A$1:$I$89,3,0)*VLOOKUP('Données projet'!$B$12,Paramètres!$A$1:$I$89,5,0)</f>
        <v>117.06239999999994</v>
      </c>
      <c r="CA96" s="14">
        <f t="shared" si="93"/>
        <v>30.988867171899123</v>
      </c>
      <c r="CB96" s="22">
        <f t="shared" si="64"/>
        <v>257.85595699105755</v>
      </c>
      <c r="CC96" s="60">
        <f t="shared" si="65"/>
        <v>523.82143547891496</v>
      </c>
      <c r="CD96" s="60">
        <f ca="1">AVERAGE(OFFSET($CC$3,0,0,'Données projet'!$E$12+1,1))-AVERAGE(OFFSET($H$3,0,0,'Données projet'!$E$12+1,1))</f>
        <v>314.72063458462026</v>
      </c>
      <c r="CE96" s="60">
        <f t="shared" si="94"/>
        <v>216.4380325968244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3.7</v>
      </c>
      <c r="CT96" s="13">
        <f>IF('Données projet'!$A$140&gt;35,CT95+CS96-DB95,IF(A96&lt;'Données projet'!$A$140,$CQ$205^A96,IF(A96='Données projet'!$A$140,'Données projet'!$B$140,CT95+CS96-DB95)))</f>
        <v>218.09999999999991</v>
      </c>
      <c r="CU96" s="18">
        <f>CT96*VLOOKUP('Données projet'!$B$13,Paramètres!$A$1:$I$89,3,0)*VLOOKUP('Données projet'!$B$13,Paramètres!$A$1:$I$89,5,0)</f>
        <v>234.76283999999987</v>
      </c>
      <c r="CV96" s="14">
        <f t="shared" si="95"/>
        <v>57.311287189733584</v>
      </c>
      <c r="CW96" s="22">
        <f t="shared" si="67"/>
        <v>508.69577152211906</v>
      </c>
      <c r="CX96" s="60">
        <f t="shared" si="68"/>
        <v>774.66125000997647</v>
      </c>
      <c r="CY96" s="60">
        <f ca="1">AVERAGE(OFFSET($CX$3,0,0,'Données projet'!$E$13+1,1))-AVERAGE(OFFSET($H$3,0,0,'Données projet'!$E$13+1,1))</f>
        <v>465.51503238626822</v>
      </c>
      <c r="CZ96" s="60">
        <f t="shared" si="96"/>
        <v>205.55320107663496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</v>
      </c>
      <c r="DO96" s="13">
        <f>IF('Données projet'!$A$166&gt;35,DO95+DN96-DW95,IF(A96&lt;'Données projet'!$A$166,$DL$205^A96,IF(A96='Données projet'!$A$166,'Données projet'!$B$166,DO95+DN96-DW95)))</f>
        <v>218.09999999999991</v>
      </c>
      <c r="DP96" s="18">
        <f>DO96*VLOOKUP('Données projet'!$B$14,Paramètres!$A$1:$I$89,3,0)*VLOOKUP('Données projet'!$B$14,Paramètres!$A$1:$I$89,5,0)</f>
        <v>187.12979999999993</v>
      </c>
      <c r="DQ96" s="14">
        <f t="shared" si="97"/>
        <v>46.904831323696818</v>
      </c>
      <c r="DR96" s="22">
        <f t="shared" si="70"/>
        <v>407.61031622210515</v>
      </c>
      <c r="DS96" s="60">
        <f t="shared" si="71"/>
        <v>673.57579470996257</v>
      </c>
      <c r="DT96" s="60">
        <f ca="1">AVERAGE(OFFSET($DS$3,0,0,'Données projet'!$E$14+1,1))-AVERAGE(OFFSET($H$3,0,0,'Données projet'!$E$14+1,1))</f>
        <v>393.79546872270964</v>
      </c>
      <c r="DU96" s="60">
        <f t="shared" si="98"/>
        <v>179.7333990060757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135.66666666666666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4.9709401709401737</v>
      </c>
      <c r="N97" s="14">
        <f>IF('Données projet'!$A$36&gt;35,N96+M97-V96,IF(A97&lt;'Données projet'!$A$36,$K$205^A97,IF(A97='Données projet'!$A$36,'Données projet'!$B$36,N96+M97-V96)))</f>
        <v>275.42222222222244</v>
      </c>
      <c r="O97" s="14">
        <f>N97*VLOOKUP('Données projet'!$B$9,Paramètres!$A$1:$I$89,3,0)*VLOOKUP('Données projet'!$B$9,Paramètres!$A$1:$I$89,5,0)</f>
        <v>128.8976000000001</v>
      </c>
      <c r="P97" s="14">
        <f t="shared" si="87"/>
        <v>33.741500941541894</v>
      </c>
      <c r="Q97" s="22">
        <f t="shared" si="54"/>
        <v>283.26310080651893</v>
      </c>
      <c r="R97" s="60">
        <f t="shared" si="55"/>
        <v>549.70335039058818</v>
      </c>
      <c r="S97" s="60">
        <f ca="1">AVERAGE(OFFSET($R$3,0,0,'Données projet'!$E$9+1,1))-AVERAGE(OFFSET($H$3,0,0,'Données projet'!$E$9+1,1))</f>
        <v>291.44524568678776</v>
      </c>
      <c r="T97" s="60">
        <f t="shared" si="88"/>
        <v>136.43373205899937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1.2800000000000069</v>
      </c>
      <c r="AI97" s="14">
        <f>IF('Données projet'!$A$62&gt;35,AI96+AH97-AQ96,IF(A97&lt;'Données projet'!$A$62,$AF$205^A97,IF(A97='Données projet'!$A$62,'Données projet'!$B$62,AI96+AH97-AQ96)))</f>
        <v>310.01999999999981</v>
      </c>
      <c r="AJ97" s="14">
        <f>AI97*VLOOKUP('Données projet'!$B$10,Paramètres!$A$1:$I$89,3,0)*VLOOKUP('Données projet'!$B$10,Paramètres!$A$1:$I$89,5,0)</f>
        <v>161.21039999999991</v>
      </c>
      <c r="AK97" s="14">
        <f t="shared" si="89"/>
        <v>41.115404641102025</v>
      </c>
      <c r="AL97" s="22">
        <f t="shared" si="58"/>
        <v>352.38410974991922</v>
      </c>
      <c r="AM97" s="60">
        <f t="shared" si="59"/>
        <v>618.82435933398847</v>
      </c>
      <c r="AN97" s="60">
        <f ca="1">AVERAGE(OFFSET($AM$3,0,0,'Données projet'!$E$10+1,1))-AVERAGE(OFFSET($H$3,0,0,'Données projet'!$E$10+1,1))</f>
        <v>300.72820267660154</v>
      </c>
      <c r="AO97" s="60">
        <f t="shared" si="90"/>
        <v>228.35388778608589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221.18884567967481</v>
      </c>
      <c r="BJ97" s="60">
        <f t="shared" si="92"/>
        <v>189.31596996710888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1.4583333333333344</v>
      </c>
      <c r="BY97" s="13">
        <f>IF('Données projet'!$A$114&gt;35,BY96+BX97-CG96,IF(A97&lt;'Données projet'!$A$114,$BV$205^A97,IF(A97='Données projet'!$A$114,'Données projet'!$B$114,BY96+BX97-CG96)))</f>
        <v>103.07499999999995</v>
      </c>
      <c r="BZ97" s="14">
        <f>BY97*VLOOKUP('Données projet'!$B$12,Paramètres!$A$1:$I$89,3,0)*VLOOKUP('Données projet'!$B$12,Paramètres!$A$1:$I$89,5,0)</f>
        <v>118.74239999999992</v>
      </c>
      <c r="CA97" s="14">
        <f t="shared" si="93"/>
        <v>31.38150514154874</v>
      </c>
      <c r="CB97" s="22">
        <f t="shared" si="64"/>
        <v>261.46580145486388</v>
      </c>
      <c r="CC97" s="60">
        <f t="shared" si="65"/>
        <v>527.90605103893313</v>
      </c>
      <c r="CD97" s="60">
        <f ca="1">AVERAGE(OFFSET($CC$3,0,0,'Données projet'!$E$12+1,1))-AVERAGE(OFFSET($H$3,0,0,'Données projet'!$E$12+1,1))</f>
        <v>314.72063458462026</v>
      </c>
      <c r="CE97" s="60">
        <f t="shared" si="94"/>
        <v>216.4380325968244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3.7</v>
      </c>
      <c r="CT97" s="13">
        <f>IF('Données projet'!$A$140&gt;35,CT96+CS97-DB96,IF(A97&lt;'Données projet'!$A$140,$CQ$205^A97,IF(A97='Données projet'!$A$140,'Données projet'!$B$140,CT96+CS97-DB96)))</f>
        <v>221.7999999999999</v>
      </c>
      <c r="CU97" s="18">
        <f>CT97*VLOOKUP('Données projet'!$B$13,Paramètres!$A$1:$I$89,3,0)*VLOOKUP('Données projet'!$B$13,Paramètres!$A$1:$I$89,5,0)</f>
        <v>238.74551999999989</v>
      </c>
      <c r="CV97" s="14">
        <f t="shared" si="95"/>
        <v>58.169540730060781</v>
      </c>
      <c r="CW97" s="22">
        <f t="shared" si="67"/>
        <v>517.12706410485566</v>
      </c>
      <c r="CX97" s="60">
        <f t="shared" si="68"/>
        <v>783.56731368892486</v>
      </c>
      <c r="CY97" s="60">
        <f ca="1">AVERAGE(OFFSET($CX$3,0,0,'Données projet'!$E$13+1,1))-AVERAGE(OFFSET($H$3,0,0,'Données projet'!$E$13+1,1))</f>
        <v>465.51503238626822</v>
      </c>
      <c r="CZ97" s="60">
        <f t="shared" si="96"/>
        <v>205.55320107663496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</v>
      </c>
      <c r="DO97" s="13">
        <f>IF('Données projet'!$A$166&gt;35,DO96+DN97-DW96,IF(A97&lt;'Données projet'!$A$166,$DL$205^A97,IF(A97='Données projet'!$A$166,'Données projet'!$B$166,DO96+DN97-DW96)))</f>
        <v>221.7999999999999</v>
      </c>
      <c r="DP97" s="18">
        <f>DO97*VLOOKUP('Données projet'!$B$14,Paramètres!$A$1:$I$89,3,0)*VLOOKUP('Données projet'!$B$14,Paramètres!$A$1:$I$89,5,0)</f>
        <v>190.30439999999993</v>
      </c>
      <c r="DQ97" s="14">
        <f t="shared" si="97"/>
        <v>47.607245097945885</v>
      </c>
      <c r="DR97" s="22">
        <f t="shared" si="70"/>
        <v>414.36278187892225</v>
      </c>
      <c r="DS97" s="60">
        <f t="shared" si="71"/>
        <v>680.80303146299138</v>
      </c>
      <c r="DT97" s="60">
        <f ca="1">AVERAGE(OFFSET($DS$3,0,0,'Données projet'!$E$14+1,1))-AVERAGE(OFFSET($H$3,0,0,'Données projet'!$E$14+1,1))</f>
        <v>393.79546872270964</v>
      </c>
      <c r="DU97" s="60">
        <f t="shared" si="98"/>
        <v>179.7333990060757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135.66666666666666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4.9709401709401737</v>
      </c>
      <c r="N98" s="14">
        <f>IF('Données projet'!$A$36&gt;35,N97+M98-V97,IF(A98&lt;'Données projet'!$A$36,$K$205^A98,IF(A98='Données projet'!$A$36,'Données projet'!$B$36,N97+M98-V97)))</f>
        <v>280.39316239316264</v>
      </c>
      <c r="O98" s="14">
        <f>N98*VLOOKUP('Données projet'!$B$9,Paramètres!$A$1:$I$89,3,0)*VLOOKUP('Données projet'!$B$9,Paramètres!$A$1:$I$89,5,0)</f>
        <v>131.2240000000001</v>
      </c>
      <c r="P98" s="14">
        <f t="shared" si="87"/>
        <v>34.279035351034544</v>
      </c>
      <c r="Q98" s="22">
        <f t="shared" si="54"/>
        <v>288.25111990305203</v>
      </c>
      <c r="R98" s="60">
        <f t="shared" si="55"/>
        <v>555.15790436624297</v>
      </c>
      <c r="S98" s="60">
        <f ca="1">AVERAGE(OFFSET($R$3,0,0,'Données projet'!$E$9+1,1))-AVERAGE(OFFSET($H$3,0,0,'Données projet'!$E$9+1,1))</f>
        <v>291.44524568678776</v>
      </c>
      <c r="T98" s="60">
        <f t="shared" si="88"/>
        <v>136.43373205899937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311.3</v>
      </c>
      <c r="AG98" s="13">
        <f>VLOOKUP(A98,'Données projet'!$A$61:$I$81,9,0)</f>
        <v>1.2800000000000069</v>
      </c>
      <c r="AH98" s="13">
        <f t="array" ref="AH98">INDEX(AG:AG,MIN(IF(ISNUMBER(AG98:AG294),ROW(AG98:AG294),"")))</f>
        <v>1.2800000000000069</v>
      </c>
      <c r="AI98" s="14">
        <f>IF('Données projet'!$A$62&gt;35,AI97+AH98-AQ97,IF(A98&lt;'Données projet'!$A$62,$AF$205^A98,IF(A98='Données projet'!$A$62,'Données projet'!$B$62,AI97+AH98-AQ97)))</f>
        <v>311.29999999999984</v>
      </c>
      <c r="AJ98" s="14">
        <f>AI98*VLOOKUP('Données projet'!$B$10,Paramètres!$A$1:$I$89,3,0)*VLOOKUP('Données projet'!$B$10,Paramètres!$A$1:$I$89,5,0)</f>
        <v>161.87599999999992</v>
      </c>
      <c r="AK98" s="14">
        <f t="shared" si="89"/>
        <v>41.265364948757565</v>
      </c>
      <c r="AL98" s="22">
        <f t="shared" si="58"/>
        <v>353.80454395241924</v>
      </c>
      <c r="AM98" s="60">
        <f t="shared" si="59"/>
        <v>620.71132841561007</v>
      </c>
      <c r="AN98" s="60">
        <f ca="1">AVERAGE(OFFSET($AM$3,0,0,'Données projet'!$E$10+1,1))-AVERAGE(OFFSET($H$3,0,0,'Données projet'!$E$10+1,1))</f>
        <v>300.72820267660154</v>
      </c>
      <c r="AO98" s="60">
        <f t="shared" si="90"/>
        <v>228.35388778608589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221.18884567967481</v>
      </c>
      <c r="BJ98" s="60">
        <f t="shared" si="92"/>
        <v>189.31596996710888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1.4583333333333344</v>
      </c>
      <c r="BY98" s="13">
        <f>IF('Données projet'!$A$114&gt;35,BY97+BX98-CG97,IF(A98&lt;'Données projet'!$A$114,$BV$205^A98,IF(A98='Données projet'!$A$114,'Données projet'!$B$114,BY97+BX98-CG97)))</f>
        <v>104.53333333333327</v>
      </c>
      <c r="BZ98" s="14">
        <f>BY98*VLOOKUP('Données projet'!$B$12,Paramètres!$A$1:$I$89,3,0)*VLOOKUP('Données projet'!$B$12,Paramètres!$A$1:$I$89,5,0)</f>
        <v>120.42239999999991</v>
      </c>
      <c r="CA98" s="14">
        <f t="shared" si="93"/>
        <v>31.773497001152442</v>
      </c>
      <c r="CB98" s="22">
        <f t="shared" si="64"/>
        <v>265.07452061034036</v>
      </c>
      <c r="CC98" s="60">
        <f t="shared" si="65"/>
        <v>531.9813050735313</v>
      </c>
      <c r="CD98" s="60">
        <f ca="1">AVERAGE(OFFSET($CC$3,0,0,'Données projet'!$E$12+1,1))-AVERAGE(OFFSET($H$3,0,0,'Données projet'!$E$12+1,1))</f>
        <v>314.72063458462026</v>
      </c>
      <c r="CE98" s="60">
        <f t="shared" si="94"/>
        <v>216.4380325968244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3.7</v>
      </c>
      <c r="CT98" s="13">
        <f>IF('Données projet'!$A$140&gt;35,CT97+CS98-DB97,IF(A98&lt;'Données projet'!$A$140,$CQ$205^A98,IF(A98='Données projet'!$A$140,'Données projet'!$B$140,CT97+CS98-DB97)))</f>
        <v>225.49999999999989</v>
      </c>
      <c r="CU98" s="18">
        <f>CT98*VLOOKUP('Données projet'!$B$13,Paramètres!$A$1:$I$89,3,0)*VLOOKUP('Données projet'!$B$13,Paramètres!$A$1:$I$89,5,0)</f>
        <v>242.72819999999987</v>
      </c>
      <c r="CV98" s="14">
        <f t="shared" si="95"/>
        <v>59.026129292443294</v>
      </c>
      <c r="CW98" s="22">
        <f t="shared" si="67"/>
        <v>525.55545685100515</v>
      </c>
      <c r="CX98" s="60">
        <f t="shared" si="68"/>
        <v>792.46224131419604</v>
      </c>
      <c r="CY98" s="60">
        <f ca="1">AVERAGE(OFFSET($CX$3,0,0,'Données projet'!$E$13+1,1))-AVERAGE(OFFSET($H$3,0,0,'Données projet'!$E$13+1,1))</f>
        <v>465.51503238626822</v>
      </c>
      <c r="CZ98" s="60">
        <f t="shared" si="96"/>
        <v>205.55320107663496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3.7</v>
      </c>
      <c r="DO98" s="13">
        <f>IF('Données projet'!$A$166&gt;35,DO97+DN98-DW97,IF(A98&lt;'Données projet'!$A$166,$DL$205^A98,IF(A98='Données projet'!$A$166,'Données projet'!$B$166,DO97+DN98-DW97)))</f>
        <v>225.49999999999989</v>
      </c>
      <c r="DP98" s="18">
        <f>DO98*VLOOKUP('Données projet'!$B$14,Paramètres!$A$1:$I$89,3,0)*VLOOKUP('Données projet'!$B$14,Paramètres!$A$1:$I$89,5,0)</f>
        <v>193.47899999999993</v>
      </c>
      <c r="DQ98" s="14">
        <f t="shared" si="97"/>
        <v>48.308296217236688</v>
      </c>
      <c r="DR98" s="22">
        <f t="shared" si="70"/>
        <v>421.11287424502046</v>
      </c>
      <c r="DS98" s="60">
        <f t="shared" si="71"/>
        <v>688.01965870821141</v>
      </c>
      <c r="DT98" s="60">
        <f ca="1">AVERAGE(OFFSET($DS$3,0,0,'Données projet'!$E$14+1,1))-AVERAGE(OFFSET($H$3,0,0,'Données projet'!$E$14+1,1))</f>
        <v>393.79546872270964</v>
      </c>
      <c r="DU98" s="60">
        <f t="shared" si="98"/>
        <v>179.7333990060757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135.66666666666666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4.9709401709401737</v>
      </c>
      <c r="N99" s="14">
        <f>IF('Données projet'!$A$36&gt;35,N98+M99-V98,IF(A99&lt;'Données projet'!$A$36,$K$205^A99,IF(A99='Données projet'!$A$36,'Données projet'!$B$36,N98+M99-V98)))</f>
        <v>285.36410256410284</v>
      </c>
      <c r="O99" s="14">
        <f>N99*VLOOKUP('Données projet'!$B$9,Paramètres!$A$1:$I$89,3,0)*VLOOKUP('Données projet'!$B$9,Paramètres!$A$1:$I$89,5,0)</f>
        <v>133.55040000000011</v>
      </c>
      <c r="P99" s="14">
        <f t="shared" si="87"/>
        <v>34.81546159051755</v>
      </c>
      <c r="Q99" s="22">
        <f t="shared" ref="Q99:Q130" si="107">(O99+P99)*0.475*44/12</f>
        <v>293.23720893681826</v>
      </c>
      <c r="R99" s="60">
        <f t="shared" si="55"/>
        <v>560.60243494199381</v>
      </c>
      <c r="S99" s="60">
        <f ca="1">AVERAGE(OFFSET($R$3,0,0,'Données projet'!$E$9+1,1))-AVERAGE(OFFSET($H$3,0,0,'Données projet'!$E$9+1,1))</f>
        <v>291.44524568678776</v>
      </c>
      <c r="T99" s="60">
        <f t="shared" si="88"/>
        <v>136.43373205899937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1.0399999999999978</v>
      </c>
      <c r="AI99" s="14">
        <f>IF('Données projet'!$A$62&gt;35,AI98+AH99-AQ98,IF(A99&lt;'Données projet'!$A$62,$AF$205^A99,IF(A99='Données projet'!$A$62,'Données projet'!$B$62,AI98+AH99-AQ98)))</f>
        <v>312.33999999999986</v>
      </c>
      <c r="AJ99" s="14">
        <f>AI99*VLOOKUP('Données projet'!$B$10,Paramètres!$A$1:$I$89,3,0)*VLOOKUP('Données projet'!$B$10,Paramètres!$A$1:$I$89,5,0)</f>
        <v>162.41679999999994</v>
      </c>
      <c r="AK99" s="14">
        <f t="shared" si="89"/>
        <v>41.387154847720005</v>
      </c>
      <c r="AL99" s="22">
        <f t="shared" si="58"/>
        <v>354.95855469311226</v>
      </c>
      <c r="AM99" s="60">
        <f t="shared" si="59"/>
        <v>622.32378069828781</v>
      </c>
      <c r="AN99" s="60">
        <f ca="1">AVERAGE(OFFSET($AM$3,0,0,'Données projet'!$E$10+1,1))-AVERAGE(OFFSET($H$3,0,0,'Données projet'!$E$10+1,1))</f>
        <v>300.72820267660154</v>
      </c>
      <c r="AO99" s="60">
        <f t="shared" si="90"/>
        <v>228.35388778608589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221.18884567967481</v>
      </c>
      <c r="BJ99" s="60">
        <f t="shared" si="92"/>
        <v>189.31596996710888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1.4583333333333344</v>
      </c>
      <c r="BY99" s="13">
        <f>IF('Données projet'!$A$114&gt;35,BY98+BX99-CG98,IF(A99&lt;'Données projet'!$A$114,$BV$205^A99,IF(A99='Données projet'!$A$114,'Données projet'!$B$114,BY98+BX99-CG98)))</f>
        <v>105.9916666666666</v>
      </c>
      <c r="BZ99" s="14">
        <f>BY99*VLOOKUP('Données projet'!$B$12,Paramètres!$A$1:$I$89,3,0)*VLOOKUP('Données projet'!$B$12,Paramètres!$A$1:$I$89,5,0)</f>
        <v>122.10239999999992</v>
      </c>
      <c r="CA99" s="14">
        <f t="shared" si="93"/>
        <v>32.164852806220239</v>
      </c>
      <c r="CB99" s="22">
        <f t="shared" si="64"/>
        <v>268.68213197083338</v>
      </c>
      <c r="CC99" s="60">
        <f t="shared" si="65"/>
        <v>536.04735797600893</v>
      </c>
      <c r="CD99" s="60">
        <f ca="1">AVERAGE(OFFSET($CC$3,0,0,'Données projet'!$E$12+1,1))-AVERAGE(OFFSET($H$3,0,0,'Données projet'!$E$12+1,1))</f>
        <v>314.72063458462026</v>
      </c>
      <c r="CE99" s="60">
        <f t="shared" si="94"/>
        <v>216.4380325968244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3.7</v>
      </c>
      <c r="CT99" s="13">
        <f>IF('Données projet'!$A$140&gt;35,CT98+CS99-DB98,IF(A99&lt;'Données projet'!$A$140,$CQ$205^A99,IF(A99='Données projet'!$A$140,'Données projet'!$B$140,CT98+CS99-DB98)))</f>
        <v>229.19999999999987</v>
      </c>
      <c r="CU99" s="18">
        <f>CT99*VLOOKUP('Données projet'!$B$13,Paramètres!$A$1:$I$89,3,0)*VLOOKUP('Données projet'!$B$13,Paramètres!$A$1:$I$89,5,0)</f>
        <v>246.71087999999986</v>
      </c>
      <c r="CV99" s="14">
        <f t="shared" si="95"/>
        <v>59.881083349381889</v>
      </c>
      <c r="CW99" s="22">
        <f t="shared" si="67"/>
        <v>533.98100283350652</v>
      </c>
      <c r="CX99" s="60">
        <f t="shared" si="68"/>
        <v>801.34622883868201</v>
      </c>
      <c r="CY99" s="60">
        <f ca="1">AVERAGE(OFFSET($CX$3,0,0,'Données projet'!$E$13+1,1))-AVERAGE(OFFSET($H$3,0,0,'Données projet'!$E$13+1,1))</f>
        <v>465.51503238626822</v>
      </c>
      <c r="CZ99" s="60">
        <f t="shared" si="96"/>
        <v>205.55320107663496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3.7</v>
      </c>
      <c r="DO99" s="13">
        <f>IF('Données projet'!$A$166&gt;35,DO98+DN99-DW98,IF(A99&lt;'Données projet'!$A$166,$DL$205^A99,IF(A99='Données projet'!$A$166,'Données projet'!$B$166,DO98+DN99-DW98)))</f>
        <v>229.19999999999987</v>
      </c>
      <c r="DP99" s="18">
        <f>DO99*VLOOKUP('Données projet'!$B$14,Paramètres!$A$1:$I$89,3,0)*VLOOKUP('Données projet'!$B$14,Paramètres!$A$1:$I$89,5,0)</f>
        <v>196.65359999999993</v>
      </c>
      <c r="DQ99" s="14">
        <f t="shared" si="97"/>
        <v>49.008009620941195</v>
      </c>
      <c r="DR99" s="22">
        <f t="shared" si="70"/>
        <v>427.86063675647239</v>
      </c>
      <c r="DS99" s="60">
        <f t="shared" si="71"/>
        <v>695.22586276164793</v>
      </c>
      <c r="DT99" s="60">
        <f ca="1">AVERAGE(OFFSET($DS$3,0,0,'Données projet'!$E$14+1,1))-AVERAGE(OFFSET($H$3,0,0,'Données projet'!$E$14+1,1))</f>
        <v>393.79546872270964</v>
      </c>
      <c r="DU99" s="60">
        <f t="shared" si="98"/>
        <v>179.7333990060757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135.66666666666666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4.9709401709401737</v>
      </c>
      <c r="N100" s="14">
        <f>IF('Données projet'!$A$36&gt;35,N99+M100-V99,IF(A100&lt;'Données projet'!$A$36,$K$205^A100,IF(A100='Données projet'!$A$36,'Données projet'!$B$36,N99+M100-V99)))</f>
        <v>290.33504273504303</v>
      </c>
      <c r="O100" s="14">
        <f>N100*VLOOKUP('Données projet'!$B$9,Paramètres!$A$1:$I$89,3,0)*VLOOKUP('Données projet'!$B$9,Paramètres!$A$1:$I$89,5,0)</f>
        <v>135.87680000000015</v>
      </c>
      <c r="P100" s="14">
        <f t="shared" si="87"/>
        <v>35.350801191252231</v>
      </c>
      <c r="Q100" s="22">
        <f t="shared" si="107"/>
        <v>298.22140540809789</v>
      </c>
      <c r="R100" s="60">
        <f t="shared" si="55"/>
        <v>566.03712001942642</v>
      </c>
      <c r="S100" s="60">
        <f ca="1">AVERAGE(OFFSET($R$3,0,0,'Données projet'!$E$9+1,1))-AVERAGE(OFFSET($H$3,0,0,'Données projet'!$E$9+1,1))</f>
        <v>291.44524568678776</v>
      </c>
      <c r="T100" s="60">
        <f t="shared" si="88"/>
        <v>136.43373205899937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1.0399999999999978</v>
      </c>
      <c r="AI100" s="14">
        <f>IF('Données projet'!$A$62&gt;35,AI99+AH100-AQ99,IF(A100&lt;'Données projet'!$A$62,$AF$205^A100,IF(A100='Données projet'!$A$62,'Données projet'!$B$62,AI99+AH100-AQ99)))</f>
        <v>313.37999999999988</v>
      </c>
      <c r="AJ100" s="14">
        <f>AI100*VLOOKUP('Données projet'!$B$10,Paramètres!$A$1:$I$89,3,0)*VLOOKUP('Données projet'!$B$10,Paramètres!$A$1:$I$89,5,0)</f>
        <v>162.95759999999996</v>
      </c>
      <c r="AK100" s="14">
        <f t="shared" si="89"/>
        <v>41.508897552694791</v>
      </c>
      <c r="AL100" s="22">
        <f t="shared" si="58"/>
        <v>356.11248323760998</v>
      </c>
      <c r="AM100" s="60">
        <f t="shared" si="59"/>
        <v>623.92819784893845</v>
      </c>
      <c r="AN100" s="60">
        <f ca="1">AVERAGE(OFFSET($AM$3,0,0,'Données projet'!$E$10+1,1))-AVERAGE(OFFSET($H$3,0,0,'Données projet'!$E$10+1,1))</f>
        <v>300.72820267660154</v>
      </c>
      <c r="AO100" s="60">
        <f t="shared" si="90"/>
        <v>228.35388778608589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221.18884567967481</v>
      </c>
      <c r="BJ100" s="60">
        <f t="shared" si="92"/>
        <v>189.31596996710888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1.4583333333333344</v>
      </c>
      <c r="BY100" s="13">
        <f>IF('Données projet'!$A$114&gt;35,BY99+BX100-CG99,IF(A100&lt;'Données projet'!$A$114,$BV$205^A100,IF(A100='Données projet'!$A$114,'Données projet'!$B$114,BY99+BX100-CG99)))</f>
        <v>107.44999999999993</v>
      </c>
      <c r="BZ100" s="14">
        <f>BY100*VLOOKUP('Données projet'!$B$12,Paramètres!$A$1:$I$89,3,0)*VLOOKUP('Données projet'!$B$12,Paramètres!$A$1:$I$89,5,0)</f>
        <v>123.78239999999991</v>
      </c>
      <c r="CA100" s="14">
        <f t="shared" si="93"/>
        <v>32.555582319658349</v>
      </c>
      <c r="CB100" s="22">
        <f t="shared" si="64"/>
        <v>272.2886525400715</v>
      </c>
      <c r="CC100" s="60">
        <f t="shared" si="65"/>
        <v>540.10436715140008</v>
      </c>
      <c r="CD100" s="60">
        <f ca="1">AVERAGE(OFFSET($CC$3,0,0,'Données projet'!$E$12+1,1))-AVERAGE(OFFSET($H$3,0,0,'Données projet'!$E$12+1,1))</f>
        <v>314.72063458462026</v>
      </c>
      <c r="CE100" s="60">
        <f t="shared" si="94"/>
        <v>216.4380325968244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3.7</v>
      </c>
      <c r="CT100" s="13">
        <f>IF('Données projet'!$A$140&gt;35,CT99+CS100-DB99,IF(A100&lt;'Données projet'!$A$140,$CQ$205^A100,IF(A100='Données projet'!$A$140,'Données projet'!$B$140,CT99+CS100-DB99)))</f>
        <v>232.89999999999986</v>
      </c>
      <c r="CU100" s="18">
        <f>CT100*VLOOKUP('Données projet'!$B$13,Paramètres!$A$1:$I$89,3,0)*VLOOKUP('Données projet'!$B$13,Paramètres!$A$1:$I$89,5,0)</f>
        <v>250.69355999999982</v>
      </c>
      <c r="CV100" s="14">
        <f t="shared" si="95"/>
        <v>60.734432333118377</v>
      </c>
      <c r="CW100" s="22">
        <f t="shared" si="67"/>
        <v>542.40375331351413</v>
      </c>
      <c r="CX100" s="60">
        <f t="shared" si="68"/>
        <v>810.21946792484266</v>
      </c>
      <c r="CY100" s="60">
        <f ca="1">AVERAGE(OFFSET($CX$3,0,0,'Données projet'!$E$13+1,1))-AVERAGE(OFFSET($H$3,0,0,'Données projet'!$E$13+1,1))</f>
        <v>465.51503238626822</v>
      </c>
      <c r="CZ100" s="60">
        <f t="shared" si="96"/>
        <v>205.55320107663496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3.7</v>
      </c>
      <c r="DO100" s="13">
        <f>IF('Données projet'!$A$166&gt;35,DO99+DN100-DW99,IF(A100&lt;'Données projet'!$A$166,$DL$205^A100,IF(A100='Données projet'!$A$166,'Données projet'!$B$166,DO99+DN100-DW99)))</f>
        <v>232.89999999999986</v>
      </c>
      <c r="DP100" s="18">
        <f>DO100*VLOOKUP('Données projet'!$B$14,Paramètres!$A$1:$I$89,3,0)*VLOOKUP('Données projet'!$B$14,Paramètres!$A$1:$I$89,5,0)</f>
        <v>199.82819999999992</v>
      </c>
      <c r="DQ100" s="14">
        <f t="shared" si="97"/>
        <v>49.706409397060312</v>
      </c>
      <c r="DR100" s="22">
        <f t="shared" si="70"/>
        <v>434.6061113665466</v>
      </c>
      <c r="DS100" s="60">
        <f t="shared" si="71"/>
        <v>702.42182597787519</v>
      </c>
      <c r="DT100" s="60">
        <f ca="1">AVERAGE(OFFSET($DS$3,0,0,'Données projet'!$E$14+1,1))-AVERAGE(OFFSET($H$3,0,0,'Données projet'!$E$14+1,1))</f>
        <v>393.79546872270964</v>
      </c>
      <c r="DU100" s="60">
        <f t="shared" si="98"/>
        <v>179.7333990060757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135.66666666666666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4.9709401709401737</v>
      </c>
      <c r="N101" s="14">
        <f>IF('Données projet'!$A$36&gt;35,N100+M101-V100,IF(A101&lt;'Données projet'!$A$36,$K$205^A101,IF(A101='Données projet'!$A$36,'Données projet'!$B$36,N100+M101-V100)))</f>
        <v>295.30598290598323</v>
      </c>
      <c r="O101" s="14">
        <f>N101*VLOOKUP('Données projet'!$B$9,Paramètres!$A$1:$I$89,3,0)*VLOOKUP('Données projet'!$B$9,Paramètres!$A$1:$I$89,5,0)</f>
        <v>138.20320000000015</v>
      </c>
      <c r="P101" s="14">
        <f t="shared" si="87"/>
        <v>35.885074904962195</v>
      </c>
      <c r="Q101" s="22">
        <f t="shared" si="107"/>
        <v>303.20374545947607</v>
      </c>
      <c r="R101" s="60">
        <f t="shared" si="55"/>
        <v>571.46213370678242</v>
      </c>
      <c r="S101" s="60">
        <f ca="1">AVERAGE(OFFSET($R$3,0,0,'Données projet'!$E$9+1,1))-AVERAGE(OFFSET($H$3,0,0,'Données projet'!$E$9+1,1))</f>
        <v>291.44524568678776</v>
      </c>
      <c r="T101" s="60">
        <f t="shared" si="88"/>
        <v>136.43373205899937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1.0399999999999978</v>
      </c>
      <c r="AI101" s="14">
        <f>IF('Données projet'!$A$62&gt;35,AI100+AH101-AQ100,IF(A101&lt;'Données projet'!$A$62,$AF$205^A101,IF(A101='Données projet'!$A$62,'Données projet'!$B$62,AI100+AH101-AQ100)))</f>
        <v>314.4199999999999</v>
      </c>
      <c r="AJ101" s="14">
        <f>AI101*VLOOKUP('Données projet'!$B$10,Paramètres!$A$1:$I$89,3,0)*VLOOKUP('Données projet'!$B$10,Paramètres!$A$1:$I$89,5,0)</f>
        <v>163.49839999999998</v>
      </c>
      <c r="AK101" s="14">
        <f t="shared" si="89"/>
        <v>41.63059323850004</v>
      </c>
      <c r="AL101" s="22">
        <f t="shared" si="58"/>
        <v>357.26632989038745</v>
      </c>
      <c r="AM101" s="60">
        <f t="shared" si="59"/>
        <v>625.52471813769375</v>
      </c>
      <c r="AN101" s="60">
        <f ca="1">AVERAGE(OFFSET($AM$3,0,0,'Données projet'!$E$10+1,1))-AVERAGE(OFFSET($H$3,0,0,'Données projet'!$E$10+1,1))</f>
        <v>300.72820267660154</v>
      </c>
      <c r="AO101" s="60">
        <f t="shared" si="90"/>
        <v>228.35388778608589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221.18884567967481</v>
      </c>
      <c r="BJ101" s="60">
        <f t="shared" si="92"/>
        <v>189.31596996710888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1.4583333333333344</v>
      </c>
      <c r="BY101" s="13">
        <f>IF('Données projet'!$A$114&gt;35,BY100+BX101-CG100,IF(A101&lt;'Données projet'!$A$114,$BV$205^A101,IF(A101='Données projet'!$A$114,'Données projet'!$B$114,BY100+BX101-CG100)))</f>
        <v>108.90833333333326</v>
      </c>
      <c r="BZ101" s="14">
        <f>BY101*VLOOKUP('Données projet'!$B$12,Paramètres!$A$1:$I$89,3,0)*VLOOKUP('Données projet'!$B$12,Paramètres!$A$1:$I$89,5,0)</f>
        <v>125.4623999999999</v>
      </c>
      <c r="CA101" s="14">
        <f t="shared" si="93"/>
        <v>32.945695024136818</v>
      </c>
      <c r="CB101" s="22">
        <f t="shared" si="64"/>
        <v>275.89409883370479</v>
      </c>
      <c r="CC101" s="60">
        <f t="shared" si="65"/>
        <v>544.15248708101115</v>
      </c>
      <c r="CD101" s="60">
        <f ca="1">AVERAGE(OFFSET($CC$3,0,0,'Données projet'!$E$12+1,1))-AVERAGE(OFFSET($H$3,0,0,'Données projet'!$E$12+1,1))</f>
        <v>314.72063458462026</v>
      </c>
      <c r="CE101" s="60">
        <f t="shared" si="94"/>
        <v>216.4380325968244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3.7</v>
      </c>
      <c r="CT101" s="13">
        <f>IF('Données projet'!$A$140&gt;35,CT100+CS101-DB100,IF(A101&lt;'Données projet'!$A$140,$CQ$205^A101,IF(A101='Données projet'!$A$140,'Données projet'!$B$140,CT100+CS101-DB100)))</f>
        <v>236.59999999999985</v>
      </c>
      <c r="CU101" s="18">
        <f>CT101*VLOOKUP('Données projet'!$B$13,Paramètres!$A$1:$I$89,3,0)*VLOOKUP('Données projet'!$B$13,Paramètres!$A$1:$I$89,5,0)</f>
        <v>254.67623999999981</v>
      </c>
      <c r="CV101" s="14">
        <f t="shared" si="95"/>
        <v>61.58620468709951</v>
      </c>
      <c r="CW101" s="22">
        <f t="shared" si="67"/>
        <v>550.82375783003135</v>
      </c>
      <c r="CX101" s="60">
        <f t="shared" si="68"/>
        <v>819.08214607733771</v>
      </c>
      <c r="CY101" s="60">
        <f ca="1">AVERAGE(OFFSET($CX$3,0,0,'Données projet'!$E$13+1,1))-AVERAGE(OFFSET($H$3,0,0,'Données projet'!$E$13+1,1))</f>
        <v>465.51503238626822</v>
      </c>
      <c r="CZ101" s="60">
        <f t="shared" si="96"/>
        <v>205.55320107663496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3.7</v>
      </c>
      <c r="DO101" s="13">
        <f>IF('Données projet'!$A$166&gt;35,DO100+DN101-DW100,IF(A101&lt;'Données projet'!$A$166,$DL$205^A101,IF(A101='Données projet'!$A$166,'Données projet'!$B$166,DO100+DN101-DW100)))</f>
        <v>236.59999999999985</v>
      </c>
      <c r="DP101" s="18">
        <f>DO101*VLOOKUP('Données projet'!$B$14,Paramètres!$A$1:$I$89,3,0)*VLOOKUP('Données projet'!$B$14,Paramètres!$A$1:$I$89,5,0)</f>
        <v>203.00279999999992</v>
      </c>
      <c r="DQ101" s="14">
        <f t="shared" si="97"/>
        <v>50.403518824343074</v>
      </c>
      <c r="DR101" s="22">
        <f t="shared" si="70"/>
        <v>441.3493386190641</v>
      </c>
      <c r="DS101" s="60">
        <f t="shared" si="71"/>
        <v>709.60772686637051</v>
      </c>
      <c r="DT101" s="60">
        <f ca="1">AVERAGE(OFFSET($DS$3,0,0,'Données projet'!$E$14+1,1))-AVERAGE(OFFSET($H$3,0,0,'Données projet'!$E$14+1,1))</f>
        <v>393.79546872270964</v>
      </c>
      <c r="DU101" s="60">
        <f t="shared" si="98"/>
        <v>179.7333990060757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135.66666666666666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>
        <f>VLOOKUP(A102,'Données projet'!$A$35:$I$55,2,0)</f>
        <v>300.27692307692308</v>
      </c>
      <c r="L102" s="13">
        <f>VLOOKUP(A102,'Données projet'!$A$35:$I$55,9,0)</f>
        <v>4.9709401709401737</v>
      </c>
      <c r="M102" s="13">
        <f t="array" ref="M102">INDEX(L:L,MIN(IF(ISNUMBER(L102:L298),ROW(L102:L298),"")))</f>
        <v>4.9709401709401737</v>
      </c>
      <c r="N102" s="14">
        <f>IF('Données projet'!$A$36&gt;35,N101+M102-V101,IF(A102&lt;'Données projet'!$A$36,$K$205^A102,IF(A102='Données projet'!$A$36,'Données projet'!$B$36,N101+M102-V101)))</f>
        <v>300.27692307692342</v>
      </c>
      <c r="O102" s="14">
        <f>N102*VLOOKUP('Données projet'!$B$9,Paramètres!$A$1:$I$89,3,0)*VLOOKUP('Données projet'!$B$9,Paramètres!$A$1:$I$89,5,0)</f>
        <v>140.52960000000016</v>
      </c>
      <c r="P102" s="14">
        <f t="shared" si="87"/>
        <v>36.418302744694863</v>
      </c>
      <c r="Q102" s="22">
        <f t="shared" si="107"/>
        <v>308.18426394701049</v>
      </c>
      <c r="R102" s="60">
        <f t="shared" si="55"/>
        <v>576.87764643238052</v>
      </c>
      <c r="S102" s="60">
        <f ca="1">AVERAGE(OFFSET($R$3,0,0,'Données projet'!$E$9+1,1))-AVERAGE(OFFSET($H$3,0,0,'Données projet'!$E$9+1,1))</f>
        <v>291.44524568678776</v>
      </c>
      <c r="T102" s="60">
        <f t="shared" si="88"/>
        <v>136.43373205899937</v>
      </c>
      <c r="U102" s="16">
        <f>IF(ISNA(VLOOKUP(A102,'Données projet'!$A$35:$I$55,3,0)),0,VLOOKUP(A102,'Données projet'!$A$35:$I$55,3,0))</f>
        <v>3</v>
      </c>
      <c r="V102" s="16">
        <f>IF(ISNA(VLOOKUP(A102,'Données projet'!$A$35:$I$55,4,0)),0,VLOOKUP(A102,'Données projet'!$A$35:$I$55,4,0))</f>
        <v>62.953846153846158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1.0399999999999978</v>
      </c>
      <c r="AI102" s="14">
        <f>IF('Données projet'!$A$62&gt;35,AI101+AH102-AQ101,IF(A102&lt;'Données projet'!$A$62,$AF$205^A102,IF(A102='Données projet'!$A$62,'Données projet'!$B$62,AI101+AH102-AQ101)))</f>
        <v>315.45999999999992</v>
      </c>
      <c r="AJ102" s="14">
        <f>AI102*VLOOKUP('Données projet'!$B$10,Paramètres!$A$1:$I$89,3,0)*VLOOKUP('Données projet'!$B$10,Paramètres!$A$1:$I$89,5,0)</f>
        <v>164.03919999999997</v>
      </c>
      <c r="AK102" s="14">
        <f t="shared" si="89"/>
        <v>41.752242078730234</v>
      </c>
      <c r="AL102" s="22">
        <f t="shared" si="58"/>
        <v>358.42009495378846</v>
      </c>
      <c r="AM102" s="60">
        <f t="shared" si="59"/>
        <v>627.11347743915849</v>
      </c>
      <c r="AN102" s="60">
        <f ca="1">AVERAGE(OFFSET($AM$3,0,0,'Données projet'!$E$10+1,1))-AVERAGE(OFFSET($H$3,0,0,'Données projet'!$E$10+1,1))</f>
        <v>300.72820267660154</v>
      </c>
      <c r="AO102" s="60">
        <f t="shared" si="90"/>
        <v>228.35388778608589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221.18884567967481</v>
      </c>
      <c r="BJ102" s="60">
        <f t="shared" si="92"/>
        <v>189.31596996710888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1.4583333333333344</v>
      </c>
      <c r="BY102" s="13">
        <f>IF('Données projet'!$A$114&gt;35,BY101+BX102-CG101,IF(A102&lt;'Données projet'!$A$114,$BV$205^A102,IF(A102='Données projet'!$A$114,'Données projet'!$B$114,BY101+BX102-CG101)))</f>
        <v>110.36666666666659</v>
      </c>
      <c r="BZ102" s="14">
        <f>BY102*VLOOKUP('Données projet'!$B$12,Paramètres!$A$1:$I$89,3,0)*VLOOKUP('Données projet'!$B$12,Paramètres!$A$1:$I$89,5,0)</f>
        <v>127.14239999999991</v>
      </c>
      <c r="CA102" s="14">
        <f t="shared" si="93"/>
        <v>33.335200133776368</v>
      </c>
      <c r="CB102" s="22">
        <f t="shared" si="64"/>
        <v>279.49848689966035</v>
      </c>
      <c r="CC102" s="60">
        <f t="shared" si="65"/>
        <v>548.19186938503026</v>
      </c>
      <c r="CD102" s="60">
        <f ca="1">AVERAGE(OFFSET($CC$3,0,0,'Données projet'!$E$12+1,1))-AVERAGE(OFFSET($H$3,0,0,'Données projet'!$E$12+1,1))</f>
        <v>314.72063458462026</v>
      </c>
      <c r="CE102" s="60">
        <f t="shared" si="94"/>
        <v>216.4380325968244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3.7</v>
      </c>
      <c r="CT102" s="13">
        <f>IF('Données projet'!$A$140&gt;35,CT101+CS102-DB101,IF(A102&lt;'Données projet'!$A$140,$CQ$205^A102,IF(A102='Données projet'!$A$140,'Données projet'!$B$140,CT101+CS102-DB101)))</f>
        <v>240.29999999999984</v>
      </c>
      <c r="CU102" s="18">
        <f>CT102*VLOOKUP('Données projet'!$B$13,Paramètres!$A$1:$I$89,3,0)*VLOOKUP('Données projet'!$B$13,Paramètres!$A$1:$I$89,5,0)</f>
        <v>258.6589199999998</v>
      </c>
      <c r="CV102" s="14">
        <f t="shared" si="95"/>
        <v>62.436427914129176</v>
      </c>
      <c r="CW102" s="22">
        <f t="shared" si="67"/>
        <v>559.24106428377456</v>
      </c>
      <c r="CX102" s="60">
        <f t="shared" si="68"/>
        <v>827.93444676914453</v>
      </c>
      <c r="CY102" s="60">
        <f ca="1">AVERAGE(OFFSET($CX$3,0,0,'Données projet'!$E$13+1,1))-AVERAGE(OFFSET($H$3,0,0,'Données projet'!$E$13+1,1))</f>
        <v>465.51503238626822</v>
      </c>
      <c r="CZ102" s="60">
        <f t="shared" si="96"/>
        <v>205.55320107663496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3.7</v>
      </c>
      <c r="DO102" s="13">
        <f>IF('Données projet'!$A$166&gt;35,DO101+DN102-DW101,IF(A102&lt;'Données projet'!$A$166,$DL$205^A102,IF(A102='Données projet'!$A$166,'Données projet'!$B$166,DO101+DN102-DW101)))</f>
        <v>240.29999999999984</v>
      </c>
      <c r="DP102" s="18">
        <f>DO102*VLOOKUP('Données projet'!$B$14,Paramètres!$A$1:$I$89,3,0)*VLOOKUP('Données projet'!$B$14,Paramètres!$A$1:$I$89,5,0)</f>
        <v>206.17739999999989</v>
      </c>
      <c r="DQ102" s="14">
        <f t="shared" si="97"/>
        <v>51.099360411695507</v>
      </c>
      <c r="DR102" s="22">
        <f t="shared" si="70"/>
        <v>448.09035771703617</v>
      </c>
      <c r="DS102" s="60">
        <f t="shared" si="71"/>
        <v>716.78374020240608</v>
      </c>
      <c r="DT102" s="60">
        <f ca="1">AVERAGE(OFFSET($DS$3,0,0,'Données projet'!$E$14+1,1))-AVERAGE(OFFSET($H$3,0,0,'Données projet'!$E$14+1,1))</f>
        <v>393.79546872270964</v>
      </c>
      <c r="DU102" s="60">
        <f t="shared" si="98"/>
        <v>179.7333990060757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135.66666666666666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4.3346153846153808</v>
      </c>
      <c r="N103" s="14">
        <f>IF('Données projet'!$A$36&gt;35,N102+M103-V102,IF(A103&lt;'Données projet'!$A$36,$K$205^A103,IF(A103='Données projet'!$A$36,'Données projet'!$B$36,N102+M103-V102)))</f>
        <v>241.65769230769268</v>
      </c>
      <c r="O103" s="14">
        <f>N103*VLOOKUP('Données projet'!$B$9,Paramètres!$A$1:$I$89,3,0)*VLOOKUP('Données projet'!$B$9,Paramètres!$A$1:$I$89,5,0)</f>
        <v>113.09580000000017</v>
      </c>
      <c r="P103" s="14">
        <f t="shared" si="87"/>
        <v>30.059196809348467</v>
      </c>
      <c r="Q103" s="22">
        <f t="shared" si="107"/>
        <v>249.32828610961553</v>
      </c>
      <c r="R103" s="60">
        <f t="shared" si="55"/>
        <v>518.44911665552013</v>
      </c>
      <c r="S103" s="60">
        <f ca="1">AVERAGE(OFFSET($R$3,0,0,'Données projet'!$E$9+1,1))-AVERAGE(OFFSET($H$3,0,0,'Données projet'!$E$9+1,1))</f>
        <v>291.44524568678776</v>
      </c>
      <c r="T103" s="60">
        <f t="shared" si="88"/>
        <v>136.43373205899937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316.5</v>
      </c>
      <c r="AG103" s="13">
        <f>VLOOKUP(A103,'Données projet'!$A$61:$I$81,9,0)</f>
        <v>1.0399999999999978</v>
      </c>
      <c r="AH103" s="13">
        <f t="array" ref="AH103">INDEX(AG:AG,MIN(IF(ISNUMBER(AG103:AG299),ROW(AG103:AG299),"")))</f>
        <v>1.0399999999999978</v>
      </c>
      <c r="AI103" s="14">
        <f>IF('Données projet'!$A$62&gt;35,AI102+AH103-AQ102,IF(A103&lt;'Données projet'!$A$62,$AF$205^A103,IF(A103='Données projet'!$A$62,'Données projet'!$B$62,AI102+AH103-AQ102)))</f>
        <v>316.49999999999994</v>
      </c>
      <c r="AJ103" s="14">
        <f>AI103*VLOOKUP('Données projet'!$B$10,Paramètres!$A$1:$I$89,3,0)*VLOOKUP('Données projet'!$B$10,Paramètres!$A$1:$I$89,5,0)</f>
        <v>164.57999999999998</v>
      </c>
      <c r="AK103" s="14">
        <f t="shared" si="89"/>
        <v>41.873844245768836</v>
      </c>
      <c r="AL103" s="22">
        <f t="shared" si="58"/>
        <v>359.57377872804733</v>
      </c>
      <c r="AM103" s="60">
        <f t="shared" si="59"/>
        <v>628.69460927395198</v>
      </c>
      <c r="AN103" s="60">
        <f ca="1">AVERAGE(OFFSET($AM$3,0,0,'Données projet'!$E$10+1,1))-AVERAGE(OFFSET($H$3,0,0,'Données projet'!$E$10+1,1))</f>
        <v>300.72820267660154</v>
      </c>
      <c r="AO103" s="60">
        <f t="shared" si="90"/>
        <v>228.35388778608589</v>
      </c>
      <c r="AP103" s="16">
        <f>IF(ISNA(VLOOKUP(A103,'Données projet'!$A$61:$I$81,3,0)),0,VLOOKUP(A103,'Données projet'!$A$61:$I$81,3,0))</f>
        <v>1</v>
      </c>
      <c r="AQ103" s="16">
        <f>IF(ISNA(VLOOKUP(A103,'Données projet'!$A$61:$I$81,4,0)),0,VLOOKUP(A103,'Données projet'!$A$61:$I$81,4,0))</f>
        <v>316.5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221.18884567967481</v>
      </c>
      <c r="BJ103" s="60">
        <f t="shared" si="92"/>
        <v>189.31596996710888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111.825</v>
      </c>
      <c r="BW103" s="13">
        <f>VLOOKUP(A103,'Données projet'!$A$113:$I$133,9,0)</f>
        <v>1.4583333333333344</v>
      </c>
      <c r="BX103" s="13">
        <f t="array" ref="BX103">INDEX(BW:BW,MIN(IF(ISNUMBER(BW103:BW299),ROW(BW103:BW299),"")))</f>
        <v>1.4583333333333344</v>
      </c>
      <c r="BY103" s="13">
        <f>IF('Données projet'!$A$114&gt;35,BY102+BX103-CG102,IF(A103&lt;'Données projet'!$A$114,$BV$205^A103,IF(A103='Données projet'!$A$114,'Données projet'!$B$114,BY102+BX103-CG102)))</f>
        <v>111.82499999999992</v>
      </c>
      <c r="BZ103" s="14">
        <f>BY103*VLOOKUP('Données projet'!$B$12,Paramètres!$A$1:$I$89,3,0)*VLOOKUP('Données projet'!$B$12,Paramètres!$A$1:$I$89,5,0)</f>
        <v>128.8223999999999</v>
      </c>
      <c r="CA103" s="14">
        <f t="shared" si="93"/>
        <v>33.72410660519936</v>
      </c>
      <c r="CB103" s="22">
        <f t="shared" si="64"/>
        <v>283.10183233738871</v>
      </c>
      <c r="CC103" s="60">
        <f t="shared" si="65"/>
        <v>552.22266288329342</v>
      </c>
      <c r="CD103" s="60">
        <f ca="1">AVERAGE(OFFSET($CC$3,0,0,'Données projet'!$E$12+1,1))-AVERAGE(OFFSET($H$3,0,0,'Données projet'!$E$12+1,1))</f>
        <v>314.72063458462026</v>
      </c>
      <c r="CE103" s="60">
        <f t="shared" si="94"/>
        <v>216.4380325968244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9.125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244</v>
      </c>
      <c r="CR103" s="13">
        <f>VLOOKUP(A103,'Données projet'!$A$139:$I$159,9,0)</f>
        <v>3.7</v>
      </c>
      <c r="CS103" s="13">
        <f t="array" ref="CS103">INDEX(CR:CR,MIN(IF(ISNUMBER(CR103:CR299),ROW(CR103:CR299),"")))</f>
        <v>3.7</v>
      </c>
      <c r="CT103" s="13">
        <f>IF('Données projet'!$A$140&gt;35,CT102+CS103-DB102,IF(A103&lt;'Données projet'!$A$140,$CQ$205^A103,IF(A103='Données projet'!$A$140,'Données projet'!$B$140,CT102+CS103-DB102)))</f>
        <v>243.99999999999983</v>
      </c>
      <c r="CU103" s="18">
        <f>CT103*VLOOKUP('Données projet'!$B$13,Paramètres!$A$1:$I$89,3,0)*VLOOKUP('Données projet'!$B$13,Paramètres!$A$1:$I$89,5,0)</f>
        <v>262.64159999999981</v>
      </c>
      <c r="CV103" s="14">
        <f t="shared" si="95"/>
        <v>63.285128621471884</v>
      </c>
      <c r="CW103" s="22">
        <f t="shared" si="67"/>
        <v>567.6557190157298</v>
      </c>
      <c r="CX103" s="60">
        <f t="shared" si="68"/>
        <v>836.77654956163451</v>
      </c>
      <c r="CY103" s="60">
        <f ca="1">AVERAGE(OFFSET($CX$3,0,0,'Données projet'!$E$13+1,1))-AVERAGE(OFFSET($H$3,0,0,'Données projet'!$E$13+1,1))</f>
        <v>465.51503238626822</v>
      </c>
      <c r="CZ103" s="60">
        <f t="shared" si="96"/>
        <v>205.55320107663496</v>
      </c>
      <c r="DA103" s="16">
        <f>IF(ISNA(VLOOKUP(A103,'Données projet'!$A$139:$I$159,3,0)),0,VLOOKUP(A103,'Données projet'!$A$139:$I$159,3,0))</f>
        <v>7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244</v>
      </c>
      <c r="DM103" s="13">
        <f>VLOOKUP(A103,'Données projet'!$A$165:$I$185,9,0)</f>
        <v>3.7</v>
      </c>
      <c r="DN103" s="13">
        <f t="array" ref="DN103">INDEX(DM:DM,MIN(IF(ISNUMBER(DM103:DM299),ROW(DM103:DM299),"")))</f>
        <v>3.7</v>
      </c>
      <c r="DO103" s="13">
        <f>IF('Données projet'!$A$166&gt;35,DO102+DN103-DW102,IF(A103&lt;'Données projet'!$A$166,$DL$205^A103,IF(A103='Données projet'!$A$166,'Données projet'!$B$166,DO102+DN103-DW102)))</f>
        <v>243.99999999999983</v>
      </c>
      <c r="DP103" s="18">
        <f>DO103*VLOOKUP('Données projet'!$B$14,Paramètres!$A$1:$I$89,3,0)*VLOOKUP('Données projet'!$B$14,Paramètres!$A$1:$I$89,5,0)</f>
        <v>209.35199999999986</v>
      </c>
      <c r="DQ103" s="14">
        <f t="shared" si="97"/>
        <v>51.79395593509436</v>
      </c>
      <c r="DR103" s="22">
        <f t="shared" si="70"/>
        <v>454.82920658695576</v>
      </c>
      <c r="DS103" s="60">
        <f t="shared" si="71"/>
        <v>723.95003713286042</v>
      </c>
      <c r="DT103" s="60">
        <f ca="1">AVERAGE(OFFSET($DS$3,0,0,'Données projet'!$E$14+1,1))-AVERAGE(OFFSET($H$3,0,0,'Données projet'!$E$14+1,1))</f>
        <v>393.79546872270964</v>
      </c>
      <c r="DU103" s="60">
        <f t="shared" si="98"/>
        <v>179.7333990060757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135.66666666666666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4.3346153846153808</v>
      </c>
      <c r="N104" s="14">
        <f>IF('Données projet'!$A$36&gt;35,N103+M104-V103,IF(A104&lt;'Données projet'!$A$36,$K$205^A104,IF(A104='Données projet'!$A$36,'Données projet'!$B$36,N103+M104-V103)))</f>
        <v>245.99230769230806</v>
      </c>
      <c r="O104" s="14">
        <f>N104*VLOOKUP('Données projet'!$B$9,Paramètres!$A$1:$I$89,3,0)*VLOOKUP('Données projet'!$B$9,Paramètres!$A$1:$I$89,5,0)</f>
        <v>115.12440000000016</v>
      </c>
      <c r="P104" s="14">
        <f t="shared" si="87"/>
        <v>30.53511511833819</v>
      </c>
      <c r="Q104" s="22">
        <f t="shared" si="107"/>
        <v>253.69032216443929</v>
      </c>
      <c r="R104" s="60">
        <f t="shared" si="55"/>
        <v>523.23118550265895</v>
      </c>
      <c r="S104" s="60">
        <f ca="1">AVERAGE(OFFSET($R$3,0,0,'Données projet'!$E$9+1,1))-AVERAGE(OFFSET($H$3,0,0,'Données projet'!$E$9+1,1))</f>
        <v>291.44524568678776</v>
      </c>
      <c r="T104" s="60">
        <f t="shared" si="88"/>
        <v>136.43373205899937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-2.9558577807620169E-14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300.72820267660154</v>
      </c>
      <c r="AO104" s="60">
        <f t="shared" si="90"/>
        <v>228.35388778608589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221.18884567967481</v>
      </c>
      <c r="BJ104" s="60">
        <f t="shared" si="92"/>
        <v>189.31596996710888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1.3833333333333342</v>
      </c>
      <c r="BY104" s="13">
        <f>IF('Données projet'!$A$114&gt;35,BY103+BX104-CG103,IF(A104&lt;'Données projet'!$A$114,$BV$205^A104,IF(A104='Données projet'!$A$114,'Données projet'!$B$114,BY103+BX104-CG103)))</f>
        <v>104.08333333333326</v>
      </c>
      <c r="BZ104" s="14">
        <f>BY104*VLOOKUP('Données projet'!$B$12,Paramètres!$A$1:$I$89,3,0)*VLOOKUP('Données projet'!$B$12,Paramètres!$A$1:$I$89,5,0)</f>
        <v>119.90399999999991</v>
      </c>
      <c r="CA104" s="14">
        <f t="shared" si="93"/>
        <v>31.65260782781338</v>
      </c>
      <c r="CB104" s="22">
        <f t="shared" si="64"/>
        <v>263.96109196677475</v>
      </c>
      <c r="CC104" s="60">
        <f t="shared" si="65"/>
        <v>533.50195530499445</v>
      </c>
      <c r="CD104" s="60">
        <f ca="1">AVERAGE(OFFSET($CC$3,0,0,'Données projet'!$E$12+1,1))-AVERAGE(OFFSET($H$3,0,0,'Données projet'!$E$12+1,1))</f>
        <v>314.72063458462026</v>
      </c>
      <c r="CE104" s="60">
        <f t="shared" si="94"/>
        <v>216.4380325968244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3.1</v>
      </c>
      <c r="CT104" s="13">
        <f>IF('Données projet'!$A$140&gt;35,CT103+CS104-DB103,IF(A104&lt;'Données projet'!$A$140,$CQ$205^A104,IF(A104='Données projet'!$A$140,'Données projet'!$B$140,CT103+CS104-DB103)))</f>
        <v>205.09999999999982</v>
      </c>
      <c r="CU104" s="18">
        <f>CT104*VLOOKUP('Données projet'!$B$13,Paramètres!$A$1:$I$89,3,0)*VLOOKUP('Données projet'!$B$13,Paramètres!$A$1:$I$89,5,0)</f>
        <v>220.76963999999978</v>
      </c>
      <c r="CV104" s="14">
        <f t="shared" si="95"/>
        <v>54.282129157725613</v>
      </c>
      <c r="CW104" s="22">
        <f t="shared" si="67"/>
        <v>479.04849794970505</v>
      </c>
      <c r="CX104" s="60">
        <f t="shared" si="68"/>
        <v>748.5893612879247</v>
      </c>
      <c r="CY104" s="60">
        <f ca="1">AVERAGE(OFFSET($CX$3,0,0,'Données projet'!$E$13+1,1))-AVERAGE(OFFSET($H$3,0,0,'Données projet'!$E$13+1,1))</f>
        <v>465.51503238626822</v>
      </c>
      <c r="CZ104" s="60">
        <f t="shared" si="96"/>
        <v>205.55320107663496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3.1</v>
      </c>
      <c r="DO104" s="13">
        <f>IF('Données projet'!$A$166&gt;35,DO103+DN104-DW103,IF(A104&lt;'Données projet'!$A$166,$DL$205^A104,IF(A104='Données projet'!$A$166,'Données projet'!$B$166,DO103+DN104-DW103)))</f>
        <v>205.09999999999982</v>
      </c>
      <c r="DP104" s="18">
        <f>DO104*VLOOKUP('Données projet'!$B$14,Paramètres!$A$1:$I$89,3,0)*VLOOKUP('Données projet'!$B$14,Paramètres!$A$1:$I$89,5,0)</f>
        <v>175.97579999999985</v>
      </c>
      <c r="DQ104" s="14">
        <f t="shared" si="97"/>
        <v>44.425701059639387</v>
      </c>
      <c r="DR104" s="22">
        <f t="shared" si="70"/>
        <v>383.86594767887163</v>
      </c>
      <c r="DS104" s="60">
        <f t="shared" si="71"/>
        <v>653.40681101709129</v>
      </c>
      <c r="DT104" s="60">
        <f ca="1">AVERAGE(OFFSET($DS$3,0,0,'Données projet'!$E$14+1,1))-AVERAGE(OFFSET($H$3,0,0,'Données projet'!$E$14+1,1))</f>
        <v>393.79546872270964</v>
      </c>
      <c r="DU104" s="60">
        <f t="shared" si="98"/>
        <v>179.7333990060757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135.66666666666666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4.3346153846153808</v>
      </c>
      <c r="N105" s="14">
        <f>IF('Données projet'!$A$36&gt;35,N104+M105-V104,IF(A105&lt;'Données projet'!$A$36,$K$205^A105,IF(A105='Données projet'!$A$36,'Données projet'!$B$36,N104+M105-V104)))</f>
        <v>250.32692307692344</v>
      </c>
      <c r="O105" s="14">
        <f>N105*VLOOKUP('Données projet'!$B$9,Paramètres!$A$1:$I$89,3,0)*VLOOKUP('Données projet'!$B$9,Paramètres!$A$1:$I$89,5,0)</f>
        <v>117.15300000000018</v>
      </c>
      <c r="P105" s="14">
        <f t="shared" si="87"/>
        <v>31.010058229140331</v>
      </c>
      <c r="Q105" s="22">
        <f t="shared" si="107"/>
        <v>258.05065974908638</v>
      </c>
      <c r="R105" s="60">
        <f t="shared" si="55"/>
        <v>528.00426924972714</v>
      </c>
      <c r="S105" s="60">
        <f ca="1">AVERAGE(OFFSET($R$3,0,0,'Données projet'!$E$9+1,1))-AVERAGE(OFFSET($H$3,0,0,'Données projet'!$E$9+1,1))</f>
        <v>291.44524568678776</v>
      </c>
      <c r="T105" s="60">
        <f t="shared" si="88"/>
        <v>136.43373205899937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-2.9558577807620169E-14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300.72820267660154</v>
      </c>
      <c r="AO105" s="60">
        <f t="shared" si="90"/>
        <v>228.35388778608589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221.18884567967481</v>
      </c>
      <c r="BJ105" s="60">
        <f t="shared" si="92"/>
        <v>189.31596996710888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1.3833333333333342</v>
      </c>
      <c r="BY105" s="13">
        <f>IF('Données projet'!$A$114&gt;35,BY104+BX105-CG104,IF(A105&lt;'Données projet'!$A$114,$BV$205^A105,IF(A105='Données projet'!$A$114,'Données projet'!$B$114,BY104+BX105-CG104)))</f>
        <v>105.4666666666666</v>
      </c>
      <c r="BZ105" s="14">
        <f>BY105*VLOOKUP('Données projet'!$B$12,Paramètres!$A$1:$I$89,3,0)*VLOOKUP('Données projet'!$B$12,Paramètres!$A$1:$I$89,5,0)</f>
        <v>121.49759999999992</v>
      </c>
      <c r="CA105" s="14">
        <f t="shared" si="93"/>
        <v>32.024037368927388</v>
      </c>
      <c r="CB105" s="22">
        <f t="shared" si="64"/>
        <v>267.38351841754837</v>
      </c>
      <c r="CC105" s="60">
        <f t="shared" si="65"/>
        <v>537.33712791818914</v>
      </c>
      <c r="CD105" s="60">
        <f ca="1">AVERAGE(OFFSET($CC$3,0,0,'Données projet'!$E$12+1,1))-AVERAGE(OFFSET($H$3,0,0,'Données projet'!$E$12+1,1))</f>
        <v>314.72063458462026</v>
      </c>
      <c r="CE105" s="60">
        <f t="shared" si="94"/>
        <v>216.4380325968244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3.1</v>
      </c>
      <c r="CT105" s="13">
        <f>IF('Données projet'!$A$140&gt;35,CT104+CS105-DB104,IF(A105&lt;'Données projet'!$A$140,$CQ$205^A105,IF(A105='Données projet'!$A$140,'Données projet'!$B$140,CT104+CS105-DB104)))</f>
        <v>208.19999999999982</v>
      </c>
      <c r="CU105" s="18">
        <f>CT105*VLOOKUP('Données projet'!$B$13,Paramètres!$A$1:$I$89,3,0)*VLOOKUP('Données projet'!$B$13,Paramètres!$A$1:$I$89,5,0)</f>
        <v>224.10647999999981</v>
      </c>
      <c r="CV105" s="14">
        <f t="shared" si="95"/>
        <v>55.006445935422491</v>
      </c>
      <c r="CW105" s="22">
        <f t="shared" si="67"/>
        <v>486.12167933752715</v>
      </c>
      <c r="CX105" s="60">
        <f t="shared" si="68"/>
        <v>756.07528883816792</v>
      </c>
      <c r="CY105" s="60">
        <f ca="1">AVERAGE(OFFSET($CX$3,0,0,'Données projet'!$E$13+1,1))-AVERAGE(OFFSET($H$3,0,0,'Données projet'!$E$13+1,1))</f>
        <v>465.51503238626822</v>
      </c>
      <c r="CZ105" s="60">
        <f t="shared" si="96"/>
        <v>205.55320107663496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3.1</v>
      </c>
      <c r="DO105" s="13">
        <f>IF('Données projet'!$A$166&gt;35,DO104+DN105-DW104,IF(A105&lt;'Données projet'!$A$166,$DL$205^A105,IF(A105='Données projet'!$A$166,'Données projet'!$B$166,DO104+DN105-DW104)))</f>
        <v>208.19999999999982</v>
      </c>
      <c r="DP105" s="18">
        <f>DO105*VLOOKUP('Données projet'!$B$14,Paramètres!$A$1:$I$89,3,0)*VLOOKUP('Données projet'!$B$14,Paramètres!$A$1:$I$89,5,0)</f>
        <v>178.63559999999987</v>
      </c>
      <c r="DQ105" s="14">
        <f t="shared" si="97"/>
        <v>45.018498010270108</v>
      </c>
      <c r="DR105" s="22">
        <f t="shared" si="70"/>
        <v>389.53088736788686</v>
      </c>
      <c r="DS105" s="60">
        <f t="shared" si="71"/>
        <v>659.48449686852769</v>
      </c>
      <c r="DT105" s="60">
        <f ca="1">AVERAGE(OFFSET($DS$3,0,0,'Données projet'!$E$14+1,1))-AVERAGE(OFFSET($H$3,0,0,'Données projet'!$E$14+1,1))</f>
        <v>393.79546872270964</v>
      </c>
      <c r="DU105" s="60">
        <f t="shared" si="98"/>
        <v>179.7333990060757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135.66666666666666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4.3346153846153808</v>
      </c>
      <c r="N106" s="14">
        <f>IF('Données projet'!$A$36&gt;35,N105+M106-V105,IF(A106&lt;'Données projet'!$A$36,$K$205^A106,IF(A106='Données projet'!$A$36,'Données projet'!$B$36,N105+M106-V105)))</f>
        <v>254.66153846153881</v>
      </c>
      <c r="O106" s="14">
        <f>N106*VLOOKUP('Données projet'!$B$9,Paramètres!$A$1:$I$89,3,0)*VLOOKUP('Données projet'!$B$9,Paramètres!$A$1:$I$89,5,0)</f>
        <v>119.18160000000017</v>
      </c>
      <c r="P106" s="14">
        <f t="shared" si="87"/>
        <v>31.484044976591981</v>
      </c>
      <c r="Q106" s="22">
        <f t="shared" si="107"/>
        <v>262.40933166756469</v>
      </c>
      <c r="R106" s="60">
        <f t="shared" si="55"/>
        <v>532.76852710747062</v>
      </c>
      <c r="S106" s="60">
        <f ca="1">AVERAGE(OFFSET($R$3,0,0,'Données projet'!$E$9+1,1))-AVERAGE(OFFSET($H$3,0,0,'Données projet'!$E$9+1,1))</f>
        <v>291.44524568678776</v>
      </c>
      <c r="T106" s="60">
        <f t="shared" si="88"/>
        <v>136.43373205899937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-2.9558577807620169E-14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300.72820267660154</v>
      </c>
      <c r="AO106" s="60">
        <f t="shared" si="90"/>
        <v>228.35388778608589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221.18884567967481</v>
      </c>
      <c r="BJ106" s="60">
        <f t="shared" si="92"/>
        <v>189.31596996710888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1.3833333333333342</v>
      </c>
      <c r="BY106" s="13">
        <f>IF('Données projet'!$A$114&gt;35,BY105+BX106-CG105,IF(A106&lt;'Données projet'!$A$114,$BV$205^A106,IF(A106='Données projet'!$A$114,'Données projet'!$B$114,BY105+BX106-CG105)))</f>
        <v>106.84999999999994</v>
      </c>
      <c r="BZ106" s="14">
        <f>BY106*VLOOKUP('Données projet'!$B$12,Paramètres!$A$1:$I$89,3,0)*VLOOKUP('Données projet'!$B$12,Paramètres!$A$1:$I$89,5,0)</f>
        <v>123.09119999999992</v>
      </c>
      <c r="CA106" s="14">
        <f t="shared" si="93"/>
        <v>32.394900249819841</v>
      </c>
      <c r="CB106" s="22">
        <f t="shared" si="64"/>
        <v>270.80495793510266</v>
      </c>
      <c r="CC106" s="60">
        <f t="shared" si="65"/>
        <v>541.16415337500871</v>
      </c>
      <c r="CD106" s="60">
        <f ca="1">AVERAGE(OFFSET($CC$3,0,0,'Données projet'!$E$12+1,1))-AVERAGE(OFFSET($H$3,0,0,'Données projet'!$E$12+1,1))</f>
        <v>314.72063458462026</v>
      </c>
      <c r="CE106" s="60">
        <f t="shared" si="94"/>
        <v>216.4380325968244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3.1</v>
      </c>
      <c r="CT106" s="13">
        <f>IF('Données projet'!$A$140&gt;35,CT105+CS106-DB105,IF(A106&lt;'Données projet'!$A$140,$CQ$205^A106,IF(A106='Données projet'!$A$140,'Données projet'!$B$140,CT105+CS106-DB105)))</f>
        <v>211.29999999999981</v>
      </c>
      <c r="CU106" s="18">
        <f>CT106*VLOOKUP('Données projet'!$B$13,Paramètres!$A$1:$I$89,3,0)*VLOOKUP('Données projet'!$B$13,Paramètres!$A$1:$I$89,5,0)</f>
        <v>227.44331999999977</v>
      </c>
      <c r="CV106" s="14">
        <f t="shared" si="95"/>
        <v>55.729508408074295</v>
      </c>
      <c r="CW106" s="22">
        <f t="shared" si="67"/>
        <v>493.19267614406226</v>
      </c>
      <c r="CX106" s="60">
        <f t="shared" si="68"/>
        <v>763.55187158396825</v>
      </c>
      <c r="CY106" s="60">
        <f ca="1">AVERAGE(OFFSET($CX$3,0,0,'Données projet'!$E$13+1,1))-AVERAGE(OFFSET($H$3,0,0,'Données projet'!$E$13+1,1))</f>
        <v>465.51503238626822</v>
      </c>
      <c r="CZ106" s="60">
        <f t="shared" si="96"/>
        <v>205.55320107663496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3.1</v>
      </c>
      <c r="DO106" s="13">
        <f>IF('Données projet'!$A$166&gt;35,DO105+DN106-DW105,IF(A106&lt;'Données projet'!$A$166,$DL$205^A106,IF(A106='Données projet'!$A$166,'Données projet'!$B$166,DO105+DN106-DW105)))</f>
        <v>211.29999999999981</v>
      </c>
      <c r="DP106" s="18">
        <f>DO106*VLOOKUP('Données projet'!$B$14,Paramètres!$A$1:$I$89,3,0)*VLOOKUP('Données projet'!$B$14,Paramètres!$A$1:$I$89,5,0)</f>
        <v>181.29539999999986</v>
      </c>
      <c r="DQ106" s="14">
        <f t="shared" si="97"/>
        <v>45.610268409771862</v>
      </c>
      <c r="DR106" s="22">
        <f t="shared" si="70"/>
        <v>395.19403914701911</v>
      </c>
      <c r="DS106" s="60">
        <f t="shared" si="71"/>
        <v>665.5532345869251</v>
      </c>
      <c r="DT106" s="60">
        <f ca="1">AVERAGE(OFFSET($DS$3,0,0,'Données projet'!$E$14+1,1))-AVERAGE(OFFSET($H$3,0,0,'Données projet'!$E$14+1,1))</f>
        <v>393.79546872270964</v>
      </c>
      <c r="DU106" s="60">
        <f t="shared" si="98"/>
        <v>179.7333990060757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135.66666666666666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4.3346153846153808</v>
      </c>
      <c r="N107" s="14">
        <f>IF('Données projet'!$A$36&gt;35,N106+M107-V106,IF(A107&lt;'Données projet'!$A$36,$K$205^A107,IF(A107='Données projet'!$A$36,'Données projet'!$B$36,N106+M107-V106)))</f>
        <v>258.99615384615419</v>
      </c>
      <c r="O107" s="14">
        <f>N107*VLOOKUP('Données projet'!$B$9,Paramètres!$A$1:$I$89,3,0)*VLOOKUP('Données projet'!$B$9,Paramètres!$A$1:$I$89,5,0)</f>
        <v>121.21020000000016</v>
      </c>
      <c r="P107" s="14">
        <f t="shared" si="87"/>
        <v>31.957093517608822</v>
      </c>
      <c r="Q107" s="22">
        <f t="shared" si="107"/>
        <v>266.76636954316899</v>
      </c>
      <c r="R107" s="60">
        <f t="shared" si="55"/>
        <v>537.52411491304827</v>
      </c>
      <c r="S107" s="60">
        <f ca="1">AVERAGE(OFFSET($R$3,0,0,'Données projet'!$E$9+1,1))-AVERAGE(OFFSET($H$3,0,0,'Données projet'!$E$9+1,1))</f>
        <v>291.44524568678776</v>
      </c>
      <c r="T107" s="60">
        <f t="shared" si="88"/>
        <v>136.43373205899937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-2.9558577807620169E-14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300.72820267660154</v>
      </c>
      <c r="AO107" s="60">
        <f t="shared" si="90"/>
        <v>228.35388778608589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221.18884567967481</v>
      </c>
      <c r="BJ107" s="60">
        <f t="shared" si="92"/>
        <v>189.31596996710888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1.3833333333333342</v>
      </c>
      <c r="BY107" s="13">
        <f>IF('Données projet'!$A$114&gt;35,BY106+BX107-CG106,IF(A107&lt;'Données projet'!$A$114,$BV$205^A107,IF(A107='Données projet'!$A$114,'Données projet'!$B$114,BY106+BX107-CG106)))</f>
        <v>108.23333333333328</v>
      </c>
      <c r="BZ107" s="14">
        <f>BY107*VLOOKUP('Données projet'!$B$12,Paramètres!$A$1:$I$89,3,0)*VLOOKUP('Données projet'!$B$12,Paramètres!$A$1:$I$89,5,0)</f>
        <v>124.68479999999992</v>
      </c>
      <c r="CA107" s="14">
        <f t="shared" si="93"/>
        <v>32.765204654989468</v>
      </c>
      <c r="CB107" s="22">
        <f t="shared" si="64"/>
        <v>274.2254247741065</v>
      </c>
      <c r="CC107" s="60">
        <f t="shared" si="65"/>
        <v>544.98317014398572</v>
      </c>
      <c r="CD107" s="60">
        <f ca="1">AVERAGE(OFFSET($CC$3,0,0,'Données projet'!$E$12+1,1))-AVERAGE(OFFSET($H$3,0,0,'Données projet'!$E$12+1,1))</f>
        <v>314.72063458462026</v>
      </c>
      <c r="CE107" s="60">
        <f t="shared" si="94"/>
        <v>216.4380325968244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3.1</v>
      </c>
      <c r="CT107" s="13">
        <f>IF('Données projet'!$A$140&gt;35,CT106+CS107-DB106,IF(A107&lt;'Données projet'!$A$140,$CQ$205^A107,IF(A107='Données projet'!$A$140,'Données projet'!$B$140,CT106+CS107-DB106)))</f>
        <v>214.39999999999981</v>
      </c>
      <c r="CU107" s="18">
        <f>CT107*VLOOKUP('Données projet'!$B$13,Paramètres!$A$1:$I$89,3,0)*VLOOKUP('Données projet'!$B$13,Paramètres!$A$1:$I$89,5,0)</f>
        <v>230.7801599999998</v>
      </c>
      <c r="CV107" s="14">
        <f t="shared" si="95"/>
        <v>56.451337103640839</v>
      </c>
      <c r="CW107" s="22">
        <f t="shared" si="67"/>
        <v>500.26152412217419</v>
      </c>
      <c r="CX107" s="60">
        <f t="shared" si="68"/>
        <v>771.01926949205347</v>
      </c>
      <c r="CY107" s="60">
        <f ca="1">AVERAGE(OFFSET($CX$3,0,0,'Données projet'!$E$13+1,1))-AVERAGE(OFFSET($H$3,0,0,'Données projet'!$E$13+1,1))</f>
        <v>465.51503238626822</v>
      </c>
      <c r="CZ107" s="60">
        <f t="shared" si="96"/>
        <v>205.55320107663496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3.1</v>
      </c>
      <c r="DO107" s="13">
        <f>IF('Données projet'!$A$166&gt;35,DO106+DN107-DW106,IF(A107&lt;'Données projet'!$A$166,$DL$205^A107,IF(A107='Données projet'!$A$166,'Données projet'!$B$166,DO106+DN107-DW106)))</f>
        <v>214.39999999999981</v>
      </c>
      <c r="DP107" s="18">
        <f>DO107*VLOOKUP('Données projet'!$B$14,Paramètres!$A$1:$I$89,3,0)*VLOOKUP('Données projet'!$B$14,Paramètres!$A$1:$I$89,5,0)</f>
        <v>183.95519999999985</v>
      </c>
      <c r="DQ107" s="14">
        <f t="shared" si="97"/>
        <v>46.201029058683226</v>
      </c>
      <c r="DR107" s="22">
        <f t="shared" si="70"/>
        <v>400.85543227720632</v>
      </c>
      <c r="DS107" s="60">
        <f t="shared" si="71"/>
        <v>671.61317764708565</v>
      </c>
      <c r="DT107" s="60">
        <f ca="1">AVERAGE(OFFSET($DS$3,0,0,'Données projet'!$E$14+1,1))-AVERAGE(OFFSET($H$3,0,0,'Données projet'!$E$14+1,1))</f>
        <v>393.79546872270964</v>
      </c>
      <c r="DU107" s="60">
        <f t="shared" si="98"/>
        <v>179.7333990060757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135.66666666666666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4.3346153846153808</v>
      </c>
      <c r="N108" s="14">
        <f>IF('Données projet'!$A$36&gt;35,N107+M108-V107,IF(A108&lt;'Données projet'!$A$36,$K$205^A108,IF(A108='Données projet'!$A$36,'Données projet'!$B$36,N107+M108-V107)))</f>
        <v>263.33076923076959</v>
      </c>
      <c r="O108" s="14">
        <f>N108*VLOOKUP('Données projet'!$B$9,Paramètres!$A$1:$I$89,3,0)*VLOOKUP('Données projet'!$B$9,Paramètres!$A$1:$I$89,5,0)</f>
        <v>123.23880000000017</v>
      </c>
      <c r="P108" s="14">
        <f t="shared" si="87"/>
        <v>32.429221366515407</v>
      </c>
      <c r="Q108" s="22">
        <f t="shared" si="107"/>
        <v>271.12180388001462</v>
      </c>
      <c r="R108" s="60">
        <f t="shared" si="55"/>
        <v>542.27118522960632</v>
      </c>
      <c r="S108" s="60">
        <f ca="1">AVERAGE(OFFSET($R$3,0,0,'Données projet'!$E$9+1,1))-AVERAGE(OFFSET($H$3,0,0,'Données projet'!$E$9+1,1))</f>
        <v>291.44524568678776</v>
      </c>
      <c r="T108" s="60">
        <f t="shared" si="88"/>
        <v>136.43373205899937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-2.9558577807620169E-14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300.72820267660154</v>
      </c>
      <c r="AO108" s="60">
        <f t="shared" si="90"/>
        <v>228.35388778608589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221.18884567967481</v>
      </c>
      <c r="BJ108" s="60">
        <f t="shared" si="92"/>
        <v>189.31596996710888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1.3833333333333342</v>
      </c>
      <c r="BY108" s="13">
        <f>IF('Données projet'!$A$114&gt;35,BY107+BX108-CG107,IF(A108&lt;'Données projet'!$A$114,$BV$205^A108,IF(A108='Données projet'!$A$114,'Données projet'!$B$114,BY107+BX108-CG107)))</f>
        <v>109.61666666666662</v>
      </c>
      <c r="BZ108" s="14">
        <f>BY108*VLOOKUP('Données projet'!$B$12,Paramètres!$A$1:$I$89,3,0)*VLOOKUP('Données projet'!$B$12,Paramètres!$A$1:$I$89,5,0)</f>
        <v>126.27839999999992</v>
      </c>
      <c r="CA108" s="14">
        <f t="shared" si="93"/>
        <v>33.134958547692797</v>
      </c>
      <c r="CB108" s="22">
        <f t="shared" si="64"/>
        <v>277.64493280389814</v>
      </c>
      <c r="CC108" s="60">
        <f t="shared" si="65"/>
        <v>548.79431415348984</v>
      </c>
      <c r="CD108" s="60">
        <f ca="1">AVERAGE(OFFSET($CC$3,0,0,'Données projet'!$E$12+1,1))-AVERAGE(OFFSET($H$3,0,0,'Données projet'!$E$12+1,1))</f>
        <v>314.72063458462026</v>
      </c>
      <c r="CE108" s="60">
        <f t="shared" si="94"/>
        <v>216.4380325968244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3.1</v>
      </c>
      <c r="CT108" s="13">
        <f>IF('Données projet'!$A$140&gt;35,CT107+CS108-DB107,IF(A108&lt;'Données projet'!$A$140,$CQ$205^A108,IF(A108='Données projet'!$A$140,'Données projet'!$B$140,CT107+CS108-DB107)))</f>
        <v>217.4999999999998</v>
      </c>
      <c r="CU108" s="18">
        <f>CT108*VLOOKUP('Données projet'!$B$13,Paramètres!$A$1:$I$89,3,0)*VLOOKUP('Données projet'!$B$13,Paramètres!$A$1:$I$89,5,0)</f>
        <v>234.11699999999976</v>
      </c>
      <c r="CV108" s="14">
        <f t="shared" si="95"/>
        <v>57.171951922370127</v>
      </c>
      <c r="CW108" s="22">
        <f t="shared" si="67"/>
        <v>507.32825793146094</v>
      </c>
      <c r="CX108" s="60">
        <f t="shared" si="68"/>
        <v>778.47763928105269</v>
      </c>
      <c r="CY108" s="60">
        <f ca="1">AVERAGE(OFFSET($CX$3,0,0,'Données projet'!$E$13+1,1))-AVERAGE(OFFSET($H$3,0,0,'Données projet'!$E$13+1,1))</f>
        <v>465.51503238626822</v>
      </c>
      <c r="CZ108" s="60">
        <f t="shared" si="96"/>
        <v>205.55320107663496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3.1</v>
      </c>
      <c r="DO108" s="13">
        <f>IF('Données projet'!$A$166&gt;35,DO107+DN108-DW107,IF(A108&lt;'Données projet'!$A$166,$DL$205^A108,IF(A108='Données projet'!$A$166,'Données projet'!$B$166,DO107+DN108-DW107)))</f>
        <v>217.4999999999998</v>
      </c>
      <c r="DP108" s="18">
        <f>DO108*VLOOKUP('Données projet'!$B$14,Paramètres!$A$1:$I$89,3,0)*VLOOKUP('Données projet'!$B$14,Paramètres!$A$1:$I$89,5,0)</f>
        <v>186.61499999999984</v>
      </c>
      <c r="DQ108" s="14">
        <f t="shared" si="97"/>
        <v>46.790796243809559</v>
      </c>
      <c r="DR108" s="22">
        <f t="shared" si="70"/>
        <v>406.51509512463468</v>
      </c>
      <c r="DS108" s="60">
        <f t="shared" si="71"/>
        <v>677.66447647422638</v>
      </c>
      <c r="DT108" s="60">
        <f ca="1">AVERAGE(OFFSET($DS$3,0,0,'Données projet'!$E$14+1,1))-AVERAGE(OFFSET($H$3,0,0,'Données projet'!$E$14+1,1))</f>
        <v>393.79546872270964</v>
      </c>
      <c r="DU108" s="60">
        <f t="shared" si="98"/>
        <v>179.7333990060757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135.66666666666666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4.3346153846153808</v>
      </c>
      <c r="N109" s="14">
        <f>IF('Données projet'!$A$36&gt;35,N108+M109-V108,IF(A109&lt;'Données projet'!$A$36,$K$205^A109,IF(A109='Données projet'!$A$36,'Données projet'!$B$36,N108+M109-V108)))</f>
        <v>267.66538461538499</v>
      </c>
      <c r="O109" s="14">
        <f>N109*VLOOKUP('Données projet'!$B$9,Paramètres!$A$1:$I$89,3,0)*VLOOKUP('Données projet'!$B$9,Paramètres!$A$1:$I$89,5,0)</f>
        <v>125.26740000000018</v>
      </c>
      <c r="P109" s="14">
        <f t="shared" si="87"/>
        <v>32.900445427983158</v>
      </c>
      <c r="Q109" s="22">
        <f t="shared" si="107"/>
        <v>275.4756641204043</v>
      </c>
      <c r="R109" s="60">
        <f t="shared" si="55"/>
        <v>547.00988744102733</v>
      </c>
      <c r="S109" s="60">
        <f ca="1">AVERAGE(OFFSET($R$3,0,0,'Données projet'!$E$9+1,1))-AVERAGE(OFFSET($H$3,0,0,'Données projet'!$E$9+1,1))</f>
        <v>291.44524568678776</v>
      </c>
      <c r="T109" s="60">
        <f t="shared" si="88"/>
        <v>136.43373205899937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-2.9558577807620169E-14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300.72820267660154</v>
      </c>
      <c r="AO109" s="60">
        <f t="shared" si="90"/>
        <v>228.35388778608589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221.18884567967481</v>
      </c>
      <c r="BJ109" s="60">
        <f t="shared" si="92"/>
        <v>189.31596996710888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1.3833333333333342</v>
      </c>
      <c r="BY109" s="13">
        <f>IF('Données projet'!$A$114&gt;35,BY108+BX109-CG108,IF(A109&lt;'Données projet'!$A$114,$BV$205^A109,IF(A109='Données projet'!$A$114,'Données projet'!$B$114,BY108+BX109-CG108)))</f>
        <v>110.99999999999996</v>
      </c>
      <c r="BZ109" s="14">
        <f>BY109*VLOOKUP('Données projet'!$B$12,Paramètres!$A$1:$I$89,3,0)*VLOOKUP('Données projet'!$B$12,Paramètres!$A$1:$I$89,5,0)</f>
        <v>127.87199999999994</v>
      </c>
      <c r="CA109" s="14">
        <f t="shared" si="93"/>
        <v>33.504169678639819</v>
      </c>
      <c r="CB109" s="22">
        <f t="shared" si="64"/>
        <v>281.06349552363093</v>
      </c>
      <c r="CC109" s="60">
        <f t="shared" si="65"/>
        <v>552.5977188442539</v>
      </c>
      <c r="CD109" s="60">
        <f ca="1">AVERAGE(OFFSET($CC$3,0,0,'Données projet'!$E$12+1,1))-AVERAGE(OFFSET($H$3,0,0,'Données projet'!$E$12+1,1))</f>
        <v>314.72063458462026</v>
      </c>
      <c r="CE109" s="60">
        <f t="shared" si="94"/>
        <v>216.4380325968244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3.1</v>
      </c>
      <c r="CT109" s="13">
        <f>IF('Données projet'!$A$140&gt;35,CT108+CS109-DB108,IF(A109&lt;'Données projet'!$A$140,$CQ$205^A109,IF(A109='Données projet'!$A$140,'Données projet'!$B$140,CT108+CS109-DB108)))</f>
        <v>220.5999999999998</v>
      </c>
      <c r="CU109" s="18">
        <f>CT109*VLOOKUP('Données projet'!$B$13,Paramètres!$A$1:$I$89,3,0)*VLOOKUP('Données projet'!$B$13,Paramètres!$A$1:$I$89,5,0)</f>
        <v>237.45383999999979</v>
      </c>
      <c r="CV109" s="14">
        <f t="shared" si="95"/>
        <v>57.891372164660901</v>
      </c>
      <c r="CW109" s="22">
        <f t="shared" si="67"/>
        <v>514.39291118678386</v>
      </c>
      <c r="CX109" s="60">
        <f t="shared" si="68"/>
        <v>785.92713450740689</v>
      </c>
      <c r="CY109" s="60">
        <f ca="1">AVERAGE(OFFSET($CX$3,0,0,'Données projet'!$E$13+1,1))-AVERAGE(OFFSET($H$3,0,0,'Données projet'!$E$13+1,1))</f>
        <v>465.51503238626822</v>
      </c>
      <c r="CZ109" s="60">
        <f t="shared" si="96"/>
        <v>205.55320107663496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3.1</v>
      </c>
      <c r="DO109" s="13">
        <f>IF('Données projet'!$A$166&gt;35,DO108+DN109-DW108,IF(A109&lt;'Données projet'!$A$166,$DL$205^A109,IF(A109='Données projet'!$A$166,'Données projet'!$B$166,DO108+DN109-DW108)))</f>
        <v>220.5999999999998</v>
      </c>
      <c r="DP109" s="18">
        <f>DO109*VLOOKUP('Données projet'!$B$14,Paramètres!$A$1:$I$89,3,0)*VLOOKUP('Données projet'!$B$14,Paramètres!$A$1:$I$89,5,0)</f>
        <v>189.27479999999986</v>
      </c>
      <c r="DQ109" s="14">
        <f t="shared" si="97"/>
        <v>47.3795857610261</v>
      </c>
      <c r="DR109" s="22">
        <f t="shared" si="70"/>
        <v>412.17305520045352</v>
      </c>
      <c r="DS109" s="60">
        <f t="shared" si="71"/>
        <v>683.70727852107643</v>
      </c>
      <c r="DT109" s="60">
        <f ca="1">AVERAGE(OFFSET($DS$3,0,0,'Données projet'!$E$14+1,1))-AVERAGE(OFFSET($H$3,0,0,'Données projet'!$E$14+1,1))</f>
        <v>393.79546872270964</v>
      </c>
      <c r="DU109" s="60">
        <f t="shared" si="98"/>
        <v>179.7333990060757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135.66666666666666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4.3346153846153808</v>
      </c>
      <c r="N110" s="14">
        <f>IF('Données projet'!$A$36&gt;35,N109+M110-V109,IF(A110&lt;'Données projet'!$A$36,$K$205^A110,IF(A110='Données projet'!$A$36,'Données projet'!$B$36,N109+M110-V109)))</f>
        <v>272.0000000000004</v>
      </c>
      <c r="O110" s="14">
        <f>N110*VLOOKUP('Données projet'!$B$9,Paramètres!$A$1:$I$89,3,0)*VLOOKUP('Données projet'!$B$9,Paramètres!$A$1:$I$89,5,0)</f>
        <v>127.29600000000019</v>
      </c>
      <c r="P110" s="14">
        <f t="shared" si="87"/>
        <v>33.37078202777451</v>
      </c>
      <c r="Q110" s="22">
        <f t="shared" si="107"/>
        <v>279.82797869837424</v>
      </c>
      <c r="R110" s="60">
        <f t="shared" si="55"/>
        <v>551.7403678422088</v>
      </c>
      <c r="S110" s="60">
        <f ca="1">AVERAGE(OFFSET($R$3,0,0,'Données projet'!$E$9+1,1))-AVERAGE(OFFSET($H$3,0,0,'Données projet'!$E$9+1,1))</f>
        <v>291.44524568678776</v>
      </c>
      <c r="T110" s="60">
        <f t="shared" si="88"/>
        <v>136.43373205899937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-2.9558577807620169E-14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300.72820267660154</v>
      </c>
      <c r="AO110" s="60">
        <f t="shared" si="90"/>
        <v>228.35388778608589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221.18884567967481</v>
      </c>
      <c r="BJ110" s="60">
        <f t="shared" si="92"/>
        <v>189.31596996710888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1.3833333333333342</v>
      </c>
      <c r="BY110" s="13">
        <f>IF('Données projet'!$A$114&gt;35,BY109+BX110-CG109,IF(A110&lt;'Données projet'!$A$114,$BV$205^A110,IF(A110='Données projet'!$A$114,'Données projet'!$B$114,BY109+BX110-CG109)))</f>
        <v>112.3833333333333</v>
      </c>
      <c r="BZ110" s="14">
        <f>BY110*VLOOKUP('Données projet'!$B$12,Paramètres!$A$1:$I$89,3,0)*VLOOKUP('Données projet'!$B$12,Paramètres!$A$1:$I$89,5,0)</f>
        <v>129.46559999999994</v>
      </c>
      <c r="CA110" s="14">
        <f t="shared" si="93"/>
        <v>33.872845594243692</v>
      </c>
      <c r="CB110" s="22">
        <f t="shared" si="64"/>
        <v>284.48112607664098</v>
      </c>
      <c r="CC110" s="60">
        <f t="shared" si="65"/>
        <v>556.39351522047559</v>
      </c>
      <c r="CD110" s="60">
        <f ca="1">AVERAGE(OFFSET($CC$3,0,0,'Données projet'!$E$12+1,1))-AVERAGE(OFFSET($H$3,0,0,'Données projet'!$E$12+1,1))</f>
        <v>314.72063458462026</v>
      </c>
      <c r="CE110" s="60">
        <f t="shared" si="94"/>
        <v>216.4380325968244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3.1</v>
      </c>
      <c r="CT110" s="13">
        <f>IF('Données projet'!$A$140&gt;35,CT109+CS110-DB109,IF(A110&lt;'Données projet'!$A$140,$CQ$205^A110,IF(A110='Données projet'!$A$140,'Données projet'!$B$140,CT109+CS110-DB109)))</f>
        <v>223.69999999999979</v>
      </c>
      <c r="CU110" s="18">
        <f>CT110*VLOOKUP('Données projet'!$B$13,Paramètres!$A$1:$I$89,3,0)*VLOOKUP('Données projet'!$B$13,Paramètres!$A$1:$I$89,5,0)</f>
        <v>240.79067999999975</v>
      </c>
      <c r="CV110" s="14">
        <f t="shared" si="95"/>
        <v>58.609616557313579</v>
      </c>
      <c r="CW110" s="22">
        <f t="shared" si="67"/>
        <v>521.45551650398738</v>
      </c>
      <c r="CX110" s="60">
        <f t="shared" si="68"/>
        <v>793.367905647822</v>
      </c>
      <c r="CY110" s="60">
        <f ca="1">AVERAGE(OFFSET($CX$3,0,0,'Données projet'!$E$13+1,1))-AVERAGE(OFFSET($H$3,0,0,'Données projet'!$E$13+1,1))</f>
        <v>465.51503238626822</v>
      </c>
      <c r="CZ110" s="60">
        <f t="shared" si="96"/>
        <v>205.55320107663496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3.1</v>
      </c>
      <c r="DO110" s="13">
        <f>IF('Données projet'!$A$166&gt;35,DO109+DN110-DW109,IF(A110&lt;'Données projet'!$A$166,$DL$205^A110,IF(A110='Données projet'!$A$166,'Données projet'!$B$166,DO109+DN110-DW109)))</f>
        <v>223.69999999999979</v>
      </c>
      <c r="DP110" s="18">
        <f>DO110*VLOOKUP('Données projet'!$B$14,Paramètres!$A$1:$I$89,3,0)*VLOOKUP('Données projet'!$B$14,Paramètres!$A$1:$I$89,5,0)</f>
        <v>191.93459999999985</v>
      </c>
      <c r="DQ110" s="14">
        <f t="shared" si="97"/>
        <v>47.967412936762614</v>
      </c>
      <c r="DR110" s="22">
        <f t="shared" si="70"/>
        <v>417.82933919819453</v>
      </c>
      <c r="DS110" s="60">
        <f t="shared" si="71"/>
        <v>689.74172834202909</v>
      </c>
      <c r="DT110" s="60">
        <f ca="1">AVERAGE(OFFSET($DS$3,0,0,'Données projet'!$E$14+1,1))-AVERAGE(OFFSET($H$3,0,0,'Données projet'!$E$14+1,1))</f>
        <v>393.79546872270964</v>
      </c>
      <c r="DU110" s="60">
        <f t="shared" si="98"/>
        <v>179.7333990060757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135.66666666666666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4.3346153846153808</v>
      </c>
      <c r="N111" s="14">
        <f>IF('Données projet'!$A$36&gt;35,N110+M111-V110,IF(A111&lt;'Données projet'!$A$36,$K$205^A111,IF(A111='Données projet'!$A$36,'Données projet'!$B$36,N110+M111-V110)))</f>
        <v>276.3346153846158</v>
      </c>
      <c r="O111" s="14">
        <f>N111*VLOOKUP('Données projet'!$B$9,Paramètres!$A$1:$I$89,3,0)*VLOOKUP('Données projet'!$B$9,Paramètres!$A$1:$I$89,5,0)</f>
        <v>129.3246000000002</v>
      </c>
      <c r="P111" s="14">
        <f t="shared" si="87"/>
        <v>33.840246941471634</v>
      </c>
      <c r="Q111" s="22">
        <f t="shared" si="107"/>
        <v>284.1787750897301</v>
      </c>
      <c r="R111" s="60">
        <f t="shared" si="55"/>
        <v>556.46276972519581</v>
      </c>
      <c r="S111" s="60">
        <f ca="1">AVERAGE(OFFSET($R$3,0,0,'Données projet'!$E$9+1,1))-AVERAGE(OFFSET($H$3,0,0,'Données projet'!$E$9+1,1))</f>
        <v>291.44524568678776</v>
      </c>
      <c r="T111" s="60">
        <f t="shared" si="88"/>
        <v>136.43373205899937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-2.9558577807620169E-14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300.72820267660154</v>
      </c>
      <c r="AO111" s="60">
        <f t="shared" si="90"/>
        <v>228.35388778608589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221.18884567967481</v>
      </c>
      <c r="BJ111" s="60">
        <f t="shared" si="92"/>
        <v>189.31596996710888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1.3833333333333342</v>
      </c>
      <c r="BY111" s="13">
        <f>IF('Données projet'!$A$114&gt;35,BY110+BX111-CG110,IF(A111&lt;'Données projet'!$A$114,$BV$205^A111,IF(A111='Données projet'!$A$114,'Données projet'!$B$114,BY110+BX111-CG110)))</f>
        <v>113.76666666666664</v>
      </c>
      <c r="BZ111" s="14">
        <f>BY111*VLOOKUP('Données projet'!$B$12,Paramètres!$A$1:$I$89,3,0)*VLOOKUP('Données projet'!$B$12,Paramètres!$A$1:$I$89,5,0)</f>
        <v>131.05919999999995</v>
      </c>
      <c r="CA111" s="14">
        <f t="shared" si="93"/>
        <v>34.240993644452693</v>
      </c>
      <c r="CB111" s="22">
        <f t="shared" si="64"/>
        <v>287.89783726408837</v>
      </c>
      <c r="CC111" s="60">
        <f t="shared" si="65"/>
        <v>560.18183189955403</v>
      </c>
      <c r="CD111" s="60">
        <f ca="1">AVERAGE(OFFSET($CC$3,0,0,'Données projet'!$E$12+1,1))-AVERAGE(OFFSET($H$3,0,0,'Données projet'!$E$12+1,1))</f>
        <v>314.72063458462026</v>
      </c>
      <c r="CE111" s="60">
        <f t="shared" si="94"/>
        <v>216.4380325968244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3.1</v>
      </c>
      <c r="CT111" s="13">
        <f>IF('Données projet'!$A$140&gt;35,CT110+CS111-DB110,IF(A111&lt;'Données projet'!$A$140,$CQ$205^A111,IF(A111='Données projet'!$A$140,'Données projet'!$B$140,CT110+CS111-DB110)))</f>
        <v>226.79999999999978</v>
      </c>
      <c r="CU111" s="18">
        <f>CT111*VLOOKUP('Données projet'!$B$13,Paramètres!$A$1:$I$89,3,0)*VLOOKUP('Données projet'!$B$13,Paramètres!$A$1:$I$89,5,0)</f>
        <v>244.12751999999978</v>
      </c>
      <c r="CV111" s="14">
        <f t="shared" si="95"/>
        <v>59.326703278285549</v>
      </c>
      <c r="CW111" s="22">
        <f t="shared" si="67"/>
        <v>528.51610554301351</v>
      </c>
      <c r="CX111" s="60">
        <f t="shared" si="68"/>
        <v>800.80010017847917</v>
      </c>
      <c r="CY111" s="60">
        <f ca="1">AVERAGE(OFFSET($CX$3,0,0,'Données projet'!$E$13+1,1))-AVERAGE(OFFSET($H$3,0,0,'Données projet'!$E$13+1,1))</f>
        <v>465.51503238626822</v>
      </c>
      <c r="CZ111" s="60">
        <f t="shared" si="96"/>
        <v>205.55320107663496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3.1</v>
      </c>
      <c r="DO111" s="13">
        <f>IF('Données projet'!$A$166&gt;35,DO110+DN111-DW110,IF(A111&lt;'Données projet'!$A$166,$DL$205^A111,IF(A111='Données projet'!$A$166,'Données projet'!$B$166,DO110+DN111-DW110)))</f>
        <v>226.79999999999978</v>
      </c>
      <c r="DP111" s="18">
        <f>DO111*VLOOKUP('Données projet'!$B$14,Paramètres!$A$1:$I$89,3,0)*VLOOKUP('Données projet'!$B$14,Paramètres!$A$1:$I$89,5,0)</f>
        <v>194.59439999999984</v>
      </c>
      <c r="DQ111" s="14">
        <f t="shared" si="97"/>
        <v>48.554292648263413</v>
      </c>
      <c r="DR111" s="22">
        <f t="shared" si="70"/>
        <v>423.48397302905846</v>
      </c>
      <c r="DS111" s="60">
        <f t="shared" si="71"/>
        <v>695.76796766452412</v>
      </c>
      <c r="DT111" s="60">
        <f ca="1">AVERAGE(OFFSET($DS$3,0,0,'Données projet'!$E$14+1,1))-AVERAGE(OFFSET($H$3,0,0,'Données projet'!$E$14+1,1))</f>
        <v>393.79546872270964</v>
      </c>
      <c r="DU111" s="60">
        <f t="shared" si="98"/>
        <v>179.7333990060757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135.66666666666666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280.66923076923075</v>
      </c>
      <c r="L112" s="13">
        <f>VLOOKUP(A112,'Données projet'!$A$35:$I$55,9,0)</f>
        <v>4.3346153846153808</v>
      </c>
      <c r="M112" s="13">
        <f t="array" ref="M112">INDEX(L:L,MIN(IF(ISNUMBER(L112:L308),ROW(L112:L308),"")))</f>
        <v>4.3346153846153808</v>
      </c>
      <c r="N112" s="14">
        <f>IF('Données projet'!$A$36&gt;35,N111+M112-V111,IF(A112&lt;'Données projet'!$A$36,$K$205^A112,IF(A112='Données projet'!$A$36,'Données projet'!$B$36,N111+M112-V111)))</f>
        <v>280.66923076923121</v>
      </c>
      <c r="O112" s="14">
        <f>N112*VLOOKUP('Données projet'!$B$9,Paramètres!$A$1:$I$89,3,0)*VLOOKUP('Données projet'!$B$9,Paramètres!$A$1:$I$89,5,0)</f>
        <v>131.35320000000021</v>
      </c>
      <c r="P112" s="14">
        <f t="shared" si="87"/>
        <v>34.308855421351232</v>
      </c>
      <c r="Q112" s="22">
        <f t="shared" si="107"/>
        <v>288.5280798588538</v>
      </c>
      <c r="R112" s="60">
        <f t="shared" si="55"/>
        <v>561.17723346145613</v>
      </c>
      <c r="S112" s="60">
        <f ca="1">AVERAGE(OFFSET($R$3,0,0,'Données projet'!$E$9+1,1))-AVERAGE(OFFSET($H$3,0,0,'Données projet'!$E$9+1,1))</f>
        <v>291.44524568678776</v>
      </c>
      <c r="T112" s="60">
        <f t="shared" si="88"/>
        <v>136.43373205899937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-2.9558577807620169E-14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300.72820267660154</v>
      </c>
      <c r="AO112" s="60">
        <f t="shared" si="90"/>
        <v>228.35388778608589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221.18884567967481</v>
      </c>
      <c r="BJ112" s="60">
        <f t="shared" si="92"/>
        <v>189.31596996710888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1.3833333333333342</v>
      </c>
      <c r="BY112" s="13">
        <f>IF('Données projet'!$A$114&gt;35,BY111+BX112-CG111,IF(A112&lt;'Données projet'!$A$114,$BV$205^A112,IF(A112='Données projet'!$A$114,'Données projet'!$B$114,BY111+BX112-CG111)))</f>
        <v>115.14999999999998</v>
      </c>
      <c r="BZ112" s="14">
        <f>BY112*VLOOKUP('Données projet'!$B$12,Paramètres!$A$1:$I$89,3,0)*VLOOKUP('Données projet'!$B$12,Paramètres!$A$1:$I$89,5,0)</f>
        <v>132.65279999999996</v>
      </c>
      <c r="CA112" s="14">
        <f t="shared" si="93"/>
        <v>34.608620990190566</v>
      </c>
      <c r="CB112" s="22">
        <f t="shared" si="64"/>
        <v>291.31364155791516</v>
      </c>
      <c r="CC112" s="60">
        <f t="shared" si="65"/>
        <v>563.96279516051754</v>
      </c>
      <c r="CD112" s="60">
        <f ca="1">AVERAGE(OFFSET($CC$3,0,0,'Données projet'!$E$12+1,1))-AVERAGE(OFFSET($H$3,0,0,'Données projet'!$E$12+1,1))</f>
        <v>314.72063458462026</v>
      </c>
      <c r="CE112" s="60">
        <f t="shared" si="94"/>
        <v>216.4380325968244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3.1</v>
      </c>
      <c r="CT112" s="13">
        <f>IF('Données projet'!$A$140&gt;35,CT111+CS112-DB111,IF(A112&lt;'Données projet'!$A$140,$CQ$205^A112,IF(A112='Données projet'!$A$140,'Données projet'!$B$140,CT111+CS112-DB111)))</f>
        <v>229.89999999999978</v>
      </c>
      <c r="CU112" s="18">
        <f>CT112*VLOOKUP('Données projet'!$B$13,Paramètres!$A$1:$I$89,3,0)*VLOOKUP('Données projet'!$B$13,Paramètres!$A$1:$I$89,5,0)</f>
        <v>247.46435999999974</v>
      </c>
      <c r="CV112" s="14">
        <f t="shared" si="95"/>
        <v>60.042649980053952</v>
      </c>
      <c r="CW112" s="22">
        <f t="shared" si="67"/>
        <v>535.57470904859349</v>
      </c>
      <c r="CX112" s="60">
        <f t="shared" si="68"/>
        <v>808.22386265119576</v>
      </c>
      <c r="CY112" s="60">
        <f ca="1">AVERAGE(OFFSET($CX$3,0,0,'Données projet'!$E$13+1,1))-AVERAGE(OFFSET($H$3,0,0,'Données projet'!$E$13+1,1))</f>
        <v>465.51503238626822</v>
      </c>
      <c r="CZ112" s="60">
        <f t="shared" si="96"/>
        <v>205.55320107663496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3.1</v>
      </c>
      <c r="DO112" s="13">
        <f>IF('Données projet'!$A$166&gt;35,DO111+DN112-DW111,IF(A112&lt;'Données projet'!$A$166,$DL$205^A112,IF(A112='Données projet'!$A$166,'Données projet'!$B$166,DO111+DN112-DW111)))</f>
        <v>229.89999999999978</v>
      </c>
      <c r="DP112" s="18">
        <f>DO112*VLOOKUP('Données projet'!$B$14,Paramètres!$A$1:$I$89,3,0)*VLOOKUP('Données projet'!$B$14,Paramètres!$A$1:$I$89,5,0)</f>
        <v>197.25419999999983</v>
      </c>
      <c r="DQ112" s="14">
        <f t="shared" si="97"/>
        <v>49.140239342708263</v>
      </c>
      <c r="DR112" s="22">
        <f t="shared" si="70"/>
        <v>429.13698185521656</v>
      </c>
      <c r="DS112" s="60">
        <f t="shared" si="71"/>
        <v>701.78613545781889</v>
      </c>
      <c r="DT112" s="60">
        <f ca="1">AVERAGE(OFFSET($DS$3,0,0,'Données projet'!$E$14+1,1))-AVERAGE(OFFSET($H$3,0,0,'Données projet'!$E$14+1,1))</f>
        <v>393.79546872270964</v>
      </c>
      <c r="DU112" s="60">
        <f t="shared" si="98"/>
        <v>179.7333990060757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135.66666666666666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4.2115384615384643</v>
      </c>
      <c r="N113" s="14">
        <f>IF('Données projet'!$A$36&gt;35,N112+M113-V112,IF(A113&lt;'Données projet'!$A$36,$K$205^A113,IF(A113='Données projet'!$A$36,'Données projet'!$B$36,N112+M113-V112)))</f>
        <v>284.88076923076966</v>
      </c>
      <c r="O113" s="14">
        <f>N113*VLOOKUP('Données projet'!$B$9,Paramètres!$A$1:$I$89,3,0)*VLOOKUP('Données projet'!$B$9,Paramètres!$A$1:$I$89,5,0)</f>
        <v>133.32420000000022</v>
      </c>
      <c r="P113" s="14">
        <f t="shared" si="87"/>
        <v>34.763351946298954</v>
      </c>
      <c r="Q113" s="22">
        <f t="shared" si="107"/>
        <v>292.75248630647104</v>
      </c>
      <c r="R113" s="60">
        <f t="shared" si="55"/>
        <v>565.76046418450346</v>
      </c>
      <c r="S113" s="60">
        <f ca="1">AVERAGE(OFFSET($R$3,0,0,'Données projet'!$E$9+1,1))-AVERAGE(OFFSET($H$3,0,0,'Données projet'!$E$9+1,1))</f>
        <v>291.44524568678776</v>
      </c>
      <c r="T113" s="60">
        <f t="shared" si="88"/>
        <v>136.43373205899937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-2.9558577807620169E-14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300.72820267660154</v>
      </c>
      <c r="AO113" s="60">
        <f t="shared" si="90"/>
        <v>228.35388778608589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221.18884567967481</v>
      </c>
      <c r="BJ113" s="60">
        <f t="shared" si="92"/>
        <v>189.31596996710888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116.53333333333335</v>
      </c>
      <c r="BW113" s="13">
        <f>VLOOKUP(A113,'Données projet'!$A$113:$I$133,9,0)</f>
        <v>1.3833333333333342</v>
      </c>
      <c r="BX113" s="13">
        <f t="array" ref="BX113">INDEX(BW:BW,MIN(IF(ISNUMBER(BW113:BW309),ROW(BW113:BW309),"")))</f>
        <v>1.3833333333333342</v>
      </c>
      <c r="BY113" s="13">
        <f>IF('Données projet'!$A$114&gt;35,BY112+BX113-CG112,IF(A113&lt;'Données projet'!$A$114,$BV$205^A113,IF(A113='Données projet'!$A$114,'Données projet'!$B$114,BY112+BX113-CG112)))</f>
        <v>116.53333333333332</v>
      </c>
      <c r="BZ113" s="14">
        <f>BY113*VLOOKUP('Données projet'!$B$12,Paramètres!$A$1:$I$89,3,0)*VLOOKUP('Données projet'!$B$12,Paramètres!$A$1:$I$89,5,0)</f>
        <v>134.24639999999997</v>
      </c>
      <c r="CA113" s="14">
        <f t="shared" si="93"/>
        <v>34.975734610428823</v>
      </c>
      <c r="CB113" s="22">
        <f t="shared" si="64"/>
        <v>294.72855111316346</v>
      </c>
      <c r="CC113" s="60">
        <f t="shared" si="65"/>
        <v>567.73652899119588</v>
      </c>
      <c r="CD113" s="60">
        <f ca="1">AVERAGE(OFFSET($CC$3,0,0,'Données projet'!$E$12+1,1))-AVERAGE(OFFSET($H$3,0,0,'Données projet'!$E$12+1,1))</f>
        <v>314.72063458462026</v>
      </c>
      <c r="CE113" s="60">
        <f t="shared" si="94"/>
        <v>216.4380325968244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9.0416666666666661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233</v>
      </c>
      <c r="CR113" s="13">
        <f>VLOOKUP(A113,'Données projet'!$A$139:$I$159,9,0)</f>
        <v>3.1</v>
      </c>
      <c r="CS113" s="13">
        <f t="array" ref="CS113">INDEX(CR:CR,MIN(IF(ISNUMBER(CR113:CR309),ROW(CR113:CR309),"")))</f>
        <v>3.1</v>
      </c>
      <c r="CT113" s="13">
        <f>IF('Données projet'!$A$140&gt;35,CT112+CS113-DB112,IF(A113&lt;'Données projet'!$A$140,$CQ$205^A113,IF(A113='Données projet'!$A$140,'Données projet'!$B$140,CT112+CS113-DB112)))</f>
        <v>232.99999999999977</v>
      </c>
      <c r="CU113" s="18">
        <f>CT113*VLOOKUP('Données projet'!$B$13,Paramètres!$A$1:$I$89,3,0)*VLOOKUP('Données projet'!$B$13,Paramètres!$A$1:$I$89,5,0)</f>
        <v>250.80119999999977</v>
      </c>
      <c r="CV113" s="14">
        <f t="shared" si="95"/>
        <v>60.75747381168263</v>
      </c>
      <c r="CW113" s="22">
        <f t="shared" si="67"/>
        <v>542.63135688868022</v>
      </c>
      <c r="CX113" s="60">
        <f t="shared" si="68"/>
        <v>815.63933476671264</v>
      </c>
      <c r="CY113" s="60">
        <f ca="1">AVERAGE(OFFSET($CX$3,0,0,'Données projet'!$E$13+1,1))-AVERAGE(OFFSET($H$3,0,0,'Données projet'!$E$13+1,1))</f>
        <v>465.51503238626822</v>
      </c>
      <c r="CZ113" s="60">
        <f t="shared" si="96"/>
        <v>205.55320107663496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233</v>
      </c>
      <c r="DM113" s="13">
        <f>VLOOKUP(A113,'Données projet'!$A$165:$I$185,9,0)</f>
        <v>3.1</v>
      </c>
      <c r="DN113" s="13">
        <f t="array" ref="DN113">INDEX(DM:DM,MIN(IF(ISNUMBER(DM113:DM309),ROW(DM113:DM309),"")))</f>
        <v>3.1</v>
      </c>
      <c r="DO113" s="13">
        <f>IF('Données projet'!$A$166&gt;35,DO112+DN113-DW112,IF(A113&lt;'Données projet'!$A$166,$DL$205^A113,IF(A113='Données projet'!$A$166,'Données projet'!$B$166,DO112+DN113-DW112)))</f>
        <v>232.99999999999977</v>
      </c>
      <c r="DP113" s="18">
        <f>DO113*VLOOKUP('Données projet'!$B$14,Paramètres!$A$1:$I$89,3,0)*VLOOKUP('Données projet'!$B$14,Paramètres!$A$1:$I$89,5,0)</f>
        <v>199.91399999999985</v>
      </c>
      <c r="DQ113" s="14">
        <f t="shared" si="97"/>
        <v>49.725267055272155</v>
      </c>
      <c r="DR113" s="22">
        <f t="shared" si="70"/>
        <v>434.78839012126537</v>
      </c>
      <c r="DS113" s="60">
        <f t="shared" si="71"/>
        <v>707.79636799929767</v>
      </c>
      <c r="DT113" s="60">
        <f ca="1">AVERAGE(OFFSET($DS$3,0,0,'Données projet'!$E$14+1,1))-AVERAGE(OFFSET($H$3,0,0,'Données projet'!$E$14+1,1))</f>
        <v>393.79546872270964</v>
      </c>
      <c r="DU113" s="60">
        <f t="shared" si="98"/>
        <v>179.7333990060757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135.66666666666666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4.2115384615384643</v>
      </c>
      <c r="N114" s="14">
        <f>IF('Données projet'!$A$36&gt;35,N113+M114-V113,IF(A114&lt;'Données projet'!$A$36,$K$205^A114,IF(A114='Données projet'!$A$36,'Données projet'!$B$36,N113+M114-V113)))</f>
        <v>289.09230769230811</v>
      </c>
      <c r="O114" s="14">
        <f>N114*VLOOKUP('Données projet'!$B$9,Paramètres!$A$1:$I$89,3,0)*VLOOKUP('Données projet'!$B$9,Paramètres!$A$1:$I$89,5,0)</f>
        <v>135.29520000000019</v>
      </c>
      <c r="P114" s="14">
        <f t="shared" si="87"/>
        <v>35.217067015663439</v>
      </c>
      <c r="Q114" s="22">
        <f t="shared" si="107"/>
        <v>296.97553171894748</v>
      </c>
      <c r="R114" s="60">
        <f t="shared" si="55"/>
        <v>570.336109073442</v>
      </c>
      <c r="S114" s="60">
        <f ca="1">AVERAGE(OFFSET($R$3,0,0,'Données projet'!$E$9+1,1))-AVERAGE(OFFSET($H$3,0,0,'Données projet'!$E$9+1,1))</f>
        <v>291.44524568678776</v>
      </c>
      <c r="T114" s="60">
        <f t="shared" si="88"/>
        <v>136.43373205899937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-2.9558577807620169E-14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300.72820267660154</v>
      </c>
      <c r="AO114" s="60">
        <f t="shared" si="90"/>
        <v>228.35388778608589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221.18884567967481</v>
      </c>
      <c r="BJ114" s="60">
        <f t="shared" si="92"/>
        <v>189.31596996710888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1.3150000000000006</v>
      </c>
      <c r="BY114" s="13">
        <f>IF('Données projet'!$A$114&gt;35,BY113+BX114-CG113,IF(A114&lt;'Données projet'!$A$114,$BV$205^A114,IF(A114='Données projet'!$A$114,'Données projet'!$B$114,BY113+BX114-CG113)))</f>
        <v>108.80666666666664</v>
      </c>
      <c r="BZ114" s="14">
        <f>BY114*VLOOKUP('Données projet'!$B$12,Paramètres!$A$1:$I$89,3,0)*VLOOKUP('Données projet'!$B$12,Paramètres!$A$1:$I$89,5,0)</f>
        <v>125.34527999999997</v>
      </c>
      <c r="CA114" s="14">
        <f t="shared" si="93"/>
        <v>32.918518403213277</v>
      </c>
      <c r="CB114" s="22">
        <f t="shared" si="64"/>
        <v>275.64278221892977</v>
      </c>
      <c r="CC114" s="60">
        <f t="shared" si="65"/>
        <v>549.00335957342429</v>
      </c>
      <c r="CD114" s="60">
        <f ca="1">AVERAGE(OFFSET($CC$3,0,0,'Données projet'!$E$12+1,1))-AVERAGE(OFFSET($H$3,0,0,'Données projet'!$E$12+1,1))</f>
        <v>314.72063458462026</v>
      </c>
      <c r="CE114" s="60">
        <f t="shared" si="94"/>
        <v>216.4380325968244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235.79999999999978</v>
      </c>
      <c r="CU114" s="18">
        <f>CT114*VLOOKUP('Données projet'!$B$13,Paramètres!$A$1:$I$89,3,0)*VLOOKUP('Données projet'!$B$13,Paramètres!$A$1:$I$89,5,0)</f>
        <v>253.81511999999975</v>
      </c>
      <c r="CV114" s="14">
        <f t="shared" si="95"/>
        <v>61.402169885153178</v>
      </c>
      <c r="CW114" s="22">
        <f t="shared" si="67"/>
        <v>549.00344654997468</v>
      </c>
      <c r="CX114" s="60">
        <f t="shared" si="68"/>
        <v>822.36402390446915</v>
      </c>
      <c r="CY114" s="60">
        <f ca="1">AVERAGE(OFFSET($CX$3,0,0,'Données projet'!$E$13+1,1))-AVERAGE(OFFSET($H$3,0,0,'Données projet'!$E$13+1,1))</f>
        <v>465.51503238626822</v>
      </c>
      <c r="CZ114" s="60">
        <f t="shared" si="96"/>
        <v>205.55320107663496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</v>
      </c>
      <c r="DO114" s="13">
        <f>IF('Données projet'!$A$166&gt;35,DO113+DN114-DW113,IF(A114&lt;'Données projet'!$A$166,$DL$205^A114,IF(A114='Données projet'!$A$166,'Données projet'!$B$166,DO113+DN114-DW113)))</f>
        <v>235.79999999999978</v>
      </c>
      <c r="DP114" s="18">
        <f>DO114*VLOOKUP('Données projet'!$B$14,Paramètres!$A$1:$I$89,3,0)*VLOOKUP('Données projet'!$B$14,Paramètres!$A$1:$I$89,5,0)</f>
        <v>202.31639999999982</v>
      </c>
      <c r="DQ114" s="14">
        <f t="shared" si="97"/>
        <v>50.252900651793482</v>
      </c>
      <c r="DR114" s="22">
        <f t="shared" si="70"/>
        <v>439.89153196853999</v>
      </c>
      <c r="DS114" s="60">
        <f t="shared" si="71"/>
        <v>713.25210932303457</v>
      </c>
      <c r="DT114" s="60">
        <f ca="1">AVERAGE(OFFSET($DS$3,0,0,'Données projet'!$E$14+1,1))-AVERAGE(OFFSET($H$3,0,0,'Données projet'!$E$14+1,1))</f>
        <v>393.79546872270964</v>
      </c>
      <c r="DU114" s="60">
        <f t="shared" si="98"/>
        <v>179.7333990060757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135.66666666666666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4.2115384615384643</v>
      </c>
      <c r="N115" s="14">
        <f>IF('Données projet'!$A$36&gt;35,N114+M115-V114,IF(A115&lt;'Données projet'!$A$36,$K$205^A115,IF(A115='Données projet'!$A$36,'Données projet'!$B$36,N114+M115-V114)))</f>
        <v>293.30384615384656</v>
      </c>
      <c r="O115" s="14">
        <f>N115*VLOOKUP('Données projet'!$B$9,Paramètres!$A$1:$I$89,3,0)*VLOOKUP('Données projet'!$B$9,Paramètres!$A$1:$I$89,5,0)</f>
        <v>137.2662000000002</v>
      </c>
      <c r="P115" s="14">
        <f t="shared" si="87"/>
        <v>35.670013329076106</v>
      </c>
      <c r="Q115" s="22">
        <f t="shared" si="107"/>
        <v>301.1972382148079</v>
      </c>
      <c r="R115" s="60">
        <f t="shared" si="55"/>
        <v>574.9042982331423</v>
      </c>
      <c r="S115" s="60">
        <f ca="1">AVERAGE(OFFSET($R$3,0,0,'Données projet'!$E$9+1,1))-AVERAGE(OFFSET($H$3,0,0,'Données projet'!$E$9+1,1))</f>
        <v>291.44524568678776</v>
      </c>
      <c r="T115" s="60">
        <f t="shared" si="88"/>
        <v>136.43373205899937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-2.9558577807620169E-14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300.72820267660154</v>
      </c>
      <c r="AO115" s="60">
        <f t="shared" si="90"/>
        <v>228.35388778608589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221.18884567967481</v>
      </c>
      <c r="BJ115" s="60">
        <f t="shared" si="92"/>
        <v>189.31596996710888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1.3150000000000006</v>
      </c>
      <c r="BY115" s="13">
        <f>IF('Données projet'!$A$114&gt;35,BY114+BX115-CG114,IF(A115&lt;'Données projet'!$A$114,$BV$205^A115,IF(A115='Données projet'!$A$114,'Données projet'!$B$114,BY114+BX115-CG114)))</f>
        <v>110.12166666666664</v>
      </c>
      <c r="BZ115" s="14">
        <f>BY115*VLOOKUP('Données projet'!$B$12,Paramètres!$A$1:$I$89,3,0)*VLOOKUP('Données projet'!$B$12,Paramètres!$A$1:$I$89,5,0)</f>
        <v>126.86015999999996</v>
      </c>
      <c r="CA115" s="14">
        <f t="shared" si="93"/>
        <v>33.269805353558191</v>
      </c>
      <c r="CB115" s="22">
        <f t="shared" si="64"/>
        <v>278.89302299078042</v>
      </c>
      <c r="CC115" s="60">
        <f t="shared" si="65"/>
        <v>552.60008300911477</v>
      </c>
      <c r="CD115" s="60">
        <f ca="1">AVERAGE(OFFSET($CC$3,0,0,'Données projet'!$E$12+1,1))-AVERAGE(OFFSET($H$3,0,0,'Données projet'!$E$12+1,1))</f>
        <v>314.72063458462026</v>
      </c>
      <c r="CE115" s="60">
        <f t="shared" si="94"/>
        <v>216.4380325968244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238.5999999999998</v>
      </c>
      <c r="CU115" s="18">
        <f>CT115*VLOOKUP('Données projet'!$B$13,Paramètres!$A$1:$I$89,3,0)*VLOOKUP('Données projet'!$B$13,Paramètres!$A$1:$I$89,5,0)</f>
        <v>256.82903999999979</v>
      </c>
      <c r="CV115" s="14">
        <f t="shared" si="95"/>
        <v>62.045975460670917</v>
      </c>
      <c r="CW115" s="22">
        <f t="shared" si="67"/>
        <v>555.37398526066818</v>
      </c>
      <c r="CX115" s="60">
        <f t="shared" si="68"/>
        <v>829.08104527900264</v>
      </c>
      <c r="CY115" s="60">
        <f ca="1">AVERAGE(OFFSET($CX$3,0,0,'Données projet'!$E$13+1,1))-AVERAGE(OFFSET($H$3,0,0,'Données projet'!$E$13+1,1))</f>
        <v>465.51503238626822</v>
      </c>
      <c r="CZ115" s="60">
        <f t="shared" si="96"/>
        <v>205.55320107663496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</v>
      </c>
      <c r="DO115" s="13">
        <f>IF('Données projet'!$A$166&gt;35,DO114+DN115-DW114,IF(A115&lt;'Données projet'!$A$166,$DL$205^A115,IF(A115='Données projet'!$A$166,'Données projet'!$B$166,DO114+DN115-DW114)))</f>
        <v>238.5999999999998</v>
      </c>
      <c r="DP115" s="18">
        <f>DO115*VLOOKUP('Données projet'!$B$14,Paramètres!$A$1:$I$89,3,0)*VLOOKUP('Données projet'!$B$14,Paramètres!$A$1:$I$89,5,0)</f>
        <v>204.71879999999985</v>
      </c>
      <c r="DQ115" s="14">
        <f t="shared" si="97"/>
        <v>50.779805444996668</v>
      </c>
      <c r="DR115" s="22">
        <f t="shared" si="70"/>
        <v>444.99340448336892</v>
      </c>
      <c r="DS115" s="60">
        <f t="shared" si="71"/>
        <v>718.70046450170332</v>
      </c>
      <c r="DT115" s="60">
        <f ca="1">AVERAGE(OFFSET($DS$3,0,0,'Données projet'!$E$14+1,1))-AVERAGE(OFFSET($H$3,0,0,'Données projet'!$E$14+1,1))</f>
        <v>393.79546872270964</v>
      </c>
      <c r="DU115" s="60">
        <f t="shared" si="98"/>
        <v>179.7333990060757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135.66666666666666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4.2115384615384643</v>
      </c>
      <c r="N116" s="14">
        <f>IF('Données projet'!$A$36&gt;35,N115+M116-V115,IF(A116&lt;'Données projet'!$A$36,$K$205^A116,IF(A116='Données projet'!$A$36,'Données projet'!$B$36,N115+M116-V115)))</f>
        <v>297.51538461538502</v>
      </c>
      <c r="O116" s="14">
        <f>N116*VLOOKUP('Données projet'!$B$9,Paramètres!$A$1:$I$89,3,0)*VLOOKUP('Données projet'!$B$9,Paramètres!$A$1:$I$89,5,0)</f>
        <v>139.23720000000017</v>
      </c>
      <c r="P116" s="14">
        <f t="shared" si="87"/>
        <v>36.1222032005182</v>
      </c>
      <c r="Q116" s="22">
        <f t="shared" si="107"/>
        <v>305.41762724090285</v>
      </c>
      <c r="R116" s="60">
        <f t="shared" si="55"/>
        <v>579.46515922347862</v>
      </c>
      <c r="S116" s="60">
        <f ca="1">AVERAGE(OFFSET($R$3,0,0,'Données projet'!$E$9+1,1))-AVERAGE(OFFSET($H$3,0,0,'Données projet'!$E$9+1,1))</f>
        <v>291.44524568678776</v>
      </c>
      <c r="T116" s="60">
        <f t="shared" si="88"/>
        <v>136.43373205899937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-2.9558577807620169E-14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300.72820267660154</v>
      </c>
      <c r="AO116" s="60">
        <f t="shared" si="90"/>
        <v>228.35388778608589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221.18884567967481</v>
      </c>
      <c r="BJ116" s="60">
        <f t="shared" si="92"/>
        <v>189.31596996710888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1.3150000000000006</v>
      </c>
      <c r="BY116" s="13">
        <f>IF('Données projet'!$A$114&gt;35,BY115+BX116-CG115,IF(A116&lt;'Données projet'!$A$114,$BV$205^A116,IF(A116='Données projet'!$A$114,'Données projet'!$B$114,BY115+BX116-CG115)))</f>
        <v>111.43666666666664</v>
      </c>
      <c r="BZ116" s="14">
        <f>BY116*VLOOKUP('Données projet'!$B$12,Paramètres!$A$1:$I$89,3,0)*VLOOKUP('Données projet'!$B$12,Paramètres!$A$1:$I$89,5,0)</f>
        <v>128.37503999999996</v>
      </c>
      <c r="CA116" s="14">
        <f t="shared" si="93"/>
        <v>33.6206043519106</v>
      </c>
      <c r="CB116" s="22">
        <f t="shared" si="64"/>
        <v>282.14241391291085</v>
      </c>
      <c r="CC116" s="60">
        <f t="shared" si="65"/>
        <v>556.18994589548674</v>
      </c>
      <c r="CD116" s="60">
        <f ca="1">AVERAGE(OFFSET($CC$3,0,0,'Données projet'!$E$12+1,1))-AVERAGE(OFFSET($H$3,0,0,'Données projet'!$E$12+1,1))</f>
        <v>314.72063458462026</v>
      </c>
      <c r="CE116" s="60">
        <f t="shared" si="94"/>
        <v>216.4380325968244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241.39999999999981</v>
      </c>
      <c r="CU116" s="18">
        <f>CT116*VLOOKUP('Données projet'!$B$13,Paramètres!$A$1:$I$89,3,0)*VLOOKUP('Données projet'!$B$13,Paramètres!$A$1:$I$89,5,0)</f>
        <v>259.84295999999978</v>
      </c>
      <c r="CV116" s="14">
        <f t="shared" si="95"/>
        <v>62.688902197302923</v>
      </c>
      <c r="CW116" s="22">
        <f t="shared" si="67"/>
        <v>561.74299332696876</v>
      </c>
      <c r="CX116" s="60">
        <f t="shared" si="68"/>
        <v>835.79052530954459</v>
      </c>
      <c r="CY116" s="60">
        <f ca="1">AVERAGE(OFFSET($CX$3,0,0,'Données projet'!$E$13+1,1))-AVERAGE(OFFSET($H$3,0,0,'Données projet'!$E$13+1,1))</f>
        <v>465.51503238626822</v>
      </c>
      <c r="CZ116" s="60">
        <f t="shared" si="96"/>
        <v>205.55320107663496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</v>
      </c>
      <c r="DO116" s="13">
        <f>IF('Données projet'!$A$166&gt;35,DO115+DN116-DW115,IF(A116&lt;'Données projet'!$A$166,$DL$205^A116,IF(A116='Données projet'!$A$166,'Données projet'!$B$166,DO115+DN116-DW115)))</f>
        <v>241.39999999999981</v>
      </c>
      <c r="DP116" s="18">
        <f>DO116*VLOOKUP('Données projet'!$B$14,Paramètres!$A$1:$I$89,3,0)*VLOOKUP('Données projet'!$B$14,Paramètres!$A$1:$I$89,5,0)</f>
        <v>207.12119999999985</v>
      </c>
      <c r="DQ116" s="14">
        <f t="shared" si="97"/>
        <v>51.305990976921365</v>
      </c>
      <c r="DR116" s="22">
        <f t="shared" si="70"/>
        <v>450.09402428480439</v>
      </c>
      <c r="DS116" s="60">
        <f t="shared" si="71"/>
        <v>724.14155626738022</v>
      </c>
      <c r="DT116" s="60">
        <f ca="1">AVERAGE(OFFSET($DS$3,0,0,'Données projet'!$E$14+1,1))-AVERAGE(OFFSET($H$3,0,0,'Données projet'!$E$14+1,1))</f>
        <v>393.79546872270964</v>
      </c>
      <c r="DU116" s="60">
        <f t="shared" si="98"/>
        <v>179.7333990060757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135.66666666666666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4.2115384615384643</v>
      </c>
      <c r="N117" s="14">
        <f>IF('Données projet'!$A$36&gt;35,N116+M117-V116,IF(A117&lt;'Données projet'!$A$36,$K$205^A117,IF(A117='Données projet'!$A$36,'Données projet'!$B$36,N116+M117-V116)))</f>
        <v>301.72692307692347</v>
      </c>
      <c r="O117" s="14">
        <f>N117*VLOOKUP('Données projet'!$B$9,Paramètres!$A$1:$I$89,3,0)*VLOOKUP('Données projet'!$B$9,Paramètres!$A$1:$I$89,5,0)</f>
        <v>141.20820000000018</v>
      </c>
      <c r="P117" s="14">
        <f t="shared" si="87"/>
        <v>36.573648575322004</v>
      </c>
      <c r="Q117" s="22">
        <f t="shared" si="107"/>
        <v>309.63671960201947</v>
      </c>
      <c r="R117" s="60">
        <f t="shared" si="55"/>
        <v>584.01881712143847</v>
      </c>
      <c r="S117" s="60">
        <f ca="1">AVERAGE(OFFSET($R$3,0,0,'Données projet'!$E$9+1,1))-AVERAGE(OFFSET($H$3,0,0,'Données projet'!$E$9+1,1))</f>
        <v>291.44524568678776</v>
      </c>
      <c r="T117" s="60">
        <f t="shared" si="88"/>
        <v>136.43373205899937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-2.9558577807620169E-14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300.72820267660154</v>
      </c>
      <c r="AO117" s="60">
        <f t="shared" si="90"/>
        <v>228.35388778608589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221.18884567967481</v>
      </c>
      <c r="BJ117" s="60">
        <f t="shared" si="92"/>
        <v>189.31596996710888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1.3150000000000006</v>
      </c>
      <c r="BY117" s="13">
        <f>IF('Données projet'!$A$114&gt;35,BY116+BX117-CG116,IF(A117&lt;'Données projet'!$A$114,$BV$205^A117,IF(A117='Données projet'!$A$114,'Données projet'!$B$114,BY116+BX117-CG116)))</f>
        <v>112.75166666666664</v>
      </c>
      <c r="BZ117" s="14">
        <f>BY117*VLOOKUP('Données projet'!$B$12,Paramètres!$A$1:$I$89,3,0)*VLOOKUP('Données projet'!$B$12,Paramètres!$A$1:$I$89,5,0)</f>
        <v>129.88991999999996</v>
      </c>
      <c r="CA117" s="14">
        <f t="shared" si="93"/>
        <v>33.970921822434136</v>
      </c>
      <c r="CB117" s="22">
        <f t="shared" si="64"/>
        <v>285.39096617407273</v>
      </c>
      <c r="CC117" s="60">
        <f t="shared" si="65"/>
        <v>559.77306369349174</v>
      </c>
      <c r="CD117" s="60">
        <f ca="1">AVERAGE(OFFSET($CC$3,0,0,'Données projet'!$E$12+1,1))-AVERAGE(OFFSET($H$3,0,0,'Données projet'!$E$12+1,1))</f>
        <v>314.72063458462026</v>
      </c>
      <c r="CE117" s="60">
        <f t="shared" si="94"/>
        <v>216.4380325968244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244.19999999999982</v>
      </c>
      <c r="CU117" s="18">
        <f>CT117*VLOOKUP('Données projet'!$B$13,Paramètres!$A$1:$I$89,3,0)*VLOOKUP('Données projet'!$B$13,Paramètres!$A$1:$I$89,5,0)</f>
        <v>262.85687999999976</v>
      </c>
      <c r="CV117" s="14">
        <f t="shared" si="95"/>
        <v>63.330961468082037</v>
      </c>
      <c r="CW117" s="22">
        <f t="shared" si="67"/>
        <v>568.11049055690899</v>
      </c>
      <c r="CX117" s="60">
        <f t="shared" si="68"/>
        <v>842.49258807632805</v>
      </c>
      <c r="CY117" s="60">
        <f ca="1">AVERAGE(OFFSET($CX$3,0,0,'Données projet'!$E$13+1,1))-AVERAGE(OFFSET($H$3,0,0,'Données projet'!$E$13+1,1))</f>
        <v>465.51503238626822</v>
      </c>
      <c r="CZ117" s="60">
        <f t="shared" si="96"/>
        <v>205.55320107663496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</v>
      </c>
      <c r="DO117" s="13">
        <f>IF('Données projet'!$A$166&gt;35,DO116+DN117-DW116,IF(A117&lt;'Données projet'!$A$166,$DL$205^A117,IF(A117='Données projet'!$A$166,'Données projet'!$B$166,DO116+DN117-DW116)))</f>
        <v>244.19999999999982</v>
      </c>
      <c r="DP117" s="18">
        <f>DO117*VLOOKUP('Données projet'!$B$14,Paramètres!$A$1:$I$89,3,0)*VLOOKUP('Données projet'!$B$14,Paramètres!$A$1:$I$89,5,0)</f>
        <v>209.52359999999987</v>
      </c>
      <c r="DQ117" s="14">
        <f t="shared" si="97"/>
        <v>51.831466555510438</v>
      </c>
      <c r="DR117" s="22">
        <f t="shared" si="70"/>
        <v>455.19340758418042</v>
      </c>
      <c r="DS117" s="60">
        <f t="shared" si="71"/>
        <v>729.57550510359943</v>
      </c>
      <c r="DT117" s="60">
        <f ca="1">AVERAGE(OFFSET($DS$3,0,0,'Données projet'!$E$14+1,1))-AVERAGE(OFFSET($H$3,0,0,'Données projet'!$E$14+1,1))</f>
        <v>393.79546872270964</v>
      </c>
      <c r="DU117" s="60">
        <f t="shared" si="98"/>
        <v>179.7333990060757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135.66666666666666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4.2115384615384643</v>
      </c>
      <c r="N118" s="14">
        <f>IF('Données projet'!$A$36&gt;35,N117+M118-V117,IF(A118&lt;'Données projet'!$A$36,$K$205^A118,IF(A118='Données projet'!$A$36,'Données projet'!$B$36,N117+M118-V117)))</f>
        <v>305.93846153846192</v>
      </c>
      <c r="O118" s="14">
        <f>N118*VLOOKUP('Données projet'!$B$9,Paramètres!$A$1:$I$89,3,0)*VLOOKUP('Données projet'!$B$9,Paramètres!$A$1:$I$89,5,0)</f>
        <v>143.17920000000018</v>
      </c>
      <c r="P118" s="14">
        <f t="shared" si="87"/>
        <v>37.024361046195686</v>
      </c>
      <c r="Q118" s="22">
        <f t="shared" si="107"/>
        <v>313.8545354887911</v>
      </c>
      <c r="R118" s="60">
        <f t="shared" si="55"/>
        <v>588.56539458096552</v>
      </c>
      <c r="S118" s="60">
        <f ca="1">AVERAGE(OFFSET($R$3,0,0,'Données projet'!$E$9+1,1))-AVERAGE(OFFSET($H$3,0,0,'Données projet'!$E$9+1,1))</f>
        <v>291.44524568678776</v>
      </c>
      <c r="T118" s="60">
        <f t="shared" si="88"/>
        <v>136.43373205899937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-2.9558577807620169E-14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300.72820267660154</v>
      </c>
      <c r="AO118" s="60">
        <f t="shared" si="90"/>
        <v>228.35388778608589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221.18884567967481</v>
      </c>
      <c r="BJ118" s="60">
        <f t="shared" si="92"/>
        <v>189.31596996710888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1.3150000000000006</v>
      </c>
      <c r="BY118" s="13">
        <f>IF('Données projet'!$A$114&gt;35,BY117+BX118-CG117,IF(A118&lt;'Données projet'!$A$114,$BV$205^A118,IF(A118='Données projet'!$A$114,'Données projet'!$B$114,BY117+BX118-CG117)))</f>
        <v>114.06666666666663</v>
      </c>
      <c r="BZ118" s="14">
        <f>BY118*VLOOKUP('Données projet'!$B$12,Paramètres!$A$1:$I$89,3,0)*VLOOKUP('Données projet'!$B$12,Paramètres!$A$1:$I$89,5,0)</f>
        <v>131.40479999999994</v>
      </c>
      <c r="CA118" s="14">
        <f t="shared" si="93"/>
        <v>34.320764030820762</v>
      </c>
      <c r="CB118" s="22">
        <f t="shared" si="64"/>
        <v>288.63869068701268</v>
      </c>
      <c r="CC118" s="60">
        <f t="shared" si="65"/>
        <v>563.3495497791871</v>
      </c>
      <c r="CD118" s="60">
        <f ca="1">AVERAGE(OFFSET($CC$3,0,0,'Données projet'!$E$12+1,1))-AVERAGE(OFFSET($H$3,0,0,'Données projet'!$E$12+1,1))</f>
        <v>314.72063458462026</v>
      </c>
      <c r="CE118" s="60">
        <f t="shared" si="94"/>
        <v>216.4380325968244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246.99999999999983</v>
      </c>
      <c r="CU118" s="18">
        <f>CT118*VLOOKUP('Données projet'!$B$13,Paramètres!$A$1:$I$89,3,0)*VLOOKUP('Données projet'!$B$13,Paramètres!$A$1:$I$89,5,0)</f>
        <v>265.8707999999998</v>
      </c>
      <c r="CV118" s="14">
        <f t="shared" si="95"/>
        <v>63.972164370221726</v>
      </c>
      <c r="CW118" s="22">
        <f t="shared" si="67"/>
        <v>574.47649627813587</v>
      </c>
      <c r="CX118" s="60">
        <f t="shared" si="68"/>
        <v>849.18735537031034</v>
      </c>
      <c r="CY118" s="60">
        <f ca="1">AVERAGE(OFFSET($CX$3,0,0,'Données projet'!$E$13+1,1))-AVERAGE(OFFSET($H$3,0,0,'Données projet'!$E$13+1,1))</f>
        <v>465.51503238626822</v>
      </c>
      <c r="CZ118" s="60">
        <f t="shared" si="96"/>
        <v>205.55320107663496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2.8</v>
      </c>
      <c r="DO118" s="13">
        <f>IF('Données projet'!$A$166&gt;35,DO117+DN118-DW117,IF(A118&lt;'Données projet'!$A$166,$DL$205^A118,IF(A118='Données projet'!$A$166,'Données projet'!$B$166,DO117+DN118-DW117)))</f>
        <v>246.99999999999983</v>
      </c>
      <c r="DP118" s="18">
        <f>DO118*VLOOKUP('Données projet'!$B$14,Paramètres!$A$1:$I$89,3,0)*VLOOKUP('Données projet'!$B$14,Paramètres!$A$1:$I$89,5,0)</f>
        <v>211.92599999999987</v>
      </c>
      <c r="DQ118" s="14">
        <f t="shared" si="97"/>
        <v>52.356241262970116</v>
      </c>
      <c r="DR118" s="22">
        <f t="shared" si="70"/>
        <v>460.29157019967266</v>
      </c>
      <c r="DS118" s="60">
        <f t="shared" si="71"/>
        <v>735.00242929184708</v>
      </c>
      <c r="DT118" s="60">
        <f ca="1">AVERAGE(OFFSET($DS$3,0,0,'Données projet'!$E$14+1,1))-AVERAGE(OFFSET($H$3,0,0,'Données projet'!$E$14+1,1))</f>
        <v>393.79546872270964</v>
      </c>
      <c r="DU118" s="60">
        <f t="shared" si="98"/>
        <v>179.7333990060757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135.66666666666666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4.2115384615384643</v>
      </c>
      <c r="N119" s="14">
        <f>IF('Données projet'!$A$36&gt;35,N118+M119-V118,IF(A119&lt;'Données projet'!$A$36,$K$205^A119,IF(A119='Données projet'!$A$36,'Données projet'!$B$36,N118+M119-V118)))</f>
        <v>310.15000000000038</v>
      </c>
      <c r="O119" s="14">
        <f>N119*VLOOKUP('Données projet'!$B$9,Paramètres!$A$1:$I$89,3,0)*VLOOKUP('Données projet'!$B$9,Paramètres!$A$1:$I$89,5,0)</f>
        <v>145.15020000000015</v>
      </c>
      <c r="P119" s="14">
        <f t="shared" si="87"/>
        <v>37.474351868340655</v>
      </c>
      <c r="Q119" s="22">
        <f t="shared" si="107"/>
        <v>318.07109450402692</v>
      </c>
      <c r="R119" s="60">
        <f t="shared" si="55"/>
        <v>593.10501189067031</v>
      </c>
      <c r="S119" s="60">
        <f ca="1">AVERAGE(OFFSET($R$3,0,0,'Données projet'!$E$9+1,1))-AVERAGE(OFFSET($H$3,0,0,'Données projet'!$E$9+1,1))</f>
        <v>291.44524568678776</v>
      </c>
      <c r="T119" s="60">
        <f t="shared" si="88"/>
        <v>136.43373205899937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-2.9558577807620169E-14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300.72820267660154</v>
      </c>
      <c r="AO119" s="60">
        <f t="shared" si="90"/>
        <v>228.35388778608589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221.18884567967481</v>
      </c>
      <c r="BJ119" s="60">
        <f t="shared" si="92"/>
        <v>189.31596996710888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1.3150000000000006</v>
      </c>
      <c r="BY119" s="13">
        <f>IF('Données projet'!$A$114&gt;35,BY118+BX119-CG118,IF(A119&lt;'Données projet'!$A$114,$BV$205^A119,IF(A119='Données projet'!$A$114,'Données projet'!$B$114,BY118+BX119-CG118)))</f>
        <v>115.38166666666663</v>
      </c>
      <c r="BZ119" s="14">
        <f>BY119*VLOOKUP('Données projet'!$B$12,Paramètres!$A$1:$I$89,3,0)*VLOOKUP('Données projet'!$B$12,Paramètres!$A$1:$I$89,5,0)</f>
        <v>132.91967999999994</v>
      </c>
      <c r="CA119" s="14">
        <f t="shared" si="93"/>
        <v>34.670137089980948</v>
      </c>
      <c r="CB119" s="22">
        <f t="shared" si="64"/>
        <v>291.88559809838341</v>
      </c>
      <c r="CC119" s="60">
        <f t="shared" si="65"/>
        <v>566.91951548502675</v>
      </c>
      <c r="CD119" s="60">
        <f ca="1">AVERAGE(OFFSET($CC$3,0,0,'Données projet'!$E$12+1,1))-AVERAGE(OFFSET($H$3,0,0,'Données projet'!$E$12+1,1))</f>
        <v>314.72063458462026</v>
      </c>
      <c r="CE119" s="60">
        <f t="shared" si="94"/>
        <v>216.4380325968244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2.8</v>
      </c>
      <c r="CT119" s="13">
        <f>IF('Données projet'!$A$140&gt;35,CT118+CS119-DB118,IF(A119&lt;'Données projet'!$A$140,$CQ$205^A119,IF(A119='Données projet'!$A$140,'Données projet'!$B$140,CT118+CS119-DB118)))</f>
        <v>249.79999999999984</v>
      </c>
      <c r="CU119" s="18">
        <f>CT119*VLOOKUP('Données projet'!$B$13,Paramètres!$A$1:$I$89,3,0)*VLOOKUP('Données projet'!$B$13,Paramètres!$A$1:$I$89,5,0)</f>
        <v>268.88471999999985</v>
      </c>
      <c r="CV119" s="14">
        <f t="shared" si="95"/>
        <v>64.612521734854255</v>
      </c>
      <c r="CW119" s="22">
        <f t="shared" si="67"/>
        <v>580.8410293548709</v>
      </c>
      <c r="CX119" s="60">
        <f t="shared" si="68"/>
        <v>855.87494674151424</v>
      </c>
      <c r="CY119" s="60">
        <f ca="1">AVERAGE(OFFSET($CX$3,0,0,'Données projet'!$E$13+1,1))-AVERAGE(OFFSET($H$3,0,0,'Données projet'!$E$13+1,1))</f>
        <v>465.51503238626822</v>
      </c>
      <c r="CZ119" s="60">
        <f t="shared" si="96"/>
        <v>205.55320107663496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2.8</v>
      </c>
      <c r="DO119" s="13">
        <f>IF('Données projet'!$A$166&gt;35,DO118+DN119-DW118,IF(A119&lt;'Données projet'!$A$166,$DL$205^A119,IF(A119='Données projet'!$A$166,'Données projet'!$B$166,DO118+DN119-DW118)))</f>
        <v>249.79999999999984</v>
      </c>
      <c r="DP119" s="18">
        <f>DO119*VLOOKUP('Données projet'!$B$14,Paramètres!$A$1:$I$89,3,0)*VLOOKUP('Données projet'!$B$14,Paramètres!$A$1:$I$89,5,0)</f>
        <v>214.3283999999999</v>
      </c>
      <c r="DQ119" s="14">
        <f t="shared" si="97"/>
        <v>52.880323963739635</v>
      </c>
      <c r="DR119" s="22">
        <f t="shared" si="70"/>
        <v>465.38852757017963</v>
      </c>
      <c r="DS119" s="60">
        <f t="shared" si="71"/>
        <v>740.42244495682303</v>
      </c>
      <c r="DT119" s="60">
        <f ca="1">AVERAGE(OFFSET($DS$3,0,0,'Données projet'!$E$14+1,1))-AVERAGE(OFFSET($H$3,0,0,'Données projet'!$E$14+1,1))</f>
        <v>393.79546872270964</v>
      </c>
      <c r="DU119" s="60">
        <f t="shared" si="98"/>
        <v>179.7333990060757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135.66666666666666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4.2115384615384643</v>
      </c>
      <c r="N120" s="14">
        <f>IF('Données projet'!$A$36&gt;35,N119+M120-V119,IF(A120&lt;'Données projet'!$A$36,$K$205^A120,IF(A120='Données projet'!$A$36,'Données projet'!$B$36,N119+M120-V119)))</f>
        <v>314.36153846153883</v>
      </c>
      <c r="O120" s="14">
        <f>N120*VLOOKUP('Données projet'!$B$9,Paramètres!$A$1:$I$89,3,0)*VLOOKUP('Données projet'!$B$9,Paramètres!$A$1:$I$89,5,0)</f>
        <v>147.12120000000019</v>
      </c>
      <c r="P120" s="14">
        <f t="shared" si="87"/>
        <v>37.923631973724817</v>
      </c>
      <c r="Q120" s="22">
        <f t="shared" si="107"/>
        <v>322.28641568757104</v>
      </c>
      <c r="R120" s="60">
        <f t="shared" si="55"/>
        <v>597.63778702952436</v>
      </c>
      <c r="S120" s="60">
        <f ca="1">AVERAGE(OFFSET($R$3,0,0,'Données projet'!$E$9+1,1))-AVERAGE(OFFSET($H$3,0,0,'Données projet'!$E$9+1,1))</f>
        <v>291.44524568678776</v>
      </c>
      <c r="T120" s="60">
        <f t="shared" si="88"/>
        <v>136.43373205899937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-2.9558577807620169E-14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300.72820267660154</v>
      </c>
      <c r="AO120" s="60">
        <f t="shared" si="90"/>
        <v>228.35388778608589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221.18884567967481</v>
      </c>
      <c r="BJ120" s="60">
        <f t="shared" si="92"/>
        <v>189.31596996710888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1.3150000000000006</v>
      </c>
      <c r="BY120" s="13">
        <f>IF('Données projet'!$A$114&gt;35,BY119+BX120-CG119,IF(A120&lt;'Données projet'!$A$114,$BV$205^A120,IF(A120='Données projet'!$A$114,'Données projet'!$B$114,BY119+BX120-CG119)))</f>
        <v>116.69666666666663</v>
      </c>
      <c r="BZ120" s="14">
        <f>BY120*VLOOKUP('Données projet'!$B$12,Paramètres!$A$1:$I$89,3,0)*VLOOKUP('Données projet'!$B$12,Paramètres!$A$1:$I$89,5,0)</f>
        <v>134.43455999999995</v>
      </c>
      <c r="CA120" s="14">
        <f t="shared" si="93"/>
        <v>35.019046965466664</v>
      </c>
      <c r="CB120" s="22">
        <f t="shared" si="64"/>
        <v>295.13169879818764</v>
      </c>
      <c r="CC120" s="60">
        <f t="shared" si="65"/>
        <v>570.48307014014085</v>
      </c>
      <c r="CD120" s="60">
        <f ca="1">AVERAGE(OFFSET($CC$3,0,0,'Données projet'!$E$12+1,1))-AVERAGE(OFFSET($H$3,0,0,'Données projet'!$E$12+1,1))</f>
        <v>314.72063458462026</v>
      </c>
      <c r="CE120" s="60">
        <f t="shared" si="94"/>
        <v>216.4380325968244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2.8</v>
      </c>
      <c r="CT120" s="13">
        <f>IF('Données projet'!$A$140&gt;35,CT119+CS120-DB119,IF(A120&lt;'Données projet'!$A$140,$CQ$205^A120,IF(A120='Données projet'!$A$140,'Données projet'!$B$140,CT119+CS120-DB119)))</f>
        <v>252.59999999999985</v>
      </c>
      <c r="CU120" s="18">
        <f>CT120*VLOOKUP('Données projet'!$B$13,Paramètres!$A$1:$I$89,3,0)*VLOOKUP('Données projet'!$B$13,Paramètres!$A$1:$I$89,5,0)</f>
        <v>271.89863999999983</v>
      </c>
      <c r="CV120" s="14">
        <f t="shared" si="95"/>
        <v>65.252044136320308</v>
      </c>
      <c r="CW120" s="22">
        <f t="shared" si="67"/>
        <v>587.20410820409086</v>
      </c>
      <c r="CX120" s="60">
        <f t="shared" si="68"/>
        <v>862.55547954604413</v>
      </c>
      <c r="CY120" s="60">
        <f ca="1">AVERAGE(OFFSET($CX$3,0,0,'Données projet'!$E$13+1,1))-AVERAGE(OFFSET($H$3,0,0,'Données projet'!$E$13+1,1))</f>
        <v>465.51503238626822</v>
      </c>
      <c r="CZ120" s="60">
        <f t="shared" si="96"/>
        <v>205.55320107663496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2.8</v>
      </c>
      <c r="DO120" s="13">
        <f>IF('Données projet'!$A$166&gt;35,DO119+DN120-DW119,IF(A120&lt;'Données projet'!$A$166,$DL$205^A120,IF(A120='Données projet'!$A$166,'Données projet'!$B$166,DO119+DN120-DW119)))</f>
        <v>252.59999999999985</v>
      </c>
      <c r="DP120" s="18">
        <f>DO120*VLOOKUP('Données projet'!$B$14,Paramètres!$A$1:$I$89,3,0)*VLOOKUP('Données projet'!$B$14,Paramètres!$A$1:$I$89,5,0)</f>
        <v>216.73079999999987</v>
      </c>
      <c r="DQ120" s="14">
        <f t="shared" si="97"/>
        <v>53.403723312094598</v>
      </c>
      <c r="DR120" s="22">
        <f t="shared" si="70"/>
        <v>470.4842947685645</v>
      </c>
      <c r="DS120" s="60">
        <f t="shared" si="71"/>
        <v>745.83566611051776</v>
      </c>
      <c r="DT120" s="60">
        <f ca="1">AVERAGE(OFFSET($DS$3,0,0,'Données projet'!$E$14+1,1))-AVERAGE(OFFSET($H$3,0,0,'Données projet'!$E$14+1,1))</f>
        <v>393.79546872270964</v>
      </c>
      <c r="DU120" s="60">
        <f t="shared" si="98"/>
        <v>179.7333990060757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135.66666666666666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4.2115384615384643</v>
      </c>
      <c r="N121" s="14">
        <f>IF('Données projet'!$A$36&gt;35,N120+M121-V120,IF(A121&lt;'Données projet'!$A$36,$K$205^A121,IF(A121='Données projet'!$A$36,'Données projet'!$B$36,N120+M121-V120)))</f>
        <v>318.57307692307728</v>
      </c>
      <c r="O121" s="14">
        <f>N121*VLOOKUP('Données projet'!$B$9,Paramètres!$A$1:$I$89,3,0)*VLOOKUP('Données projet'!$B$9,Paramètres!$A$1:$I$89,5,0)</f>
        <v>149.09220000000016</v>
      </c>
      <c r="P121" s="14">
        <f t="shared" si="87"/>
        <v>38.372211984568558</v>
      </c>
      <c r="Q121" s="22">
        <f t="shared" si="107"/>
        <v>326.50051753979056</v>
      </c>
      <c r="R121" s="60">
        <f t="shared" si="55"/>
        <v>602.1638357206499</v>
      </c>
      <c r="S121" s="60">
        <f ca="1">AVERAGE(OFFSET($R$3,0,0,'Données projet'!$E$9+1,1))-AVERAGE(OFFSET($H$3,0,0,'Données projet'!$E$9+1,1))</f>
        <v>291.44524568678776</v>
      </c>
      <c r="T121" s="60">
        <f t="shared" si="88"/>
        <v>136.43373205899937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-2.9558577807620169E-14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300.72820267660154</v>
      </c>
      <c r="AO121" s="60">
        <f t="shared" si="90"/>
        <v>228.35388778608589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221.18884567967481</v>
      </c>
      <c r="BJ121" s="60">
        <f t="shared" si="92"/>
        <v>189.31596996710888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1.3150000000000006</v>
      </c>
      <c r="BY121" s="13">
        <f>IF('Données projet'!$A$114&gt;35,BY120+BX121-CG120,IF(A121&lt;'Données projet'!$A$114,$BV$205^A121,IF(A121='Données projet'!$A$114,'Données projet'!$B$114,BY120+BX121-CG120)))</f>
        <v>118.01166666666663</v>
      </c>
      <c r="BZ121" s="14">
        <f>BY121*VLOOKUP('Données projet'!$B$12,Paramètres!$A$1:$I$89,3,0)*VLOOKUP('Données projet'!$B$12,Paramètres!$A$1:$I$89,5,0)</f>
        <v>135.94943999999995</v>
      </c>
      <c r="CA121" s="14">
        <f t="shared" si="93"/>
        <v>35.367499480643595</v>
      </c>
      <c r="CB121" s="22">
        <f t="shared" si="64"/>
        <v>298.37700292878753</v>
      </c>
      <c r="CC121" s="60">
        <f t="shared" si="65"/>
        <v>574.04032110964681</v>
      </c>
      <c r="CD121" s="60">
        <f ca="1">AVERAGE(OFFSET($CC$3,0,0,'Données projet'!$E$12+1,1))-AVERAGE(OFFSET($H$3,0,0,'Données projet'!$E$12+1,1))</f>
        <v>314.72063458462026</v>
      </c>
      <c r="CE121" s="60">
        <f t="shared" si="94"/>
        <v>216.4380325968244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2.8</v>
      </c>
      <c r="CT121" s="13">
        <f>IF('Données projet'!$A$140&gt;35,CT120+CS121-DB120,IF(A121&lt;'Données projet'!$A$140,$CQ$205^A121,IF(A121='Données projet'!$A$140,'Données projet'!$B$140,CT120+CS121-DB120)))</f>
        <v>255.39999999999986</v>
      </c>
      <c r="CU121" s="18">
        <f>CT121*VLOOKUP('Données projet'!$B$13,Paramètres!$A$1:$I$89,3,0)*VLOOKUP('Données projet'!$B$13,Paramètres!$A$1:$I$89,5,0)</f>
        <v>274.91255999999981</v>
      </c>
      <c r="CV121" s="14">
        <f t="shared" si="95"/>
        <v>65.890741901034446</v>
      </c>
      <c r="CW121" s="22">
        <f t="shared" si="67"/>
        <v>593.56575081096798</v>
      </c>
      <c r="CX121" s="60">
        <f t="shared" si="68"/>
        <v>869.22906899182726</v>
      </c>
      <c r="CY121" s="60">
        <f ca="1">AVERAGE(OFFSET($CX$3,0,0,'Données projet'!$E$13+1,1))-AVERAGE(OFFSET($H$3,0,0,'Données projet'!$E$13+1,1))</f>
        <v>465.51503238626822</v>
      </c>
      <c r="CZ121" s="60">
        <f t="shared" si="96"/>
        <v>205.55320107663496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2.8</v>
      </c>
      <c r="DO121" s="13">
        <f>IF('Données projet'!$A$166&gt;35,DO120+DN121-DW120,IF(A121&lt;'Données projet'!$A$166,$DL$205^A121,IF(A121='Données projet'!$A$166,'Données projet'!$B$166,DO120+DN121-DW120)))</f>
        <v>255.39999999999986</v>
      </c>
      <c r="DP121" s="18">
        <f>DO121*VLOOKUP('Données projet'!$B$14,Paramètres!$A$1:$I$89,3,0)*VLOOKUP('Données projet'!$B$14,Paramètres!$A$1:$I$89,5,0)</f>
        <v>219.13319999999993</v>
      </c>
      <c r="DQ121" s="14">
        <f t="shared" si="97"/>
        <v>53.926447759402166</v>
      </c>
      <c r="DR121" s="22">
        <f t="shared" si="70"/>
        <v>475.57888651429198</v>
      </c>
      <c r="DS121" s="60">
        <f t="shared" si="71"/>
        <v>751.24220469515126</v>
      </c>
      <c r="DT121" s="60">
        <f ca="1">AVERAGE(OFFSET($DS$3,0,0,'Données projet'!$E$14+1,1))-AVERAGE(OFFSET($H$3,0,0,'Données projet'!$E$14+1,1))</f>
        <v>393.79546872270964</v>
      </c>
      <c r="DU121" s="60">
        <f t="shared" si="98"/>
        <v>179.7333990060757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135.66666666666666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>
        <f>VLOOKUP(A122,'Données projet'!$A$35:$I$55,2,0)</f>
        <v>322.78461538461539</v>
      </c>
      <c r="L122" s="13">
        <f>VLOOKUP(A122,'Données projet'!$A$35:$I$55,9,0)</f>
        <v>4.2115384615384643</v>
      </c>
      <c r="M122" s="13">
        <f t="array" ref="M122">INDEX(L:L,MIN(IF(ISNUMBER(L122:L318),ROW(L122:L318),"")))</f>
        <v>4.2115384615384643</v>
      </c>
      <c r="N122" s="14">
        <f>IF('Données projet'!$A$36&gt;35,N121+M122-V121,IF(A122&lt;'Données projet'!$A$36,$K$205^A122,IF(A122='Données projet'!$A$36,'Données projet'!$B$36,N121+M122-V121)))</f>
        <v>322.78461538461573</v>
      </c>
      <c r="O122" s="14">
        <f>N122*VLOOKUP('Données projet'!$B$9,Paramètres!$A$1:$I$89,3,0)*VLOOKUP('Données projet'!$B$9,Paramètres!$A$1:$I$89,5,0)</f>
        <v>151.06320000000017</v>
      </c>
      <c r="P122" s="14">
        <f t="shared" si="87"/>
        <v>38.820102226097937</v>
      </c>
      <c r="Q122" s="22">
        <f t="shared" si="107"/>
        <v>330.7134180437875</v>
      </c>
      <c r="R122" s="60">
        <f t="shared" si="55"/>
        <v>606.6832714833065</v>
      </c>
      <c r="S122" s="60">
        <f ca="1">AVERAGE(OFFSET($R$3,0,0,'Données projet'!$E$9+1,1))-AVERAGE(OFFSET($H$3,0,0,'Données projet'!$E$9+1,1))</f>
        <v>291.44524568678776</v>
      </c>
      <c r="T122" s="60">
        <f t="shared" si="88"/>
        <v>136.43373205899937</v>
      </c>
      <c r="U122" s="16">
        <f>IF(ISNA(VLOOKUP(A122,'Données projet'!$A$35:$I$55,3,0)),0,VLOOKUP(A122,'Données projet'!$A$35:$I$55,3,0))</f>
        <v>4</v>
      </c>
      <c r="V122" s="16">
        <f>IF(ISNA(VLOOKUP(A122,'Données projet'!$A$35:$I$55,4,0)),0,VLOOKUP(A122,'Données projet'!$A$35:$I$55,4,0))</f>
        <v>59.215384615384615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-2.9558577807620169E-14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300.72820267660154</v>
      </c>
      <c r="AO122" s="60">
        <f t="shared" si="90"/>
        <v>228.35388778608589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221.18884567967481</v>
      </c>
      <c r="BJ122" s="60">
        <f t="shared" si="92"/>
        <v>189.31596996710888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1.3150000000000006</v>
      </c>
      <c r="BY122" s="13">
        <f>IF('Données projet'!$A$114&gt;35,BY121+BX122-CG121,IF(A122&lt;'Données projet'!$A$114,$BV$205^A122,IF(A122='Données projet'!$A$114,'Données projet'!$B$114,BY121+BX122-CG121)))</f>
        <v>119.32666666666663</v>
      </c>
      <c r="BZ122" s="14">
        <f>BY122*VLOOKUP('Données projet'!$B$12,Paramètres!$A$1:$I$89,3,0)*VLOOKUP('Données projet'!$B$12,Paramètres!$A$1:$I$89,5,0)</f>
        <v>137.46431999999996</v>
      </c>
      <c r="CA122" s="14">
        <f t="shared" si="93"/>
        <v>35.715500321625576</v>
      </c>
      <c r="CB122" s="22">
        <f t="shared" si="64"/>
        <v>301.6215203934978</v>
      </c>
      <c r="CC122" s="60">
        <f t="shared" si="65"/>
        <v>577.59137383301686</v>
      </c>
      <c r="CD122" s="60">
        <f ca="1">AVERAGE(OFFSET($CC$3,0,0,'Données projet'!$E$12+1,1))-AVERAGE(OFFSET($H$3,0,0,'Données projet'!$E$12+1,1))</f>
        <v>314.72063458462026</v>
      </c>
      <c r="CE122" s="60">
        <f t="shared" si="94"/>
        <v>216.4380325968244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2.8</v>
      </c>
      <c r="CT122" s="13">
        <f>IF('Données projet'!$A$140&gt;35,CT121+CS122-DB121,IF(A122&lt;'Données projet'!$A$140,$CQ$205^A122,IF(A122='Données projet'!$A$140,'Données projet'!$B$140,CT121+CS122-DB121)))</f>
        <v>258.19999999999987</v>
      </c>
      <c r="CU122" s="18">
        <f>CT122*VLOOKUP('Données projet'!$B$13,Paramètres!$A$1:$I$89,3,0)*VLOOKUP('Données projet'!$B$13,Paramètres!$A$1:$I$89,5,0)</f>
        <v>277.92647999999986</v>
      </c>
      <c r="CV122" s="14">
        <f t="shared" si="95"/>
        <v>66.528625115951257</v>
      </c>
      <c r="CW122" s="22">
        <f t="shared" si="67"/>
        <v>599.92597474361492</v>
      </c>
      <c r="CX122" s="60">
        <f t="shared" si="68"/>
        <v>875.89582818313397</v>
      </c>
      <c r="CY122" s="60">
        <f ca="1">AVERAGE(OFFSET($CX$3,0,0,'Données projet'!$E$13+1,1))-AVERAGE(OFFSET($H$3,0,0,'Données projet'!$E$13+1,1))</f>
        <v>465.51503238626822</v>
      </c>
      <c r="CZ122" s="60">
        <f t="shared" si="96"/>
        <v>205.55320107663496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2.8</v>
      </c>
      <c r="DO122" s="13">
        <f>IF('Données projet'!$A$166&gt;35,DO121+DN122-DW121,IF(A122&lt;'Données projet'!$A$166,$DL$205^A122,IF(A122='Données projet'!$A$166,'Données projet'!$B$166,DO121+DN122-DW121)))</f>
        <v>258.19999999999987</v>
      </c>
      <c r="DP122" s="18">
        <f>DO122*VLOOKUP('Données projet'!$B$14,Paramètres!$A$1:$I$89,3,0)*VLOOKUP('Données projet'!$B$14,Paramètres!$A$1:$I$89,5,0)</f>
        <v>221.5355999999999</v>
      </c>
      <c r="DQ122" s="14">
        <f t="shared" si="97"/>
        <v>54.448505561050183</v>
      </c>
      <c r="DR122" s="22">
        <f t="shared" si="70"/>
        <v>480.67231718549561</v>
      </c>
      <c r="DS122" s="60">
        <f t="shared" si="71"/>
        <v>756.64217062501461</v>
      </c>
      <c r="DT122" s="60">
        <f ca="1">AVERAGE(OFFSET($DS$3,0,0,'Données projet'!$E$14+1,1))-AVERAGE(OFFSET($H$3,0,0,'Données projet'!$E$14+1,1))</f>
        <v>393.79546872270964</v>
      </c>
      <c r="DU122" s="60">
        <f t="shared" si="98"/>
        <v>179.7333990060757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135.66666666666666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3.7076923076923061</v>
      </c>
      <c r="N123" s="14">
        <f>IF('Données projet'!$A$36&gt;35,N122+M123-V122,IF(A123&lt;'Données projet'!$A$36,$K$205^A123,IF(A123='Données projet'!$A$36,'Données projet'!$B$36,N122+M123-V122)))</f>
        <v>267.27692307692342</v>
      </c>
      <c r="O123" s="14">
        <f>N123*VLOOKUP('Données projet'!$B$9,Paramètres!$A$1:$I$89,3,0)*VLOOKUP('Données projet'!$B$9,Paramètres!$A$1:$I$89,5,0)</f>
        <v>125.08560000000016</v>
      </c>
      <c r="P123" s="14">
        <f t="shared" si="87"/>
        <v>32.858251495704685</v>
      </c>
      <c r="Q123" s="22">
        <f t="shared" si="107"/>
        <v>275.0855413550193</v>
      </c>
      <c r="R123" s="60">
        <f t="shared" si="55"/>
        <v>551.35661235177054</v>
      </c>
      <c r="S123" s="60">
        <f ca="1">AVERAGE(OFFSET($R$3,0,0,'Données projet'!$E$9+1,1))-AVERAGE(OFFSET($H$3,0,0,'Données projet'!$E$9+1,1))</f>
        <v>291.44524568678776</v>
      </c>
      <c r="T123" s="60">
        <f t="shared" si="88"/>
        <v>136.43373205899937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-2.9558577807620169E-14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300.72820267660154</v>
      </c>
      <c r="AO123" s="60">
        <f t="shared" si="90"/>
        <v>228.35388778608589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221.18884567967481</v>
      </c>
      <c r="BJ123" s="60">
        <f t="shared" si="92"/>
        <v>189.31596996710888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120.64166666666668</v>
      </c>
      <c r="BW123" s="13">
        <f>VLOOKUP(A123,'Données projet'!$A$113:$I$133,9,0)</f>
        <v>1.3150000000000006</v>
      </c>
      <c r="BX123" s="13">
        <f t="array" ref="BX123">INDEX(BW:BW,MIN(IF(ISNUMBER(BW123:BW319),ROW(BW123:BW319),"")))</f>
        <v>1.3150000000000006</v>
      </c>
      <c r="BY123" s="13">
        <f>IF('Données projet'!$A$114&gt;35,BY122+BX123-CG122,IF(A123&lt;'Données projet'!$A$114,$BV$205^A123,IF(A123='Données projet'!$A$114,'Données projet'!$B$114,BY122+BX123-CG122)))</f>
        <v>120.64166666666662</v>
      </c>
      <c r="BZ123" s="14">
        <f>BY123*VLOOKUP('Données projet'!$B$12,Paramètres!$A$1:$I$89,3,0)*VLOOKUP('Données projet'!$B$12,Paramètres!$A$1:$I$89,5,0)</f>
        <v>138.97919999999993</v>
      </c>
      <c r="CA123" s="14">
        <f t="shared" si="93"/>
        <v>36.063055041985905</v>
      </c>
      <c r="CB123" s="22">
        <f t="shared" si="64"/>
        <v>304.86526086479199</v>
      </c>
      <c r="CC123" s="60">
        <f t="shared" si="65"/>
        <v>581.13633186154311</v>
      </c>
      <c r="CD123" s="60">
        <f ca="1">AVERAGE(OFFSET($CC$3,0,0,'Données projet'!$E$12+1,1))-AVERAGE(OFFSET($H$3,0,0,'Données projet'!$E$12+1,1))</f>
        <v>314.72063458462026</v>
      </c>
      <c r="CE123" s="60">
        <f t="shared" si="94"/>
        <v>216.4380325968244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8.875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261</v>
      </c>
      <c r="CR123" s="13">
        <f>VLOOKUP(A123,'Données projet'!$A$139:$I$159,9,0)</f>
        <v>2.8</v>
      </c>
      <c r="CS123" s="13">
        <f t="array" ref="CS123">INDEX(CR:CR,MIN(IF(ISNUMBER(CR123:CR319),ROW(CR123:CR319),"")))</f>
        <v>2.8</v>
      </c>
      <c r="CT123" s="13">
        <f>IF('Données projet'!$A$140&gt;35,CT122+CS123-DB122,IF(A123&lt;'Données projet'!$A$140,$CQ$205^A123,IF(A123='Données projet'!$A$140,'Données projet'!$B$140,CT122+CS123-DB122)))</f>
        <v>260.99999999999989</v>
      </c>
      <c r="CU123" s="18">
        <f>CT123*VLOOKUP('Données projet'!$B$13,Paramètres!$A$1:$I$89,3,0)*VLOOKUP('Données projet'!$B$13,Paramètres!$A$1:$I$89,5,0)</f>
        <v>280.9403999999999</v>
      </c>
      <c r="CV123" s="14">
        <f t="shared" si="95"/>
        <v>67.165703636653205</v>
      </c>
      <c r="CW123" s="22">
        <f t="shared" si="67"/>
        <v>606.28479716717072</v>
      </c>
      <c r="CX123" s="60">
        <f t="shared" si="68"/>
        <v>882.5558681639219</v>
      </c>
      <c r="CY123" s="60">
        <f ca="1">AVERAGE(OFFSET($CX$3,0,0,'Données projet'!$E$13+1,1))-AVERAGE(OFFSET($H$3,0,0,'Données projet'!$E$13+1,1))</f>
        <v>465.51503238626822</v>
      </c>
      <c r="CZ123" s="60">
        <f t="shared" si="96"/>
        <v>205.55320107663496</v>
      </c>
      <c r="DA123" s="16">
        <f>IF(ISNA(VLOOKUP(A123,'Données projet'!$A$139:$I$159,3,0)),0,VLOOKUP(A123,'Données projet'!$A$139:$I$159,3,0))</f>
        <v>8</v>
      </c>
      <c r="DB123" s="16">
        <f>IF(ISNA(VLOOKUP(A123,'Données projet'!$A$139:$I$159,4,0)),0,VLOOKUP(A123,'Données projet'!$A$139:$I$159,4,0))</f>
        <v>52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261</v>
      </c>
      <c r="DM123" s="13">
        <f>VLOOKUP(A123,'Données projet'!$A$165:$I$185,9,0)</f>
        <v>2.8</v>
      </c>
      <c r="DN123" s="13">
        <f t="array" ref="DN123">INDEX(DM:DM,MIN(IF(ISNUMBER(DM123:DM319),ROW(DM123:DM319),"")))</f>
        <v>2.8</v>
      </c>
      <c r="DO123" s="13">
        <f>IF('Données projet'!$A$166&gt;35,DO122+DN123-DW122,IF(A123&lt;'Données projet'!$A$166,$DL$205^A123,IF(A123='Données projet'!$A$166,'Données projet'!$B$166,DO122+DN123-DW122)))</f>
        <v>260.99999999999989</v>
      </c>
      <c r="DP123" s="18">
        <f>DO123*VLOOKUP('Données projet'!$B$14,Paramètres!$A$1:$I$89,3,0)*VLOOKUP('Données projet'!$B$14,Paramètres!$A$1:$I$89,5,0)</f>
        <v>223.93799999999993</v>
      </c>
      <c r="DQ123" s="14">
        <f t="shared" si="97"/>
        <v>54.969904783066404</v>
      </c>
      <c r="DR123" s="22">
        <f t="shared" si="70"/>
        <v>485.76460083050711</v>
      </c>
      <c r="DS123" s="60">
        <f t="shared" si="71"/>
        <v>762.03567182725828</v>
      </c>
      <c r="DT123" s="60">
        <f ca="1">AVERAGE(OFFSET($DS$3,0,0,'Données projet'!$E$14+1,1))-AVERAGE(OFFSET($H$3,0,0,'Données projet'!$E$14+1,1))</f>
        <v>393.79546872270964</v>
      </c>
      <c r="DU123" s="60">
        <f t="shared" si="98"/>
        <v>179.7333990060757</v>
      </c>
      <c r="DV123" s="16">
        <f>IF(ISNA(VLOOKUP(A123,'Données projet'!$A$165:$I$185,3,0)),0,VLOOKUP(A123,'Données projet'!$A$165:$I$185,3,0))</f>
        <v>8</v>
      </c>
      <c r="DW123" s="16">
        <f>IF(ISNA(VLOOKUP(A123,'Données projet'!$A$165:$I$185,4,0)),0,VLOOKUP(A123,'Données projet'!$A$165:$I$185,4,0))</f>
        <v>52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135.66666666666666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3.7076923076923061</v>
      </c>
      <c r="N124" s="14">
        <f>IF('Données projet'!$A$36&gt;35,N123+M124-V123,IF(A124&lt;'Données projet'!$A$36,$K$205^A124,IF(A124='Données projet'!$A$36,'Données projet'!$B$36,N123+M124-V123)))</f>
        <v>270.98461538461572</v>
      </c>
      <c r="O124" s="14">
        <f>N124*VLOOKUP('Données projet'!$B$9,Paramètres!$A$1:$I$89,3,0)*VLOOKUP('Données projet'!$B$9,Paramètres!$A$1:$I$89,5,0)</f>
        <v>126.82080000000015</v>
      </c>
      <c r="P124" s="14">
        <f t="shared" si="87"/>
        <v>33.260684328577256</v>
      </c>
      <c r="Q124" s="22">
        <f t="shared" si="107"/>
        <v>278.80858520560565</v>
      </c>
      <c r="R124" s="60">
        <f t="shared" si="55"/>
        <v>555.37564830839256</v>
      </c>
      <c r="S124" s="60">
        <f ca="1">AVERAGE(OFFSET($R$3,0,0,'Données projet'!$E$9+1,1))-AVERAGE(OFFSET($H$3,0,0,'Données projet'!$E$9+1,1))</f>
        <v>291.44524568678776</v>
      </c>
      <c r="T124" s="60">
        <f t="shared" si="88"/>
        <v>136.43373205899937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-2.9558577807620169E-14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300.72820267660154</v>
      </c>
      <c r="AO124" s="60">
        <f t="shared" si="90"/>
        <v>228.35388778608589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221.18884567967481</v>
      </c>
      <c r="BJ124" s="60">
        <f t="shared" si="92"/>
        <v>189.31596996710888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1.2474999999999994</v>
      </c>
      <c r="BY124" s="13">
        <f>IF('Données projet'!$A$114&gt;35,BY123+BX124-CG123,IF(A124&lt;'Données projet'!$A$114,$BV$205^A124,IF(A124='Données projet'!$A$114,'Données projet'!$B$114,BY123+BX124-CG123)))</f>
        <v>113.01416666666663</v>
      </c>
      <c r="BZ124" s="14">
        <f>BY124*VLOOKUP('Données projet'!$B$12,Paramètres!$A$1:$I$89,3,0)*VLOOKUP('Données projet'!$B$12,Paramètres!$A$1:$I$89,5,0)</f>
        <v>130.19231999999994</v>
      </c>
      <c r="CA124" s="14">
        <f t="shared" si="93"/>
        <v>34.040795013550785</v>
      </c>
      <c r="CB124" s="22">
        <f t="shared" si="64"/>
        <v>286.03934198193417</v>
      </c>
      <c r="CC124" s="60">
        <f t="shared" si="65"/>
        <v>562.60640508472102</v>
      </c>
      <c r="CD124" s="60">
        <f ca="1">AVERAGE(OFFSET($CC$3,0,0,'Données projet'!$E$12+1,1))-AVERAGE(OFFSET($H$3,0,0,'Données projet'!$E$12+1,1))</f>
        <v>314.72063458462026</v>
      </c>
      <c r="CE124" s="60">
        <f t="shared" si="94"/>
        <v>216.4380325968244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2.2000000000000002</v>
      </c>
      <c r="CT124" s="13">
        <f>IF('Données projet'!$A$140&gt;35,CT123+CS124-DB123,IF(A124&lt;'Données projet'!$A$140,$CQ$205^A124,IF(A124='Données projet'!$A$140,'Données projet'!$B$140,CT123+CS124-DB123)))</f>
        <v>211.19999999999987</v>
      </c>
      <c r="CU124" s="18">
        <f>CT124*VLOOKUP('Données projet'!$B$13,Paramètres!$A$1:$I$89,3,0)*VLOOKUP('Données projet'!$B$13,Paramètres!$A$1:$I$89,5,0)</f>
        <v>227.33567999999985</v>
      </c>
      <c r="CV124" s="14">
        <f t="shared" si="95"/>
        <v>55.706203178450444</v>
      </c>
      <c r="CW124" s="22">
        <f t="shared" si="67"/>
        <v>492.96461320246755</v>
      </c>
      <c r="CX124" s="60">
        <f t="shared" si="68"/>
        <v>769.53167630525445</v>
      </c>
      <c r="CY124" s="60">
        <f ca="1">AVERAGE(OFFSET($CX$3,0,0,'Données projet'!$E$13+1,1))-AVERAGE(OFFSET($H$3,0,0,'Données projet'!$E$13+1,1))</f>
        <v>465.51503238626822</v>
      </c>
      <c r="CZ124" s="60">
        <f t="shared" si="96"/>
        <v>205.55320107663496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2.2000000000000002</v>
      </c>
      <c r="DO124" s="13">
        <f>IF('Données projet'!$A$166&gt;35,DO123+DN124-DW123,IF(A124&lt;'Données projet'!$A$166,$DL$205^A124,IF(A124='Données projet'!$A$166,'Données projet'!$B$166,DO123+DN124-DW123)))</f>
        <v>211.19999999999987</v>
      </c>
      <c r="DP124" s="18">
        <f>DO124*VLOOKUP('Données projet'!$B$14,Paramètres!$A$1:$I$89,3,0)*VLOOKUP('Données projet'!$B$14,Paramètres!$A$1:$I$89,5,0)</f>
        <v>181.20959999999991</v>
      </c>
      <c r="DQ124" s="14">
        <f t="shared" si="97"/>
        <v>45.591194891830305</v>
      </c>
      <c r="DR124" s="22">
        <f t="shared" si="70"/>
        <v>395.01138443660426</v>
      </c>
      <c r="DS124" s="60">
        <f t="shared" si="71"/>
        <v>671.57844753939116</v>
      </c>
      <c r="DT124" s="60">
        <f ca="1">AVERAGE(OFFSET($DS$3,0,0,'Données projet'!$E$14+1,1))-AVERAGE(OFFSET($H$3,0,0,'Données projet'!$E$14+1,1))</f>
        <v>393.79546872270964</v>
      </c>
      <c r="DU124" s="60">
        <f t="shared" si="98"/>
        <v>179.7333990060757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135.66666666666666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3.7076923076923061</v>
      </c>
      <c r="N125" s="14">
        <f>IF('Données projet'!$A$36&gt;35,N124+M125-V124,IF(A125&lt;'Données projet'!$A$36,$K$205^A125,IF(A125='Données projet'!$A$36,'Données projet'!$B$36,N124+M125-V124)))</f>
        <v>274.69230769230802</v>
      </c>
      <c r="O125" s="14">
        <f>N125*VLOOKUP('Données projet'!$B$9,Paramètres!$A$1:$I$89,3,0)*VLOOKUP('Données projet'!$B$9,Paramètres!$A$1:$I$89,5,0)</f>
        <v>128.55600000000015</v>
      </c>
      <c r="P125" s="14">
        <f t="shared" si="87"/>
        <v>33.662476728042613</v>
      </c>
      <c r="Q125" s="22">
        <f t="shared" si="107"/>
        <v>282.53051363467443</v>
      </c>
      <c r="R125" s="60">
        <f t="shared" si="55"/>
        <v>559.38843404219665</v>
      </c>
      <c r="S125" s="60">
        <f ca="1">AVERAGE(OFFSET($R$3,0,0,'Données projet'!$E$9+1,1))-AVERAGE(OFFSET($H$3,0,0,'Données projet'!$E$9+1,1))</f>
        <v>291.44524568678776</v>
      </c>
      <c r="T125" s="60">
        <f t="shared" si="88"/>
        <v>136.43373205899937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-2.9558577807620169E-14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300.72820267660154</v>
      </c>
      <c r="AO125" s="60">
        <f t="shared" si="90"/>
        <v>228.35388778608589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221.18884567967481</v>
      </c>
      <c r="BJ125" s="60">
        <f t="shared" si="92"/>
        <v>189.31596996710888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1.2474999999999994</v>
      </c>
      <c r="BY125" s="13">
        <f>IF('Données projet'!$A$114&gt;35,BY124+BX125-CG124,IF(A125&lt;'Données projet'!$A$114,$BV$205^A125,IF(A125='Données projet'!$A$114,'Données projet'!$B$114,BY124+BX125-CG124)))</f>
        <v>114.26166666666663</v>
      </c>
      <c r="BZ125" s="14">
        <f>BY125*VLOOKUP('Données projet'!$B$12,Paramètres!$A$1:$I$89,3,0)*VLOOKUP('Données projet'!$B$12,Paramètres!$A$1:$I$89,5,0)</f>
        <v>131.62943999999993</v>
      </c>
      <c r="CA125" s="14">
        <f t="shared" si="93"/>
        <v>34.372601683894764</v>
      </c>
      <c r="CB125" s="22">
        <f t="shared" si="64"/>
        <v>289.1202225994499</v>
      </c>
      <c r="CC125" s="60">
        <f t="shared" si="65"/>
        <v>565.978143006972</v>
      </c>
      <c r="CD125" s="60">
        <f ca="1">AVERAGE(OFFSET($CC$3,0,0,'Données projet'!$E$12+1,1))-AVERAGE(OFFSET($H$3,0,0,'Données projet'!$E$12+1,1))</f>
        <v>314.72063458462026</v>
      </c>
      <c r="CE125" s="60">
        <f t="shared" si="94"/>
        <v>216.4380325968244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2.2000000000000002</v>
      </c>
      <c r="CT125" s="13">
        <f>IF('Données projet'!$A$140&gt;35,CT124+CS125-DB124,IF(A125&lt;'Données projet'!$A$140,$CQ$205^A125,IF(A125='Données projet'!$A$140,'Données projet'!$B$140,CT124+CS125-DB124)))</f>
        <v>213.39999999999986</v>
      </c>
      <c r="CU125" s="18">
        <f>CT125*VLOOKUP('Données projet'!$B$13,Paramètres!$A$1:$I$89,3,0)*VLOOKUP('Données projet'!$B$13,Paramètres!$A$1:$I$89,5,0)</f>
        <v>229.70375999999985</v>
      </c>
      <c r="CV125" s="14">
        <f t="shared" si="95"/>
        <v>56.218622713154197</v>
      </c>
      <c r="CW125" s="22">
        <f t="shared" si="67"/>
        <v>497.98148322540993</v>
      </c>
      <c r="CX125" s="60">
        <f t="shared" si="68"/>
        <v>774.83940363293209</v>
      </c>
      <c r="CY125" s="60">
        <f ca="1">AVERAGE(OFFSET($CX$3,0,0,'Données projet'!$E$13+1,1))-AVERAGE(OFFSET($H$3,0,0,'Données projet'!$E$13+1,1))</f>
        <v>465.51503238626822</v>
      </c>
      <c r="CZ125" s="60">
        <f t="shared" si="96"/>
        <v>205.55320107663496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2.2000000000000002</v>
      </c>
      <c r="DO125" s="13">
        <f>IF('Données projet'!$A$166&gt;35,DO124+DN125-DW124,IF(A125&lt;'Données projet'!$A$166,$DL$205^A125,IF(A125='Données projet'!$A$166,'Données projet'!$B$166,DO124+DN125-DW124)))</f>
        <v>213.39999999999986</v>
      </c>
      <c r="DP125" s="18">
        <f>DO125*VLOOKUP('Données projet'!$B$14,Paramètres!$A$1:$I$89,3,0)*VLOOKUP('Données projet'!$B$14,Paramètres!$A$1:$I$89,5,0)</f>
        <v>183.0971999999999</v>
      </c>
      <c r="DQ125" s="14">
        <f t="shared" si="97"/>
        <v>46.010570428845853</v>
      </c>
      <c r="DR125" s="22">
        <f t="shared" si="70"/>
        <v>399.02936683023967</v>
      </c>
      <c r="DS125" s="60">
        <f t="shared" si="71"/>
        <v>675.88728723776183</v>
      </c>
      <c r="DT125" s="60">
        <f ca="1">AVERAGE(OFFSET($DS$3,0,0,'Données projet'!$E$14+1,1))-AVERAGE(OFFSET($H$3,0,0,'Données projet'!$E$14+1,1))</f>
        <v>393.79546872270964</v>
      </c>
      <c r="DU125" s="60">
        <f t="shared" si="98"/>
        <v>179.7333990060757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135.66666666666666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3.7076923076923061</v>
      </c>
      <c r="N126" s="14">
        <f>IF('Données projet'!$A$36&gt;35,N125+M126-V125,IF(A126&lt;'Données projet'!$A$36,$K$205^A126,IF(A126='Données projet'!$A$36,'Données projet'!$B$36,N125+M126-V125)))</f>
        <v>278.40000000000032</v>
      </c>
      <c r="O126" s="14">
        <f>N126*VLOOKUP('Données projet'!$B$9,Paramètres!$A$1:$I$89,3,0)*VLOOKUP('Données projet'!$B$9,Paramètres!$A$1:$I$89,5,0)</f>
        <v>130.29120000000015</v>
      </c>
      <c r="P126" s="14">
        <f t="shared" si="87"/>
        <v>34.063638337638984</v>
      </c>
      <c r="Q126" s="22">
        <f t="shared" si="107"/>
        <v>286.25134343805479</v>
      </c>
      <c r="R126" s="60">
        <f t="shared" si="55"/>
        <v>563.39507542633453</v>
      </c>
      <c r="S126" s="60">
        <f ca="1">AVERAGE(OFFSET($R$3,0,0,'Données projet'!$E$9+1,1))-AVERAGE(OFFSET($H$3,0,0,'Données projet'!$E$9+1,1))</f>
        <v>291.44524568678776</v>
      </c>
      <c r="T126" s="60">
        <f t="shared" si="88"/>
        <v>136.43373205899937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-2.9558577807620169E-14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300.72820267660154</v>
      </c>
      <c r="AO126" s="60">
        <f t="shared" si="90"/>
        <v>228.35388778608589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221.18884567967481</v>
      </c>
      <c r="BJ126" s="60">
        <f t="shared" si="92"/>
        <v>189.31596996710888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1.2474999999999994</v>
      </c>
      <c r="BY126" s="13">
        <f>IF('Données projet'!$A$114&gt;35,BY125+BX126-CG125,IF(A126&lt;'Données projet'!$A$114,$BV$205^A126,IF(A126='Données projet'!$A$114,'Données projet'!$B$114,BY125+BX126-CG125)))</f>
        <v>115.50916666666663</v>
      </c>
      <c r="BZ126" s="14">
        <f>BY126*VLOOKUP('Données projet'!$B$12,Paramètres!$A$1:$I$89,3,0)*VLOOKUP('Données projet'!$B$12,Paramètres!$A$1:$I$89,5,0)</f>
        <v>133.06655999999995</v>
      </c>
      <c r="CA126" s="14">
        <f t="shared" si="93"/>
        <v>34.703986937981455</v>
      </c>
      <c r="CB126" s="22">
        <f t="shared" si="64"/>
        <v>292.20036925031758</v>
      </c>
      <c r="CC126" s="60">
        <f t="shared" si="65"/>
        <v>569.34410123859732</v>
      </c>
      <c r="CD126" s="60">
        <f ca="1">AVERAGE(OFFSET($CC$3,0,0,'Données projet'!$E$12+1,1))-AVERAGE(OFFSET($H$3,0,0,'Données projet'!$E$12+1,1))</f>
        <v>314.72063458462026</v>
      </c>
      <c r="CE126" s="60">
        <f t="shared" si="94"/>
        <v>216.4380325968244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2.2000000000000002</v>
      </c>
      <c r="CT126" s="13">
        <f>IF('Données projet'!$A$140&gt;35,CT125+CS126-DB125,IF(A126&lt;'Données projet'!$A$140,$CQ$205^A126,IF(A126='Données projet'!$A$140,'Données projet'!$B$140,CT125+CS126-DB125)))</f>
        <v>215.59999999999985</v>
      </c>
      <c r="CU126" s="18">
        <f>CT126*VLOOKUP('Données projet'!$B$13,Paramètres!$A$1:$I$89,3,0)*VLOOKUP('Données projet'!$B$13,Paramètres!$A$1:$I$89,5,0)</f>
        <v>232.07183999999984</v>
      </c>
      <c r="CV126" s="14">
        <f t="shared" si="95"/>
        <v>56.730427701698119</v>
      </c>
      <c r="CW126" s="22">
        <f t="shared" si="67"/>
        <v>502.99728291379057</v>
      </c>
      <c r="CX126" s="60">
        <f t="shared" si="68"/>
        <v>780.14101490207031</v>
      </c>
      <c r="CY126" s="60">
        <f ca="1">AVERAGE(OFFSET($CX$3,0,0,'Données projet'!$E$13+1,1))-AVERAGE(OFFSET($H$3,0,0,'Données projet'!$E$13+1,1))</f>
        <v>465.51503238626822</v>
      </c>
      <c r="CZ126" s="60">
        <f t="shared" si="96"/>
        <v>205.55320107663496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2.2000000000000002</v>
      </c>
      <c r="DO126" s="13">
        <f>IF('Données projet'!$A$166&gt;35,DO125+DN126-DW125,IF(A126&lt;'Données projet'!$A$166,$DL$205^A126,IF(A126='Données projet'!$A$166,'Données projet'!$B$166,DO125+DN126-DW125)))</f>
        <v>215.59999999999985</v>
      </c>
      <c r="DP126" s="18">
        <f>DO126*VLOOKUP('Données projet'!$B$14,Paramètres!$A$1:$I$89,3,0)*VLOOKUP('Données projet'!$B$14,Paramètres!$A$1:$I$89,5,0)</f>
        <v>184.98479999999989</v>
      </c>
      <c r="DQ126" s="14">
        <f t="shared" si="97"/>
        <v>46.4294430076244</v>
      </c>
      <c r="DR126" s="22">
        <f t="shared" si="70"/>
        <v>403.04647323827902</v>
      </c>
      <c r="DS126" s="60">
        <f t="shared" si="71"/>
        <v>680.19020522655876</v>
      </c>
      <c r="DT126" s="60">
        <f ca="1">AVERAGE(OFFSET($DS$3,0,0,'Données projet'!$E$14+1,1))-AVERAGE(OFFSET($H$3,0,0,'Données projet'!$E$14+1,1))</f>
        <v>393.79546872270964</v>
      </c>
      <c r="DU126" s="60">
        <f t="shared" si="98"/>
        <v>179.7333990060757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135.66666666666666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3.7076923076923061</v>
      </c>
      <c r="N127" s="14">
        <f>IF('Données projet'!$A$36&gt;35,N126+M127-V126,IF(A127&lt;'Données projet'!$A$36,$K$205^A127,IF(A127='Données projet'!$A$36,'Données projet'!$B$36,N126+M127-V126)))</f>
        <v>282.10769230769262</v>
      </c>
      <c r="O127" s="14">
        <f>N127*VLOOKUP('Données projet'!$B$9,Paramètres!$A$1:$I$89,3,0)*VLOOKUP('Données projet'!$B$9,Paramètres!$A$1:$I$89,5,0)</f>
        <v>132.02640000000014</v>
      </c>
      <c r="P127" s="14">
        <f t="shared" si="87"/>
        <v>34.464178529279387</v>
      </c>
      <c r="Q127" s="22">
        <f t="shared" si="107"/>
        <v>289.97109093849514</v>
      </c>
      <c r="R127" s="60">
        <f t="shared" si="55"/>
        <v>567.39567631558521</v>
      </c>
      <c r="S127" s="60">
        <f ca="1">AVERAGE(OFFSET($R$3,0,0,'Données projet'!$E$9+1,1))-AVERAGE(OFFSET($H$3,0,0,'Données projet'!$E$9+1,1))</f>
        <v>291.44524568678776</v>
      </c>
      <c r="T127" s="60">
        <f t="shared" si="88"/>
        <v>136.43373205899937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-2.9558577807620169E-14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300.72820267660154</v>
      </c>
      <c r="AO127" s="60">
        <f t="shared" si="90"/>
        <v>228.35388778608589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221.18884567967481</v>
      </c>
      <c r="BJ127" s="60">
        <f t="shared" si="92"/>
        <v>189.31596996710888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1.2474999999999994</v>
      </c>
      <c r="BY127" s="13">
        <f>IF('Données projet'!$A$114&gt;35,BY126+BX127-CG126,IF(A127&lt;'Données projet'!$A$114,$BV$205^A127,IF(A127='Données projet'!$A$114,'Données projet'!$B$114,BY126+BX127-CG126)))</f>
        <v>116.75666666666663</v>
      </c>
      <c r="BZ127" s="14">
        <f>BY127*VLOOKUP('Données projet'!$B$12,Paramètres!$A$1:$I$89,3,0)*VLOOKUP('Données projet'!$B$12,Paramètres!$A$1:$I$89,5,0)</f>
        <v>134.50367999999995</v>
      </c>
      <c r="CA127" s="14">
        <f t="shared" si="93"/>
        <v>35.034955853887169</v>
      </c>
      <c r="CB127" s="22">
        <f t="shared" si="64"/>
        <v>295.2797907788534</v>
      </c>
      <c r="CC127" s="60">
        <f t="shared" si="65"/>
        <v>572.70437615594346</v>
      </c>
      <c r="CD127" s="60">
        <f ca="1">AVERAGE(OFFSET($CC$3,0,0,'Données projet'!$E$12+1,1))-AVERAGE(OFFSET($H$3,0,0,'Données projet'!$E$12+1,1))</f>
        <v>314.72063458462026</v>
      </c>
      <c r="CE127" s="60">
        <f t="shared" si="94"/>
        <v>216.4380325968244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2.2000000000000002</v>
      </c>
      <c r="CT127" s="13">
        <f>IF('Données projet'!$A$140&gt;35,CT126+CS127-DB126,IF(A127&lt;'Données projet'!$A$140,$CQ$205^A127,IF(A127='Données projet'!$A$140,'Données projet'!$B$140,CT126+CS127-DB126)))</f>
        <v>217.79999999999984</v>
      </c>
      <c r="CU127" s="18">
        <f>CT127*VLOOKUP('Données projet'!$B$13,Paramètres!$A$1:$I$89,3,0)*VLOOKUP('Données projet'!$B$13,Paramètres!$A$1:$I$89,5,0)</f>
        <v>234.4399199999998</v>
      </c>
      <c r="CV127" s="14">
        <f t="shared" si="95"/>
        <v>57.24162514097975</v>
      </c>
      <c r="CW127" s="22">
        <f t="shared" si="67"/>
        <v>508.0120244538727</v>
      </c>
      <c r="CX127" s="60">
        <f t="shared" si="68"/>
        <v>785.43660983096288</v>
      </c>
      <c r="CY127" s="60">
        <f ca="1">AVERAGE(OFFSET($CX$3,0,0,'Données projet'!$E$13+1,1))-AVERAGE(OFFSET($H$3,0,0,'Données projet'!$E$13+1,1))</f>
        <v>465.51503238626822</v>
      </c>
      <c r="CZ127" s="60">
        <f t="shared" si="96"/>
        <v>205.55320107663496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2.2000000000000002</v>
      </c>
      <c r="DO127" s="13">
        <f>IF('Données projet'!$A$166&gt;35,DO126+DN127-DW126,IF(A127&lt;'Données projet'!$A$166,$DL$205^A127,IF(A127='Données projet'!$A$166,'Données projet'!$B$166,DO126+DN127-DW126)))</f>
        <v>217.79999999999984</v>
      </c>
      <c r="DP127" s="18">
        <f>DO127*VLOOKUP('Données projet'!$B$14,Paramètres!$A$1:$I$89,3,0)*VLOOKUP('Données projet'!$B$14,Paramètres!$A$1:$I$89,5,0)</f>
        <v>186.87239999999989</v>
      </c>
      <c r="DQ127" s="14">
        <f t="shared" si="97"/>
        <v>46.847818354582294</v>
      </c>
      <c r="DR127" s="22">
        <f t="shared" si="70"/>
        <v>407.06271363423065</v>
      </c>
      <c r="DS127" s="60">
        <f t="shared" si="71"/>
        <v>684.48729901132083</v>
      </c>
      <c r="DT127" s="60">
        <f ca="1">AVERAGE(OFFSET($DS$3,0,0,'Données projet'!$E$14+1,1))-AVERAGE(OFFSET($H$3,0,0,'Données projet'!$E$14+1,1))</f>
        <v>393.79546872270964</v>
      </c>
      <c r="DU127" s="60">
        <f t="shared" si="98"/>
        <v>179.7333990060757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135.66666666666666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3.7076923076923061</v>
      </c>
      <c r="N128" s="14">
        <f>IF('Données projet'!$A$36&gt;35,N127+M128-V127,IF(A128&lt;'Données projet'!$A$36,$K$205^A128,IF(A128='Données projet'!$A$36,'Données projet'!$B$36,N127+M128-V127)))</f>
        <v>285.81538461538491</v>
      </c>
      <c r="O128" s="14">
        <f>N128*VLOOKUP('Données projet'!$B$9,Paramètres!$A$1:$I$89,3,0)*VLOOKUP('Données projet'!$B$9,Paramètres!$A$1:$I$89,5,0)</f>
        <v>133.76160000000016</v>
      </c>
      <c r="P128" s="14">
        <f t="shared" si="87"/>
        <v>34.864106414369424</v>
      </c>
      <c r="Q128" s="22">
        <f t="shared" si="107"/>
        <v>293.68977200502701</v>
      </c>
      <c r="R128" s="60">
        <f t="shared" si="55"/>
        <v>571.39033859252572</v>
      </c>
      <c r="S128" s="60">
        <f ca="1">AVERAGE(OFFSET($R$3,0,0,'Données projet'!$E$9+1,1))-AVERAGE(OFFSET($H$3,0,0,'Données projet'!$E$9+1,1))</f>
        <v>291.44524568678776</v>
      </c>
      <c r="T128" s="60">
        <f t="shared" si="88"/>
        <v>136.43373205899937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-2.9558577807620169E-14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300.72820267660154</v>
      </c>
      <c r="AO128" s="60">
        <f t="shared" si="90"/>
        <v>228.35388778608589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221.18884567967481</v>
      </c>
      <c r="BJ128" s="60">
        <f t="shared" si="92"/>
        <v>189.31596996710888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1.2474999999999994</v>
      </c>
      <c r="BY128" s="13">
        <f>IF('Données projet'!$A$114&gt;35,BY127+BX128-CG127,IF(A128&lt;'Données projet'!$A$114,$BV$205^A128,IF(A128='Données projet'!$A$114,'Données projet'!$B$114,BY127+BX128-CG127)))</f>
        <v>118.00416666666663</v>
      </c>
      <c r="BZ128" s="14">
        <f>BY128*VLOOKUP('Données projet'!$B$12,Paramètres!$A$1:$I$89,3,0)*VLOOKUP('Données projet'!$B$12,Paramètres!$A$1:$I$89,5,0)</f>
        <v>135.94079999999994</v>
      </c>
      <c r="CA128" s="14">
        <f t="shared" si="93"/>
        <v>35.365513394923219</v>
      </c>
      <c r="CB128" s="22">
        <f t="shared" si="64"/>
        <v>298.35849582949118</v>
      </c>
      <c r="CC128" s="60">
        <f t="shared" si="65"/>
        <v>576.05906241698995</v>
      </c>
      <c r="CD128" s="60">
        <f ca="1">AVERAGE(OFFSET($CC$3,0,0,'Données projet'!$E$12+1,1))-AVERAGE(OFFSET($H$3,0,0,'Données projet'!$E$12+1,1))</f>
        <v>314.72063458462026</v>
      </c>
      <c r="CE128" s="60">
        <f t="shared" si="94"/>
        <v>216.4380325968244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2.2000000000000002</v>
      </c>
      <c r="CT128" s="13">
        <f>IF('Données projet'!$A$140&gt;35,CT127+CS128-DB127,IF(A128&lt;'Données projet'!$A$140,$CQ$205^A128,IF(A128='Données projet'!$A$140,'Données projet'!$B$140,CT127+CS128-DB127)))</f>
        <v>219.99999999999983</v>
      </c>
      <c r="CU128" s="18">
        <f>CT128*VLOOKUP('Données projet'!$B$13,Paramètres!$A$1:$I$89,3,0)*VLOOKUP('Données projet'!$B$13,Paramètres!$A$1:$I$89,5,0)</f>
        <v>236.80799999999979</v>
      </c>
      <c r="CV128" s="14">
        <f t="shared" si="95"/>
        <v>57.752221878398714</v>
      </c>
      <c r="CW128" s="22">
        <f t="shared" si="67"/>
        <v>513.02571977154412</v>
      </c>
      <c r="CX128" s="60">
        <f t="shared" si="68"/>
        <v>790.72628635904289</v>
      </c>
      <c r="CY128" s="60">
        <f ca="1">AVERAGE(OFFSET($CX$3,0,0,'Données projet'!$E$13+1,1))-AVERAGE(OFFSET($H$3,0,0,'Données projet'!$E$13+1,1))</f>
        <v>465.51503238626822</v>
      </c>
      <c r="CZ128" s="60">
        <f t="shared" si="96"/>
        <v>205.55320107663496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2.2000000000000002</v>
      </c>
      <c r="DO128" s="13">
        <f>IF('Données projet'!$A$166&gt;35,DO127+DN128-DW127,IF(A128&lt;'Données projet'!$A$166,$DL$205^A128,IF(A128='Données projet'!$A$166,'Données projet'!$B$166,DO127+DN128-DW127)))</f>
        <v>219.99999999999983</v>
      </c>
      <c r="DP128" s="18">
        <f>DO128*VLOOKUP('Données projet'!$B$14,Paramètres!$A$1:$I$89,3,0)*VLOOKUP('Données projet'!$B$14,Paramètres!$A$1:$I$89,5,0)</f>
        <v>188.75999999999988</v>
      </c>
      <c r="DQ128" s="14">
        <f t="shared" si="97"/>
        <v>47.265702073783714</v>
      </c>
      <c r="DR128" s="22">
        <f t="shared" si="70"/>
        <v>411.07809777850639</v>
      </c>
      <c r="DS128" s="60">
        <f t="shared" si="71"/>
        <v>688.77866436600516</v>
      </c>
      <c r="DT128" s="60">
        <f ca="1">AVERAGE(OFFSET($DS$3,0,0,'Données projet'!$E$14+1,1))-AVERAGE(OFFSET($H$3,0,0,'Données projet'!$E$14+1,1))</f>
        <v>393.79546872270964</v>
      </c>
      <c r="DU128" s="60">
        <f t="shared" si="98"/>
        <v>179.7333990060757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135.66666666666666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>
        <f>VLOOKUP(A129,'Données projet'!$A$35:$I$55,2,0)</f>
        <v>289.52307692307693</v>
      </c>
      <c r="L129" s="13">
        <f>VLOOKUP(A129,'Données projet'!$A$35:$I$55,9,0)</f>
        <v>3.7076923076923061</v>
      </c>
      <c r="M129" s="13">
        <f t="array" ref="M129">INDEX(L:L,MIN(IF(ISNUMBER(L129:L325),ROW(L129:L325),"")))</f>
        <v>3.7076923076923061</v>
      </c>
      <c r="N129" s="14">
        <f>IF('Données projet'!$A$36&gt;35,N128+M129-V128,IF(A129&lt;'Données projet'!$A$36,$K$205^A129,IF(A129='Données projet'!$A$36,'Données projet'!$B$36,N128+M129-V128)))</f>
        <v>289.52307692307721</v>
      </c>
      <c r="O129" s="14">
        <f>N129*VLOOKUP('Données projet'!$B$9,Paramètres!$A$1:$I$89,3,0)*VLOOKUP('Données projet'!$B$9,Paramètres!$A$1:$I$89,5,0)</f>
        <v>135.49680000000015</v>
      </c>
      <c r="P129" s="14">
        <f t="shared" si="87"/>
        <v>35.263430854332299</v>
      </c>
      <c r="Q129" s="22">
        <f t="shared" si="107"/>
        <v>297.40740207129573</v>
      </c>
      <c r="R129" s="60">
        <f t="shared" si="55"/>
        <v>575.37916221220416</v>
      </c>
      <c r="S129" s="60">
        <f ca="1">AVERAGE(OFFSET($R$3,0,0,'Données projet'!$E$9+1,1))-AVERAGE(OFFSET($H$3,0,0,'Données projet'!$E$9+1,1))</f>
        <v>291.44524568678776</v>
      </c>
      <c r="T129" s="60">
        <f t="shared" si="88"/>
        <v>136.43373205899937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-2.9558577807620169E-14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300.72820267660154</v>
      </c>
      <c r="AO129" s="60">
        <f t="shared" si="90"/>
        <v>228.35388778608589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221.18884567967481</v>
      </c>
      <c r="BJ129" s="60">
        <f t="shared" si="92"/>
        <v>189.31596996710888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1.2474999999999994</v>
      </c>
      <c r="BY129" s="13">
        <f>IF('Données projet'!$A$114&gt;35,BY128+BX129-CG128,IF(A129&lt;'Données projet'!$A$114,$BV$205^A129,IF(A129='Données projet'!$A$114,'Données projet'!$B$114,BY128+BX129-CG128)))</f>
        <v>119.25166666666664</v>
      </c>
      <c r="BZ129" s="14">
        <f>BY129*VLOOKUP('Données projet'!$B$12,Paramètres!$A$1:$I$89,3,0)*VLOOKUP('Données projet'!$B$12,Paramètres!$A$1:$I$89,5,0)</f>
        <v>137.37791999999996</v>
      </c>
      <c r="CA129" s="14">
        <f t="shared" si="93"/>
        <v>35.695664413414427</v>
      </c>
      <c r="CB129" s="22">
        <f t="shared" si="64"/>
        <v>301.43649285336335</v>
      </c>
      <c r="CC129" s="60">
        <f t="shared" si="65"/>
        <v>579.40825299427172</v>
      </c>
      <c r="CD129" s="60">
        <f ca="1">AVERAGE(OFFSET($CC$3,0,0,'Données projet'!$E$12+1,1))-AVERAGE(OFFSET($H$3,0,0,'Données projet'!$E$12+1,1))</f>
        <v>314.72063458462026</v>
      </c>
      <c r="CE129" s="60">
        <f t="shared" si="94"/>
        <v>216.4380325968244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2.2000000000000002</v>
      </c>
      <c r="CT129" s="13">
        <f>IF('Données projet'!$A$140&gt;35,CT128+CS129-DB128,IF(A129&lt;'Données projet'!$A$140,$CQ$205^A129,IF(A129='Données projet'!$A$140,'Données projet'!$B$140,CT128+CS129-DB128)))</f>
        <v>222.19999999999982</v>
      </c>
      <c r="CU129" s="18">
        <f>CT129*VLOOKUP('Données projet'!$B$13,Paramètres!$A$1:$I$89,3,0)*VLOOKUP('Données projet'!$B$13,Paramètres!$A$1:$I$89,5,0)</f>
        <v>239.17607999999981</v>
      </c>
      <c r="CV129" s="14">
        <f t="shared" si="95"/>
        <v>58.262224616513564</v>
      </c>
      <c r="CW129" s="22">
        <f t="shared" si="67"/>
        <v>518.03838054042751</v>
      </c>
      <c r="CX129" s="60">
        <f t="shared" si="68"/>
        <v>796.01014068133588</v>
      </c>
      <c r="CY129" s="60">
        <f ca="1">AVERAGE(OFFSET($CX$3,0,0,'Données projet'!$E$13+1,1))-AVERAGE(OFFSET($H$3,0,0,'Données projet'!$E$13+1,1))</f>
        <v>465.51503238626822</v>
      </c>
      <c r="CZ129" s="60">
        <f t="shared" si="96"/>
        <v>205.55320107663496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2.2000000000000002</v>
      </c>
      <c r="DO129" s="13">
        <f>IF('Données projet'!$A$166&gt;35,DO128+DN129-DW128,IF(A129&lt;'Données projet'!$A$166,$DL$205^A129,IF(A129='Données projet'!$A$166,'Données projet'!$B$166,DO128+DN129-DW128)))</f>
        <v>222.19999999999982</v>
      </c>
      <c r="DP129" s="18">
        <f>DO129*VLOOKUP('Données projet'!$B$14,Paramètres!$A$1:$I$89,3,0)*VLOOKUP('Données projet'!$B$14,Paramètres!$A$1:$I$89,5,0)</f>
        <v>190.64759999999987</v>
      </c>
      <c r="DQ129" s="14">
        <f t="shared" si="97"/>
        <v>47.683099650751558</v>
      </c>
      <c r="DR129" s="22">
        <f t="shared" si="70"/>
        <v>415.09263522505876</v>
      </c>
      <c r="DS129" s="60">
        <f t="shared" si="71"/>
        <v>693.06439536596713</v>
      </c>
      <c r="DT129" s="60">
        <f ca="1">AVERAGE(OFFSET($DS$3,0,0,'Données projet'!$E$14+1,1))-AVERAGE(OFFSET($H$3,0,0,'Données projet'!$E$14+1,1))</f>
        <v>393.79546872270964</v>
      </c>
      <c r="DU129" s="60">
        <f t="shared" si="98"/>
        <v>179.7333990060757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135.66666666666666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3.6028846153846175</v>
      </c>
      <c r="N130" s="14">
        <f>IF('Données projet'!$A$36&gt;35,N129+M130-V129,IF(A130&lt;'Données projet'!$A$36,$K$205^A130,IF(A130='Données projet'!$A$36,'Données projet'!$B$36,N129+M130-V129)))</f>
        <v>293.12596153846181</v>
      </c>
      <c r="O130" s="14">
        <f>N130*VLOOKUP('Données projet'!$B$9,Paramètres!$A$1:$I$89,3,0)*VLOOKUP('Données projet'!$B$9,Paramètres!$A$1:$I$89,5,0)</f>
        <v>137.18295000000012</v>
      </c>
      <c r="P130" s="14">
        <f t="shared" si="87"/>
        <v>35.650897420596294</v>
      </c>
      <c r="Q130" s="22">
        <f t="shared" si="107"/>
        <v>301.0189509242054</v>
      </c>
      <c r="R130" s="60">
        <f t="shared" si="55"/>
        <v>579.25720001666969</v>
      </c>
      <c r="S130" s="60">
        <f ca="1">AVERAGE(OFFSET($R$3,0,0,'Données projet'!$E$9+1,1))-AVERAGE(OFFSET($H$3,0,0,'Données projet'!$E$9+1,1))</f>
        <v>291.44524568678776</v>
      </c>
      <c r="T130" s="60">
        <f t="shared" si="88"/>
        <v>136.43373205899937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-2.9558577807620169E-14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300.72820267660154</v>
      </c>
      <c r="AO130" s="60">
        <f t="shared" si="90"/>
        <v>228.35388778608589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221.18884567967481</v>
      </c>
      <c r="BJ130" s="60">
        <f t="shared" si="92"/>
        <v>189.31596996710888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1.2474999999999994</v>
      </c>
      <c r="BY130" s="13">
        <f>IF('Données projet'!$A$114&gt;35,BY129+BX130-CG129,IF(A130&lt;'Données projet'!$A$114,$BV$205^A130,IF(A130='Données projet'!$A$114,'Données projet'!$B$114,BY129+BX130-CG129)))</f>
        <v>120.49916666666664</v>
      </c>
      <c r="BZ130" s="14">
        <f>BY130*VLOOKUP('Données projet'!$B$12,Paramètres!$A$1:$I$89,3,0)*VLOOKUP('Données projet'!$B$12,Paramètres!$A$1:$I$89,5,0)</f>
        <v>138.81503999999995</v>
      </c>
      <c r="CA130" s="14">
        <f t="shared" si="93"/>
        <v>36.02541365431572</v>
      </c>
      <c r="CB130" s="22">
        <f t="shared" si="64"/>
        <v>304.51379011459977</v>
      </c>
      <c r="CC130" s="60">
        <f t="shared" si="65"/>
        <v>582.75203920706406</v>
      </c>
      <c r="CD130" s="60">
        <f ca="1">AVERAGE(OFFSET($CC$3,0,0,'Données projet'!$E$12+1,1))-AVERAGE(OFFSET($H$3,0,0,'Données projet'!$E$12+1,1))</f>
        <v>314.72063458462026</v>
      </c>
      <c r="CE130" s="60">
        <f t="shared" si="94"/>
        <v>216.4380325968244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2.2000000000000002</v>
      </c>
      <c r="CT130" s="13">
        <f>IF('Données projet'!$A$140&gt;35,CT129+CS130-DB129,IF(A130&lt;'Données projet'!$A$140,$CQ$205^A130,IF(A130='Données projet'!$A$140,'Données projet'!$B$140,CT129+CS130-DB129)))</f>
        <v>224.39999999999981</v>
      </c>
      <c r="CU130" s="18">
        <f>CT130*VLOOKUP('Données projet'!$B$13,Paramètres!$A$1:$I$89,3,0)*VLOOKUP('Données projet'!$B$13,Paramètres!$A$1:$I$89,5,0)</f>
        <v>241.54415999999975</v>
      </c>
      <c r="CV130" s="14">
        <f t="shared" si="95"/>
        <v>58.771639917508416</v>
      </c>
      <c r="CW130" s="22">
        <f t="shared" si="67"/>
        <v>523.05001818966002</v>
      </c>
      <c r="CX130" s="60">
        <f t="shared" si="68"/>
        <v>801.28826728212425</v>
      </c>
      <c r="CY130" s="60">
        <f ca="1">AVERAGE(OFFSET($CX$3,0,0,'Données projet'!$E$13+1,1))-AVERAGE(OFFSET($H$3,0,0,'Données projet'!$E$13+1,1))</f>
        <v>465.51503238626822</v>
      </c>
      <c r="CZ130" s="60">
        <f t="shared" si="96"/>
        <v>205.55320107663496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2.2000000000000002</v>
      </c>
      <c r="DO130" s="13">
        <f>IF('Données projet'!$A$166&gt;35,DO129+DN130-DW129,IF(A130&lt;'Données projet'!$A$166,$DL$205^A130,IF(A130='Données projet'!$A$166,'Données projet'!$B$166,DO129+DN130-DW129)))</f>
        <v>224.39999999999981</v>
      </c>
      <c r="DP130" s="18">
        <f>DO130*VLOOKUP('Données projet'!$B$14,Paramètres!$A$1:$I$89,3,0)*VLOOKUP('Données projet'!$B$14,Paramètres!$A$1:$I$89,5,0)</f>
        <v>192.53519999999986</v>
      </c>
      <c r="DQ130" s="14">
        <f t="shared" si="97"/>
        <v>48.100016456123036</v>
      </c>
      <c r="DR130" s="22">
        <f t="shared" si="70"/>
        <v>419.10633532774733</v>
      </c>
      <c r="DS130" s="60">
        <f t="shared" si="71"/>
        <v>697.34458442021162</v>
      </c>
      <c r="DT130" s="60">
        <f ca="1">AVERAGE(OFFSET($DS$3,0,0,'Données projet'!$E$14+1,1))-AVERAGE(OFFSET($H$3,0,0,'Données projet'!$E$14+1,1))</f>
        <v>393.79546872270964</v>
      </c>
      <c r="DU130" s="60">
        <f t="shared" si="98"/>
        <v>179.7333990060757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135.66666666666666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3.6028846153846175</v>
      </c>
      <c r="N131" s="14">
        <f>IF('Données projet'!$A$36&gt;35,N130+M131-V130,IF(A131&lt;'Données projet'!$A$36,$K$205^A131,IF(A131='Données projet'!$A$36,'Données projet'!$B$36,N130+M131-V130)))</f>
        <v>296.7288461538464</v>
      </c>
      <c r="O131" s="14">
        <f>N131*VLOOKUP('Données projet'!$B$9,Paramètres!$A$1:$I$89,3,0)*VLOOKUP('Données projet'!$B$9,Paramètres!$A$1:$I$89,5,0)</f>
        <v>138.86910000000012</v>
      </c>
      <c r="P131" s="14">
        <f t="shared" si="87"/>
        <v>36.037810019455883</v>
      </c>
      <c r="Q131" s="22">
        <f t="shared" ref="Q131:Q153" si="108">(O131+P131)*0.475*44/12</f>
        <v>304.62953495055257</v>
      </c>
      <c r="R131" s="60">
        <f t="shared" ref="R131:R194" si="109">Q131+(I131+J131)*44/12</f>
        <v>583.12965000704332</v>
      </c>
      <c r="S131" s="60">
        <f ca="1">AVERAGE(OFFSET($R$3,0,0,'Données projet'!$E$9+1,1))-AVERAGE(OFFSET($H$3,0,0,'Données projet'!$E$9+1,1))</f>
        <v>291.44524568678776</v>
      </c>
      <c r="T131" s="60">
        <f t="shared" si="88"/>
        <v>136.43373205899937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-2.9558577807620169E-14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300.72820267660154</v>
      </c>
      <c r="AO131" s="60">
        <f t="shared" si="90"/>
        <v>228.35388778608589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221.18884567967481</v>
      </c>
      <c r="BJ131" s="60">
        <f t="shared" si="92"/>
        <v>189.31596996710888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1.2474999999999994</v>
      </c>
      <c r="BY131" s="13">
        <f>IF('Données projet'!$A$114&gt;35,BY130+BX131-CG130,IF(A131&lt;'Données projet'!$A$114,$BV$205^A131,IF(A131='Données projet'!$A$114,'Données projet'!$B$114,BY130+BX131-CG130)))</f>
        <v>121.74666666666664</v>
      </c>
      <c r="BZ131" s="14">
        <f>BY131*VLOOKUP('Données projet'!$B$12,Paramètres!$A$1:$I$89,3,0)*VLOOKUP('Données projet'!$B$12,Paramètres!$A$1:$I$89,5,0)</f>
        <v>140.25215999999998</v>
      </c>
      <c r="CA131" s="14">
        <f t="shared" si="93"/>
        <v>36.354765758674333</v>
      </c>
      <c r="CB131" s="22">
        <f t="shared" si="64"/>
        <v>307.59039569635775</v>
      </c>
      <c r="CC131" s="60">
        <f t="shared" si="65"/>
        <v>586.09051075284856</v>
      </c>
      <c r="CD131" s="60">
        <f ca="1">AVERAGE(OFFSET($CC$3,0,0,'Données projet'!$E$12+1,1))-AVERAGE(OFFSET($H$3,0,0,'Données projet'!$E$12+1,1))</f>
        <v>314.72063458462026</v>
      </c>
      <c r="CE131" s="60">
        <f t="shared" si="94"/>
        <v>216.4380325968244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2.2000000000000002</v>
      </c>
      <c r="CT131" s="13">
        <f>IF('Données projet'!$A$140&gt;35,CT130+CS131-DB130,IF(A131&lt;'Données projet'!$A$140,$CQ$205^A131,IF(A131='Données projet'!$A$140,'Données projet'!$B$140,CT130+CS131-DB130)))</f>
        <v>226.5999999999998</v>
      </c>
      <c r="CU131" s="18">
        <f>CT131*VLOOKUP('Données projet'!$B$13,Paramètres!$A$1:$I$89,3,0)*VLOOKUP('Données projet'!$B$13,Paramètres!$A$1:$I$89,5,0)</f>
        <v>243.91223999999977</v>
      </c>
      <c r="CV131" s="14">
        <f t="shared" si="95"/>
        <v>59.280474207479735</v>
      </c>
      <c r="CW131" s="22">
        <f t="shared" si="67"/>
        <v>528.0606439113601</v>
      </c>
      <c r="CX131" s="60">
        <f t="shared" si="68"/>
        <v>806.56075896785092</v>
      </c>
      <c r="CY131" s="60">
        <f ca="1">AVERAGE(OFFSET($CX$3,0,0,'Données projet'!$E$13+1,1))-AVERAGE(OFFSET($H$3,0,0,'Données projet'!$E$13+1,1))</f>
        <v>465.51503238626822</v>
      </c>
      <c r="CZ131" s="60">
        <f t="shared" si="96"/>
        <v>205.55320107663496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2.2000000000000002</v>
      </c>
      <c r="DO131" s="13">
        <f>IF('Données projet'!$A$166&gt;35,DO130+DN131-DW130,IF(A131&lt;'Données projet'!$A$166,$DL$205^A131,IF(A131='Données projet'!$A$166,'Données projet'!$B$166,DO130+DN131-DW130)))</f>
        <v>226.5999999999998</v>
      </c>
      <c r="DP131" s="18">
        <f>DO131*VLOOKUP('Données projet'!$B$14,Paramètres!$A$1:$I$89,3,0)*VLOOKUP('Données projet'!$B$14,Paramètres!$A$1:$I$89,5,0)</f>
        <v>194.42279999999985</v>
      </c>
      <c r="DQ131" s="14">
        <f t="shared" si="97"/>
        <v>48.516457749158512</v>
      </c>
      <c r="DR131" s="22">
        <f t="shared" si="70"/>
        <v>423.1192072464508</v>
      </c>
      <c r="DS131" s="60">
        <f t="shared" si="71"/>
        <v>701.61932230294155</v>
      </c>
      <c r="DT131" s="60">
        <f ca="1">AVERAGE(OFFSET($DS$3,0,0,'Données projet'!$E$14+1,1))-AVERAGE(OFFSET($H$3,0,0,'Données projet'!$E$14+1,1))</f>
        <v>393.79546872270964</v>
      </c>
      <c r="DU131" s="60">
        <f t="shared" si="98"/>
        <v>179.7333990060757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135.66666666666666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3.6028846153846175</v>
      </c>
      <c r="N132" s="14">
        <f>IF('Données projet'!$A$36&gt;35,N131+M132-V131,IF(A132&lt;'Données projet'!$A$36,$K$205^A132,IF(A132='Données projet'!$A$36,'Données projet'!$B$36,N131+M132-V131)))</f>
        <v>300.331730769231</v>
      </c>
      <c r="O132" s="14">
        <f>N132*VLOOKUP('Données projet'!$B$9,Paramètres!$A$1:$I$89,3,0)*VLOOKUP('Données projet'!$B$9,Paramètres!$A$1:$I$89,5,0)</f>
        <v>140.55525000000011</v>
      </c>
      <c r="P132" s="14">
        <f t="shared" si="87"/>
        <v>36.424176155194317</v>
      </c>
      <c r="Q132" s="22">
        <f t="shared" si="108"/>
        <v>308.23916722029691</v>
      </c>
      <c r="R132" s="60">
        <f t="shared" si="109"/>
        <v>586.9966054517829</v>
      </c>
      <c r="S132" s="60">
        <f ca="1">AVERAGE(OFFSET($R$3,0,0,'Données projet'!$E$9+1,1))-AVERAGE(OFFSET($H$3,0,0,'Données projet'!$E$9+1,1))</f>
        <v>291.44524568678776</v>
      </c>
      <c r="T132" s="60">
        <f t="shared" si="88"/>
        <v>136.43373205899937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-2.9558577807620169E-14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300.72820267660154</v>
      </c>
      <c r="AO132" s="60">
        <f t="shared" si="90"/>
        <v>228.35388778608589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221.18884567967481</v>
      </c>
      <c r="BJ132" s="60">
        <f t="shared" si="92"/>
        <v>189.31596996710888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1.2474999999999994</v>
      </c>
      <c r="BY132" s="13">
        <f>IF('Données projet'!$A$114&gt;35,BY131+BX132-CG131,IF(A132&lt;'Données projet'!$A$114,$BV$205^A132,IF(A132='Données projet'!$A$114,'Données projet'!$B$114,BY131+BX132-CG131)))</f>
        <v>122.99416666666664</v>
      </c>
      <c r="BZ132" s="14">
        <f>BY132*VLOOKUP('Données projet'!$B$12,Paramètres!$A$1:$I$89,3,0)*VLOOKUP('Données projet'!$B$12,Paramètres!$A$1:$I$89,5,0)</f>
        <v>141.68927999999997</v>
      </c>
      <c r="CA132" s="14">
        <f t="shared" si="93"/>
        <v>36.683725266946084</v>
      </c>
      <c r="CB132" s="22">
        <f t="shared" ref="CB132:CB153" si="118">(BZ132+CA132)*0.475*44/12</f>
        <v>310.66631750659769</v>
      </c>
      <c r="CC132" s="60">
        <f t="shared" ref="CC132:CC195" si="119">CB132+(BT132+BU132)*44/12</f>
        <v>589.42375573808363</v>
      </c>
      <c r="CD132" s="60">
        <f ca="1">AVERAGE(OFFSET($CC$3,0,0,'Données projet'!$E$12+1,1))-AVERAGE(OFFSET($H$3,0,0,'Données projet'!$E$12+1,1))</f>
        <v>314.72063458462026</v>
      </c>
      <c r="CE132" s="60">
        <f t="shared" si="94"/>
        <v>216.4380325968244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2.2000000000000002</v>
      </c>
      <c r="CT132" s="13">
        <f>IF('Données projet'!$A$140&gt;35,CT131+CS132-DB131,IF(A132&lt;'Données projet'!$A$140,$CQ$205^A132,IF(A132='Données projet'!$A$140,'Données projet'!$B$140,CT131+CS132-DB131)))</f>
        <v>228.79999999999978</v>
      </c>
      <c r="CU132" s="18">
        <f>CT132*VLOOKUP('Données projet'!$B$13,Paramètres!$A$1:$I$89,3,0)*VLOOKUP('Données projet'!$B$13,Paramètres!$A$1:$I$89,5,0)</f>
        <v>246.28031999999976</v>
      </c>
      <c r="CV132" s="14">
        <f t="shared" si="95"/>
        <v>59.788733780551681</v>
      </c>
      <c r="CW132" s="22">
        <f t="shared" ref="CW132:CW153" si="121">(CU132+CV132)*0.475*44/12</f>
        <v>533.0702686677937</v>
      </c>
      <c r="CX132" s="60">
        <f t="shared" ref="CX132:CX195" si="122">CW132+(CO132+CP132)*44/12</f>
        <v>811.82770689927963</v>
      </c>
      <c r="CY132" s="60">
        <f ca="1">AVERAGE(OFFSET($CX$3,0,0,'Données projet'!$E$13+1,1))-AVERAGE(OFFSET($H$3,0,0,'Données projet'!$E$13+1,1))</f>
        <v>465.51503238626822</v>
      </c>
      <c r="CZ132" s="60">
        <f t="shared" si="96"/>
        <v>205.55320107663496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2.2000000000000002</v>
      </c>
      <c r="DO132" s="13">
        <f>IF('Données projet'!$A$166&gt;35,DO131+DN132-DW131,IF(A132&lt;'Données projet'!$A$166,$DL$205^A132,IF(A132='Données projet'!$A$166,'Données projet'!$B$166,DO131+DN132-DW131)))</f>
        <v>228.79999999999978</v>
      </c>
      <c r="DP132" s="18">
        <f>DO132*VLOOKUP('Données projet'!$B$14,Paramètres!$A$1:$I$89,3,0)*VLOOKUP('Données projet'!$B$14,Paramètres!$A$1:$I$89,5,0)</f>
        <v>196.31039999999985</v>
      </c>
      <c r="DQ132" s="14">
        <f t="shared" si="97"/>
        <v>48.932428681108931</v>
      </c>
      <c r="DR132" s="22">
        <f t="shared" ref="DR132:DR153" si="124">(DP132+DQ132)*0.475*44/12</f>
        <v>427.13125995293109</v>
      </c>
      <c r="DS132" s="60">
        <f t="shared" ref="DS132:DS195" si="125">DR132+(DJ132+DK132)*44/12</f>
        <v>705.88869818441708</v>
      </c>
      <c r="DT132" s="60">
        <f ca="1">AVERAGE(OFFSET($DS$3,0,0,'Données projet'!$E$14+1,1))-AVERAGE(OFFSET($H$3,0,0,'Données projet'!$E$14+1,1))</f>
        <v>393.79546872270964</v>
      </c>
      <c r="DU132" s="60">
        <f t="shared" si="98"/>
        <v>179.7333990060757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135.66666666666666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3.6028846153846175</v>
      </c>
      <c r="N133" s="14">
        <f>IF('Données projet'!$A$36&gt;35,N132+M133-V132,IF(A133&lt;'Données projet'!$A$36,$K$205^A133,IF(A133='Données projet'!$A$36,'Données projet'!$B$36,N132+M133-V132)))</f>
        <v>303.9346153846156</v>
      </c>
      <c r="O133" s="14">
        <f>N133*VLOOKUP('Données projet'!$B$9,Paramètres!$A$1:$I$89,3,0)*VLOOKUP('Données projet'!$B$9,Paramètres!$A$1:$I$89,5,0)</f>
        <v>142.24140000000008</v>
      </c>
      <c r="P133" s="14">
        <f t="shared" ref="P133:P196" si="141">EXP(-1.0587+0.8836*LN(O133)+0.284)</f>
        <v>36.810003141687424</v>
      </c>
      <c r="Q133" s="22">
        <f t="shared" si="108"/>
        <v>311.84786047177238</v>
      </c>
      <c r="R133" s="60">
        <f t="shared" si="109"/>
        <v>590.85815789645585</v>
      </c>
      <c r="S133" s="60">
        <f ca="1">AVERAGE(OFFSET($R$3,0,0,'Données projet'!$E$9+1,1))-AVERAGE(OFFSET($H$3,0,0,'Données projet'!$E$9+1,1))</f>
        <v>291.44524568678776</v>
      </c>
      <c r="T133" s="60">
        <f t="shared" ref="T133:T196" si="142">$T$3</f>
        <v>136.43373205899937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-2.9558577807620169E-14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300.72820267660154</v>
      </c>
      <c r="AO133" s="60">
        <f t="shared" ref="AO133:AO196" si="144">$AO$3</f>
        <v>228.35388778608589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221.18884567967481</v>
      </c>
      <c r="BJ133" s="60">
        <f t="shared" ref="BJ133:BJ196" si="146">$BJ$3</f>
        <v>189.31596996710888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124.24166666666667</v>
      </c>
      <c r="BW133" s="13">
        <f>VLOOKUP(A133,'Données projet'!$A$113:$I$133,9,0)</f>
        <v>1.2474999999999994</v>
      </c>
      <c r="BX133" s="13">
        <f t="array" ref="BX133">INDEX(BW:BW,MIN(IF(ISNUMBER(BW133:BW329),ROW(BW133:BW329),"")))</f>
        <v>1.2474999999999994</v>
      </c>
      <c r="BY133" s="13">
        <f>IF('Données projet'!$A$114&gt;35,BY132+BX133-CG132,IF(A133&lt;'Données projet'!$A$114,$BV$205^A133,IF(A133='Données projet'!$A$114,'Données projet'!$B$114,BY132+BX133-CG132)))</f>
        <v>124.24166666666665</v>
      </c>
      <c r="BZ133" s="14">
        <f>BY133*VLOOKUP('Données projet'!$B$12,Paramètres!$A$1:$I$89,3,0)*VLOOKUP('Données projet'!$B$12,Paramètres!$A$1:$I$89,5,0)</f>
        <v>143.12639999999996</v>
      </c>
      <c r="CA133" s="14">
        <f t="shared" ref="CA133:CA153" si="147">EXP(-1.0587+0.8836*LN(BZ133)+0.284)</f>
        <v>37.012296622173274</v>
      </c>
      <c r="CB133" s="22">
        <f t="shared" si="118"/>
        <v>313.74156328361835</v>
      </c>
      <c r="CC133" s="60">
        <f t="shared" si="119"/>
        <v>592.75186070830182</v>
      </c>
      <c r="CD133" s="60">
        <f ca="1">AVERAGE(OFFSET($CC$3,0,0,'Données projet'!$E$12+1,1))-AVERAGE(OFFSET($H$3,0,0,'Données projet'!$E$12+1,1))</f>
        <v>314.72063458462026</v>
      </c>
      <c r="CE133" s="60">
        <f t="shared" ref="CE133:CE196" si="148">$CE$3</f>
        <v>216.4380325968244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8.7083333333333339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231</v>
      </c>
      <c r="CR133" s="13">
        <f>VLOOKUP(A133,'Données projet'!$A$139:$I$159,9,0)</f>
        <v>2.2000000000000002</v>
      </c>
      <c r="CS133" s="13">
        <f t="array" ref="CS133">INDEX(CR:CR,MIN(IF(ISNUMBER(CR133:CR329),ROW(CR133:CR329),"")))</f>
        <v>2.2000000000000002</v>
      </c>
      <c r="CT133" s="13">
        <f>IF('Données projet'!$A$140&gt;35,CT132+CS133-DB132,IF(A133&lt;'Données projet'!$A$140,$CQ$205^A133,IF(A133='Données projet'!$A$140,'Données projet'!$B$140,CT132+CS133-DB132)))</f>
        <v>230.99999999999977</v>
      </c>
      <c r="CU133" s="18">
        <f>CT133*VLOOKUP('Données projet'!$B$13,Paramètres!$A$1:$I$89,3,0)*VLOOKUP('Données projet'!$B$13,Paramètres!$A$1:$I$89,5,0)</f>
        <v>248.64839999999975</v>
      </c>
      <c r="CV133" s="14">
        <f t="shared" ref="CV133:CV153" si="149">EXP(-1.0587+0.8836*LN(CU133)+0.284)</f>
        <v>60.296424802828724</v>
      </c>
      <c r="CW133" s="22">
        <f t="shared" si="121"/>
        <v>538.07890319825958</v>
      </c>
      <c r="CX133" s="60">
        <f t="shared" si="122"/>
        <v>817.08920062294305</v>
      </c>
      <c r="CY133" s="60">
        <f ca="1">AVERAGE(OFFSET($CX$3,0,0,'Données projet'!$E$13+1,1))-AVERAGE(OFFSET($H$3,0,0,'Données projet'!$E$13+1,1))</f>
        <v>465.51503238626822</v>
      </c>
      <c r="CZ133" s="60">
        <f t="shared" ref="CZ133:CZ196" si="150">$CZ$3</f>
        <v>205.55320107663496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231</v>
      </c>
      <c r="DM133" s="13">
        <f>VLOOKUP(A133,'Données projet'!$A$165:$I$185,9,0)</f>
        <v>2.2000000000000002</v>
      </c>
      <c r="DN133" s="13">
        <f t="array" ref="DN133">INDEX(DM:DM,MIN(IF(ISNUMBER(DM133:DM329),ROW(DM133:DM329),"")))</f>
        <v>2.2000000000000002</v>
      </c>
      <c r="DO133" s="13">
        <f>IF('Données projet'!$A$166&gt;35,DO132+DN133-DW132,IF(A133&lt;'Données projet'!$A$166,$DL$205^A133,IF(A133='Données projet'!$A$166,'Données projet'!$B$166,DO132+DN133-DW132)))</f>
        <v>230.99999999999977</v>
      </c>
      <c r="DP133" s="18">
        <f>DO133*VLOOKUP('Données projet'!$B$14,Paramètres!$A$1:$I$89,3,0)*VLOOKUP('Données projet'!$B$14,Paramètres!$A$1:$I$89,5,0)</f>
        <v>198.19799999999984</v>
      </c>
      <c r="DQ133" s="14">
        <f t="shared" ref="DQ133:DQ153" si="151">EXP(-1.0587+0.8836*LN(DP133)+0.284)</f>
        <v>49.347934298451364</v>
      </c>
      <c r="DR133" s="22">
        <f t="shared" si="124"/>
        <v>431.14250223646906</v>
      </c>
      <c r="DS133" s="60">
        <f t="shared" si="125"/>
        <v>710.15279966115247</v>
      </c>
      <c r="DT133" s="60">
        <f ca="1">AVERAGE(OFFSET($DS$3,0,0,'Données projet'!$E$14+1,1))-AVERAGE(OFFSET($H$3,0,0,'Données projet'!$E$14+1,1))</f>
        <v>393.79546872270964</v>
      </c>
      <c r="DU133" s="60">
        <f t="shared" ref="DU133:DU196" si="152">$DU$3</f>
        <v>179.7333990060757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135.66666666666666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3.6028846153846175</v>
      </c>
      <c r="N134" s="14">
        <f>IF('Données projet'!$A$36&gt;35,N133+M134-V133,IF(A134&lt;'Données projet'!$A$36,$K$205^A134,IF(A134='Données projet'!$A$36,'Données projet'!$B$36,N133+M134-V133)))</f>
        <v>307.53750000000019</v>
      </c>
      <c r="O134" s="14">
        <f>N134*VLOOKUP('Données projet'!$B$9,Paramètres!$A$1:$I$89,3,0)*VLOOKUP('Données projet'!$B$9,Paramètres!$A$1:$I$89,5,0)</f>
        <v>143.92755000000008</v>
      </c>
      <c r="P134" s="14">
        <f t="shared" si="141"/>
        <v>37.195298109433502</v>
      </c>
      <c r="Q134" s="22">
        <f t="shared" si="108"/>
        <v>315.45562712393013</v>
      </c>
      <c r="R134" s="60">
        <f t="shared" si="109"/>
        <v>594.71439720011745</v>
      </c>
      <c r="S134" s="60">
        <f ca="1">AVERAGE(OFFSET($R$3,0,0,'Données projet'!$E$9+1,1))-AVERAGE(OFFSET($H$3,0,0,'Données projet'!$E$9+1,1))</f>
        <v>291.44524568678776</v>
      </c>
      <c r="T134" s="60">
        <f t="shared" si="142"/>
        <v>136.43373205899937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-2.9558577807620169E-14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300.72820267660154</v>
      </c>
      <c r="AO134" s="60">
        <f t="shared" si="144"/>
        <v>228.35388778608589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221.18884567967481</v>
      </c>
      <c r="BJ134" s="60">
        <f t="shared" si="146"/>
        <v>189.31596996710888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1.1879166666666663</v>
      </c>
      <c r="BY134" s="13">
        <f>IF('Données projet'!$A$114&gt;35,BY133+BX134-CG133,IF(A134&lt;'Données projet'!$A$114,$BV$205^A134,IF(A134='Données projet'!$A$114,'Données projet'!$B$114,BY133+BX134-CG133)))</f>
        <v>116.72124999999998</v>
      </c>
      <c r="BZ134" s="14">
        <f>BY134*VLOOKUP('Données projet'!$B$12,Paramètres!$A$1:$I$89,3,0)*VLOOKUP('Données projet'!$B$12,Paramètres!$A$1:$I$89,5,0)</f>
        <v>134.46287999999996</v>
      </c>
      <c r="CA134" s="14">
        <f t="shared" si="147"/>
        <v>35.02556530568927</v>
      </c>
      <c r="CB134" s="22">
        <f t="shared" si="118"/>
        <v>295.19237557407541</v>
      </c>
      <c r="CC134" s="60">
        <f t="shared" si="119"/>
        <v>574.45114565026279</v>
      </c>
      <c r="CD134" s="60">
        <f ca="1">AVERAGE(OFFSET($CC$3,0,0,'Données projet'!$E$12+1,1))-AVERAGE(OFFSET($H$3,0,0,'Données projet'!$E$12+1,1))</f>
        <v>314.72063458462026</v>
      </c>
      <c r="CE134" s="60">
        <f t="shared" si="148"/>
        <v>216.4380325968244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1.7</v>
      </c>
      <c r="CT134" s="13">
        <f>IF('Données projet'!$A$140&gt;35,CT133+CS134-DB133,IF(A134&lt;'Données projet'!$A$140,$CQ$205^A134,IF(A134='Données projet'!$A$140,'Données projet'!$B$140,CT133+CS134-DB133)))</f>
        <v>232.69999999999976</v>
      </c>
      <c r="CU134" s="18">
        <f>CT134*VLOOKUP('Données projet'!$B$13,Paramètres!$A$1:$I$89,3,0)*VLOOKUP('Données projet'!$B$13,Paramètres!$A$1:$I$89,5,0)</f>
        <v>250.47827999999973</v>
      </c>
      <c r="CV134" s="14">
        <f t="shared" si="149"/>
        <v>60.688345920613308</v>
      </c>
      <c r="CW134" s="22">
        <f t="shared" si="121"/>
        <v>541.9485401450678</v>
      </c>
      <c r="CX134" s="60">
        <f t="shared" si="122"/>
        <v>821.20731022125517</v>
      </c>
      <c r="CY134" s="60">
        <f ca="1">AVERAGE(OFFSET($CX$3,0,0,'Données projet'!$E$13+1,1))-AVERAGE(OFFSET($H$3,0,0,'Données projet'!$E$13+1,1))</f>
        <v>465.51503238626822</v>
      </c>
      <c r="CZ134" s="60">
        <f t="shared" si="150"/>
        <v>205.55320107663496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1.7</v>
      </c>
      <c r="DO134" s="13">
        <f>IF('Données projet'!$A$166&gt;35,DO133+DN134-DW133,IF(A134&lt;'Données projet'!$A$166,$DL$205^A134,IF(A134='Données projet'!$A$166,'Données projet'!$B$166,DO133+DN134-DW133)))</f>
        <v>232.69999999999976</v>
      </c>
      <c r="DP134" s="18">
        <f>DO134*VLOOKUP('Données projet'!$B$14,Paramètres!$A$1:$I$89,3,0)*VLOOKUP('Données projet'!$B$14,Paramètres!$A$1:$I$89,5,0)</f>
        <v>199.65659999999983</v>
      </c>
      <c r="DQ134" s="14">
        <f t="shared" si="151"/>
        <v>49.668691252679636</v>
      </c>
      <c r="DR134" s="22">
        <f t="shared" si="124"/>
        <v>434.24154893175</v>
      </c>
      <c r="DS134" s="60">
        <f t="shared" si="125"/>
        <v>713.50031900793738</v>
      </c>
      <c r="DT134" s="60">
        <f ca="1">AVERAGE(OFFSET($DS$3,0,0,'Données projet'!$E$14+1,1))-AVERAGE(OFFSET($H$3,0,0,'Données projet'!$E$14+1,1))</f>
        <v>393.79546872270964</v>
      </c>
      <c r="DU134" s="60">
        <f t="shared" si="152"/>
        <v>179.7333990060757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135.66666666666666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3.6028846153846175</v>
      </c>
      <c r="N135" s="14">
        <f>IF('Données projet'!$A$36&gt;35,N134+M135-V134,IF(A135&lt;'Données projet'!$A$36,$K$205^A135,IF(A135='Données projet'!$A$36,'Données projet'!$B$36,N134+M135-V134)))</f>
        <v>311.14038461538479</v>
      </c>
      <c r="O135" s="14">
        <f>N135*VLOOKUP('Données projet'!$B$9,Paramètres!$A$1:$I$89,3,0)*VLOOKUP('Données projet'!$B$9,Paramètres!$A$1:$I$89,5,0)</f>
        <v>145.61370000000008</v>
      </c>
      <c r="P135" s="14">
        <f t="shared" si="141"/>
        <v>37.580068012244304</v>
      </c>
      <c r="Q135" s="22">
        <f t="shared" si="108"/>
        <v>319.06247928799229</v>
      </c>
      <c r="R135" s="60">
        <f t="shared" si="109"/>
        <v>598.5654115706817</v>
      </c>
      <c r="S135" s="60">
        <f ca="1">AVERAGE(OFFSET($R$3,0,0,'Données projet'!$E$9+1,1))-AVERAGE(OFFSET($H$3,0,0,'Données projet'!$E$9+1,1))</f>
        <v>291.44524568678776</v>
      </c>
      <c r="T135" s="60">
        <f t="shared" si="142"/>
        <v>136.43373205899937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-2.9558577807620169E-14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300.72820267660154</v>
      </c>
      <c r="AO135" s="60">
        <f t="shared" si="144"/>
        <v>228.35388778608589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221.18884567967481</v>
      </c>
      <c r="BJ135" s="60">
        <f t="shared" si="146"/>
        <v>189.31596996710888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1.1879166666666663</v>
      </c>
      <c r="BY135" s="13">
        <f>IF('Données projet'!$A$114&gt;35,BY134+BX135-CG134,IF(A135&lt;'Données projet'!$A$114,$BV$205^A135,IF(A135='Données projet'!$A$114,'Données projet'!$B$114,BY134+BX135-CG134)))</f>
        <v>117.90916666666665</v>
      </c>
      <c r="BZ135" s="14">
        <f>BY135*VLOOKUP('Données projet'!$B$12,Paramètres!$A$1:$I$89,3,0)*VLOOKUP('Données projet'!$B$12,Paramètres!$A$1:$I$89,5,0)</f>
        <v>135.83135999999996</v>
      </c>
      <c r="CA135" s="14">
        <f t="shared" si="147"/>
        <v>35.340355037002603</v>
      </c>
      <c r="CB135" s="22">
        <f t="shared" si="118"/>
        <v>298.12407035611278</v>
      </c>
      <c r="CC135" s="60">
        <f t="shared" si="119"/>
        <v>577.6270026388022</v>
      </c>
      <c r="CD135" s="60">
        <f ca="1">AVERAGE(OFFSET($CC$3,0,0,'Données projet'!$E$12+1,1))-AVERAGE(OFFSET($H$3,0,0,'Données projet'!$E$12+1,1))</f>
        <v>314.72063458462026</v>
      </c>
      <c r="CE135" s="60">
        <f t="shared" si="148"/>
        <v>216.4380325968244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1.7</v>
      </c>
      <c r="CT135" s="13">
        <f>IF('Données projet'!$A$140&gt;35,CT134+CS135-DB134,IF(A135&lt;'Données projet'!$A$140,$CQ$205^A135,IF(A135='Données projet'!$A$140,'Données projet'!$B$140,CT134+CS135-DB134)))</f>
        <v>234.39999999999975</v>
      </c>
      <c r="CU135" s="18">
        <f>CT135*VLOOKUP('Données projet'!$B$13,Paramètres!$A$1:$I$89,3,0)*VLOOKUP('Données projet'!$B$13,Paramètres!$A$1:$I$89,5,0)</f>
        <v>252.30815999999973</v>
      </c>
      <c r="CV135" s="14">
        <f t="shared" si="149"/>
        <v>61.079933900816521</v>
      </c>
      <c r="CW135" s="22">
        <f t="shared" si="121"/>
        <v>545.81759687725491</v>
      </c>
      <c r="CX135" s="60">
        <f t="shared" si="122"/>
        <v>825.32052915994427</v>
      </c>
      <c r="CY135" s="60">
        <f ca="1">AVERAGE(OFFSET($CX$3,0,0,'Données projet'!$E$13+1,1))-AVERAGE(OFFSET($H$3,0,0,'Données projet'!$E$13+1,1))</f>
        <v>465.51503238626822</v>
      </c>
      <c r="CZ135" s="60">
        <f t="shared" si="150"/>
        <v>205.55320107663496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1.7</v>
      </c>
      <c r="DO135" s="13">
        <f>IF('Données projet'!$A$166&gt;35,DO134+DN135-DW134,IF(A135&lt;'Données projet'!$A$166,$DL$205^A135,IF(A135='Données projet'!$A$166,'Données projet'!$B$166,DO134+DN135-DW134)))</f>
        <v>234.39999999999975</v>
      </c>
      <c r="DP135" s="18">
        <f>DO135*VLOOKUP('Données projet'!$B$14,Paramètres!$A$1:$I$89,3,0)*VLOOKUP('Données projet'!$B$14,Paramètres!$A$1:$I$89,5,0)</f>
        <v>201.11519999999982</v>
      </c>
      <c r="DQ135" s="14">
        <f t="shared" si="151"/>
        <v>49.989175559706489</v>
      </c>
      <c r="DR135" s="22">
        <f t="shared" si="124"/>
        <v>437.3401207664885</v>
      </c>
      <c r="DS135" s="60">
        <f t="shared" si="125"/>
        <v>716.84305304917791</v>
      </c>
      <c r="DT135" s="60">
        <f ca="1">AVERAGE(OFFSET($DS$3,0,0,'Données projet'!$E$14+1,1))-AVERAGE(OFFSET($H$3,0,0,'Données projet'!$E$14+1,1))</f>
        <v>393.79546872270964</v>
      </c>
      <c r="DU135" s="60">
        <f t="shared" si="152"/>
        <v>179.7333990060757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135.66666666666666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3.6028846153846175</v>
      </c>
      <c r="N136" s="14">
        <f>IF('Données projet'!$A$36&gt;35,N135+M136-V135,IF(A136&lt;'Données projet'!$A$36,$K$205^A136,IF(A136='Données projet'!$A$36,'Données projet'!$B$36,N135+M136-V135)))</f>
        <v>314.74326923076939</v>
      </c>
      <c r="O136" s="14">
        <f>N136*VLOOKUP('Données projet'!$B$9,Paramètres!$A$1:$I$89,3,0)*VLOOKUP('Données projet'!$B$9,Paramètres!$A$1:$I$89,5,0)</f>
        <v>147.29985000000008</v>
      </c>
      <c r="P136" s="14">
        <f t="shared" si="141"/>
        <v>37.964319633617464</v>
      </c>
      <c r="Q136" s="22">
        <f t="shared" si="108"/>
        <v>322.66842877855055</v>
      </c>
      <c r="R136" s="60">
        <f t="shared" si="109"/>
        <v>602.41128759932406</v>
      </c>
      <c r="S136" s="60">
        <f ca="1">AVERAGE(OFFSET($R$3,0,0,'Données projet'!$E$9+1,1))-AVERAGE(OFFSET($H$3,0,0,'Données projet'!$E$9+1,1))</f>
        <v>291.44524568678776</v>
      </c>
      <c r="T136" s="60">
        <f t="shared" si="142"/>
        <v>136.43373205899937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-2.9558577807620169E-14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300.72820267660154</v>
      </c>
      <c r="AO136" s="60">
        <f t="shared" si="144"/>
        <v>228.35388778608589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221.18884567967481</v>
      </c>
      <c r="BJ136" s="60">
        <f t="shared" si="146"/>
        <v>189.31596996710888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1.1879166666666663</v>
      </c>
      <c r="BY136" s="13">
        <f>IF('Données projet'!$A$114&gt;35,BY135+BX136-CG135,IF(A136&lt;'Données projet'!$A$114,$BV$205^A136,IF(A136='Données projet'!$A$114,'Données projet'!$B$114,BY135+BX136-CG135)))</f>
        <v>119.09708333333332</v>
      </c>
      <c r="BZ136" s="14">
        <f>BY136*VLOOKUP('Données projet'!$B$12,Paramètres!$A$1:$I$89,3,0)*VLOOKUP('Données projet'!$B$12,Paramètres!$A$1:$I$89,5,0)</f>
        <v>137.19983999999997</v>
      </c>
      <c r="CA136" s="14">
        <f t="shared" si="147"/>
        <v>35.65477582037844</v>
      </c>
      <c r="CB136" s="22">
        <f t="shared" si="118"/>
        <v>301.0551225538257</v>
      </c>
      <c r="CC136" s="60">
        <f t="shared" si="119"/>
        <v>580.7979813745992</v>
      </c>
      <c r="CD136" s="60">
        <f ca="1">AVERAGE(OFFSET($CC$3,0,0,'Données projet'!$E$12+1,1))-AVERAGE(OFFSET($H$3,0,0,'Données projet'!$E$12+1,1))</f>
        <v>314.72063458462026</v>
      </c>
      <c r="CE136" s="60">
        <f t="shared" si="148"/>
        <v>216.4380325968244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1.7</v>
      </c>
      <c r="CT136" s="13">
        <f>IF('Données projet'!$A$140&gt;35,CT135+CS136-DB135,IF(A136&lt;'Données projet'!$A$140,$CQ$205^A136,IF(A136='Données projet'!$A$140,'Données projet'!$B$140,CT135+CS136-DB135)))</f>
        <v>236.09999999999974</v>
      </c>
      <c r="CU136" s="18">
        <f>CT136*VLOOKUP('Données projet'!$B$13,Paramètres!$A$1:$I$89,3,0)*VLOOKUP('Données projet'!$B$13,Paramètres!$A$1:$I$89,5,0)</f>
        <v>254.13803999999968</v>
      </c>
      <c r="CV136" s="14">
        <f t="shared" si="149"/>
        <v>61.471191439681782</v>
      </c>
      <c r="CW136" s="22">
        <f t="shared" si="121"/>
        <v>549.68607809077855</v>
      </c>
      <c r="CX136" s="60">
        <f t="shared" si="122"/>
        <v>829.428936911552</v>
      </c>
      <c r="CY136" s="60">
        <f ca="1">AVERAGE(OFFSET($CX$3,0,0,'Données projet'!$E$13+1,1))-AVERAGE(OFFSET($H$3,0,0,'Données projet'!$E$13+1,1))</f>
        <v>465.51503238626822</v>
      </c>
      <c r="CZ136" s="60">
        <f t="shared" si="150"/>
        <v>205.55320107663496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1.7</v>
      </c>
      <c r="DO136" s="13">
        <f>IF('Données projet'!$A$166&gt;35,DO135+DN136-DW135,IF(A136&lt;'Données projet'!$A$166,$DL$205^A136,IF(A136='Données projet'!$A$166,'Données projet'!$B$166,DO135+DN136-DW135)))</f>
        <v>236.09999999999974</v>
      </c>
      <c r="DP136" s="18">
        <f>DO136*VLOOKUP('Données projet'!$B$14,Paramètres!$A$1:$I$89,3,0)*VLOOKUP('Données projet'!$B$14,Paramètres!$A$1:$I$89,5,0)</f>
        <v>202.57379999999981</v>
      </c>
      <c r="DQ136" s="14">
        <f t="shared" si="151"/>
        <v>50.309389426197477</v>
      </c>
      <c r="DR136" s="22">
        <f t="shared" si="124"/>
        <v>440.43822158396023</v>
      </c>
      <c r="DS136" s="60">
        <f t="shared" si="125"/>
        <v>720.18108040473373</v>
      </c>
      <c r="DT136" s="60">
        <f ca="1">AVERAGE(OFFSET($DS$3,0,0,'Données projet'!$E$14+1,1))-AVERAGE(OFFSET($H$3,0,0,'Données projet'!$E$14+1,1))</f>
        <v>393.79546872270964</v>
      </c>
      <c r="DU136" s="60">
        <f t="shared" si="152"/>
        <v>179.7333990060757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135.66666666666666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>
        <f>VLOOKUP(A137,'Données projet'!$A$35:$I$55,2,0)</f>
        <v>318.34615384615387</v>
      </c>
      <c r="L137" s="13">
        <f>VLOOKUP(A137,'Données projet'!$A$35:$I$55,9,0)</f>
        <v>3.6028846153846175</v>
      </c>
      <c r="M137" s="13">
        <f t="array" ref="M137">INDEX(L:L,MIN(IF(ISNUMBER(L137:L333),ROW(L137:L333),"")))</f>
        <v>3.6028846153846175</v>
      </c>
      <c r="N137" s="14">
        <f>IF('Données projet'!$A$36&gt;35,N136+M137-V136,IF(A137&lt;'Données projet'!$A$36,$K$205^A137,IF(A137='Données projet'!$A$36,'Données projet'!$B$36,N136+M137-V136)))</f>
        <v>318.34615384615398</v>
      </c>
      <c r="O137" s="14">
        <f>N137*VLOOKUP('Données projet'!$B$9,Paramètres!$A$1:$I$89,3,0)*VLOOKUP('Données projet'!$B$9,Paramètres!$A$1:$I$89,5,0)</f>
        <v>148.98600000000008</v>
      </c>
      <c r="P137" s="14">
        <f t="shared" si="141"/>
        <v>38.348059592808433</v>
      </c>
      <c r="Q137" s="22">
        <f t="shared" si="108"/>
        <v>326.27348712414147</v>
      </c>
      <c r="R137" s="60">
        <f t="shared" si="109"/>
        <v>606.25211029395871</v>
      </c>
      <c r="S137" s="60">
        <f ca="1">AVERAGE(OFFSET($R$3,0,0,'Données projet'!$E$9+1,1))-AVERAGE(OFFSET($H$3,0,0,'Données projet'!$E$9+1,1))</f>
        <v>291.44524568678776</v>
      </c>
      <c r="T137" s="60">
        <f t="shared" si="142"/>
        <v>136.43373205899937</v>
      </c>
      <c r="U137" s="16">
        <f>IF(ISNA(VLOOKUP(A137,'Données projet'!$A$35:$I$55,3,0)),0,VLOOKUP(A137,'Données projet'!$A$35:$I$55,3,0))</f>
        <v>5</v>
      </c>
      <c r="V137" s="16">
        <f>IF(ISNA(VLOOKUP(A137,'Données projet'!$A$35:$I$55,4,0)),0,VLOOKUP(A137,'Données projet'!$A$35:$I$55,4,0))</f>
        <v>158.87692307692308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-2.9558577807620169E-14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300.72820267660154</v>
      </c>
      <c r="AO137" s="60">
        <f t="shared" si="144"/>
        <v>228.35388778608589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221.18884567967481</v>
      </c>
      <c r="BJ137" s="60">
        <f t="shared" si="146"/>
        <v>189.31596996710888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1.1879166666666663</v>
      </c>
      <c r="BY137" s="13">
        <f>IF('Données projet'!$A$114&gt;35,BY136+BX137-CG136,IF(A137&lt;'Données projet'!$A$114,$BV$205^A137,IF(A137='Données projet'!$A$114,'Données projet'!$B$114,BY136+BX137-CG136)))</f>
        <v>120.28499999999998</v>
      </c>
      <c r="BZ137" s="14">
        <f>BY137*VLOOKUP('Données projet'!$B$12,Paramètres!$A$1:$I$89,3,0)*VLOOKUP('Données projet'!$B$12,Paramètres!$A$1:$I$89,5,0)</f>
        <v>138.56831999999997</v>
      </c>
      <c r="CA137" s="14">
        <f t="shared" si="147"/>
        <v>35.968831761941608</v>
      </c>
      <c r="CB137" s="22">
        <f t="shared" si="118"/>
        <v>303.98553931871487</v>
      </c>
      <c r="CC137" s="60">
        <f t="shared" si="119"/>
        <v>583.96416248853211</v>
      </c>
      <c r="CD137" s="60">
        <f ca="1">AVERAGE(OFFSET($CC$3,0,0,'Données projet'!$E$12+1,1))-AVERAGE(OFFSET($H$3,0,0,'Données projet'!$E$12+1,1))</f>
        <v>314.72063458462026</v>
      </c>
      <c r="CE137" s="60">
        <f t="shared" si="148"/>
        <v>216.4380325968244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1.7</v>
      </c>
      <c r="CT137" s="13">
        <f>IF('Données projet'!$A$140&gt;35,CT136+CS137-DB136,IF(A137&lt;'Données projet'!$A$140,$CQ$205^A137,IF(A137='Données projet'!$A$140,'Données projet'!$B$140,CT136+CS137-DB136)))</f>
        <v>237.79999999999973</v>
      </c>
      <c r="CU137" s="18">
        <f>CT137*VLOOKUP('Données projet'!$B$13,Paramètres!$A$1:$I$89,3,0)*VLOOKUP('Données projet'!$B$13,Paramètres!$A$1:$I$89,5,0)</f>
        <v>255.96791999999968</v>
      </c>
      <c r="CV137" s="14">
        <f t="shared" si="149"/>
        <v>61.862121192381288</v>
      </c>
      <c r="CW137" s="22">
        <f t="shared" si="121"/>
        <v>553.55398841006343</v>
      </c>
      <c r="CX137" s="60">
        <f t="shared" si="122"/>
        <v>833.53261157988072</v>
      </c>
      <c r="CY137" s="60">
        <f ca="1">AVERAGE(OFFSET($CX$3,0,0,'Données projet'!$E$13+1,1))-AVERAGE(OFFSET($H$3,0,0,'Données projet'!$E$13+1,1))</f>
        <v>465.51503238626822</v>
      </c>
      <c r="CZ137" s="60">
        <f t="shared" si="150"/>
        <v>205.55320107663496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1.7</v>
      </c>
      <c r="DO137" s="13">
        <f>IF('Données projet'!$A$166&gt;35,DO136+DN137-DW136,IF(A137&lt;'Données projet'!$A$166,$DL$205^A137,IF(A137='Données projet'!$A$166,'Données projet'!$B$166,DO136+DN137-DW136)))</f>
        <v>237.79999999999973</v>
      </c>
      <c r="DP137" s="18">
        <f>DO137*VLOOKUP('Données projet'!$B$14,Paramètres!$A$1:$I$89,3,0)*VLOOKUP('Données projet'!$B$14,Paramètres!$A$1:$I$89,5,0)</f>
        <v>204.03239999999977</v>
      </c>
      <c r="DQ137" s="14">
        <f t="shared" si="151"/>
        <v>50.629335025204533</v>
      </c>
      <c r="DR137" s="22">
        <f t="shared" si="124"/>
        <v>443.53585516889751</v>
      </c>
      <c r="DS137" s="60">
        <f t="shared" si="125"/>
        <v>723.51447833871475</v>
      </c>
      <c r="DT137" s="60">
        <f ca="1">AVERAGE(OFFSET($DS$3,0,0,'Données projet'!$E$14+1,1))-AVERAGE(OFFSET($H$3,0,0,'Données projet'!$E$14+1,1))</f>
        <v>393.79546872270964</v>
      </c>
      <c r="DU137" s="60">
        <f t="shared" si="152"/>
        <v>179.7333990060757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135.66666666666666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2.6538461538461489</v>
      </c>
      <c r="N138" s="14">
        <f>IF('Données projet'!$A$36&gt;35,N137+M138-V137,IF(A138&lt;'Données projet'!$A$36,$K$205^A138,IF(A138='Données projet'!$A$36,'Données projet'!$B$36,N137+M138-V137)))</f>
        <v>162.12307692307704</v>
      </c>
      <c r="O138" s="14">
        <f>N138*VLOOKUP('Données projet'!$B$9,Paramètres!$A$1:$I$89,3,0)*VLOOKUP('Données projet'!$B$9,Paramètres!$A$1:$I$89,5,0)</f>
        <v>75.873600000000053</v>
      </c>
      <c r="P138" s="14">
        <f t="shared" si="141"/>
        <v>21.125169349260037</v>
      </c>
      <c r="Q138" s="22">
        <f t="shared" si="108"/>
        <v>168.93952328329465</v>
      </c>
      <c r="R138" s="60">
        <f t="shared" si="109"/>
        <v>449.14982081778982</v>
      </c>
      <c r="S138" s="60">
        <f ca="1">AVERAGE(OFFSET($R$3,0,0,'Données projet'!$E$9+1,1))-AVERAGE(OFFSET($H$3,0,0,'Données projet'!$E$9+1,1))</f>
        <v>291.44524568678776</v>
      </c>
      <c r="T138" s="60">
        <f t="shared" si="142"/>
        <v>136.43373205899937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-2.9558577807620169E-14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300.72820267660154</v>
      </c>
      <c r="AO138" s="60">
        <f t="shared" si="144"/>
        <v>228.35388778608589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221.18884567967481</v>
      </c>
      <c r="BJ138" s="60">
        <f t="shared" si="146"/>
        <v>189.31596996710888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1.1879166666666663</v>
      </c>
      <c r="BY138" s="13">
        <f>IF('Données projet'!$A$114&gt;35,BY137+BX138-CG137,IF(A138&lt;'Données projet'!$A$114,$BV$205^A138,IF(A138='Données projet'!$A$114,'Données projet'!$B$114,BY137+BX138-CG137)))</f>
        <v>121.47291666666665</v>
      </c>
      <c r="BZ138" s="14">
        <f>BY138*VLOOKUP('Données projet'!$B$12,Paramètres!$A$1:$I$89,3,0)*VLOOKUP('Données projet'!$B$12,Paramètres!$A$1:$I$89,5,0)</f>
        <v>139.93679999999998</v>
      </c>
      <c r="CA138" s="14">
        <f t="shared" si="147"/>
        <v>36.282526882038972</v>
      </c>
      <c r="CB138" s="22">
        <f t="shared" si="118"/>
        <v>306.91532765288451</v>
      </c>
      <c r="CC138" s="60">
        <f t="shared" si="119"/>
        <v>587.12562518737968</v>
      </c>
      <c r="CD138" s="60">
        <f ca="1">AVERAGE(OFFSET($CC$3,0,0,'Données projet'!$E$12+1,1))-AVERAGE(OFFSET($H$3,0,0,'Données projet'!$E$12+1,1))</f>
        <v>314.72063458462026</v>
      </c>
      <c r="CE138" s="60">
        <f t="shared" si="148"/>
        <v>216.4380325968244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1.7</v>
      </c>
      <c r="CT138" s="13">
        <f>IF('Données projet'!$A$140&gt;35,CT137+CS138-DB137,IF(A138&lt;'Données projet'!$A$140,$CQ$205^A138,IF(A138='Données projet'!$A$140,'Données projet'!$B$140,CT137+CS138-DB137)))</f>
        <v>239.49999999999972</v>
      </c>
      <c r="CU138" s="18">
        <f>CT138*VLOOKUP('Données projet'!$B$13,Paramètres!$A$1:$I$89,3,0)*VLOOKUP('Données projet'!$B$13,Paramètres!$A$1:$I$89,5,0)</f>
        <v>257.79779999999971</v>
      </c>
      <c r="CV138" s="14">
        <f t="shared" si="149"/>
        <v>62.252725773930493</v>
      </c>
      <c r="CW138" s="22">
        <f t="shared" si="121"/>
        <v>557.42133238959502</v>
      </c>
      <c r="CX138" s="60">
        <f t="shared" si="122"/>
        <v>837.63162992409025</v>
      </c>
      <c r="CY138" s="60">
        <f ca="1">AVERAGE(OFFSET($CX$3,0,0,'Données projet'!$E$13+1,1))-AVERAGE(OFFSET($H$3,0,0,'Données projet'!$E$13+1,1))</f>
        <v>465.51503238626822</v>
      </c>
      <c r="CZ138" s="60">
        <f t="shared" si="150"/>
        <v>205.55320107663496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1.7</v>
      </c>
      <c r="DO138" s="13">
        <f>IF('Données projet'!$A$166&gt;35,DO137+DN138-DW137,IF(A138&lt;'Données projet'!$A$166,$DL$205^A138,IF(A138='Données projet'!$A$166,'Données projet'!$B$166,DO137+DN138-DW137)))</f>
        <v>239.49999999999972</v>
      </c>
      <c r="DP138" s="18">
        <f>DO138*VLOOKUP('Données projet'!$B$14,Paramètres!$A$1:$I$89,3,0)*VLOOKUP('Données projet'!$B$14,Paramètres!$A$1:$I$89,5,0)</f>
        <v>205.49099999999979</v>
      </c>
      <c r="DQ138" s="14">
        <f t="shared" si="151"/>
        <v>50.949014496914437</v>
      </c>
      <c r="DR138" s="22">
        <f t="shared" si="124"/>
        <v>446.63302524879219</v>
      </c>
      <c r="DS138" s="60">
        <f t="shared" si="125"/>
        <v>726.84332278328736</v>
      </c>
      <c r="DT138" s="60">
        <f ca="1">AVERAGE(OFFSET($DS$3,0,0,'Données projet'!$E$14+1,1))-AVERAGE(OFFSET($H$3,0,0,'Données projet'!$E$14+1,1))</f>
        <v>393.79546872270964</v>
      </c>
      <c r="DU138" s="60">
        <f t="shared" si="152"/>
        <v>179.7333990060757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135.66666666666666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2.6538461538461489</v>
      </c>
      <c r="N139" s="14">
        <f>IF('Données projet'!$A$36&gt;35,N138+M139-V138,IF(A139&lt;'Données projet'!$A$36,$K$205^A139,IF(A139='Données projet'!$A$36,'Données projet'!$B$36,N138+M139-V138)))</f>
        <v>164.7769230769232</v>
      </c>
      <c r="O139" s="14">
        <f>N139*VLOOKUP('Données projet'!$B$9,Paramètres!$A$1:$I$89,3,0)*VLOOKUP('Données projet'!$B$9,Paramètres!$A$1:$I$89,5,0)</f>
        <v>77.115600000000057</v>
      </c>
      <c r="P139" s="14">
        <f t="shared" si="141"/>
        <v>21.430433190834723</v>
      </c>
      <c r="Q139" s="22">
        <f t="shared" si="108"/>
        <v>171.6343411407039</v>
      </c>
      <c r="R139" s="60">
        <f t="shared" si="109"/>
        <v>452.07229400759604</v>
      </c>
      <c r="S139" s="60">
        <f ca="1">AVERAGE(OFFSET($R$3,0,0,'Données projet'!$E$9+1,1))-AVERAGE(OFFSET($H$3,0,0,'Données projet'!$E$9+1,1))</f>
        <v>291.44524568678776</v>
      </c>
      <c r="T139" s="60">
        <f t="shared" si="142"/>
        <v>136.43373205899937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-2.9558577807620169E-14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300.72820267660154</v>
      </c>
      <c r="AO139" s="60">
        <f t="shared" si="144"/>
        <v>228.35388778608589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221.18884567967481</v>
      </c>
      <c r="BJ139" s="60">
        <f t="shared" si="146"/>
        <v>189.31596996710888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1.1879166666666663</v>
      </c>
      <c r="BY139" s="13">
        <f>IF('Données projet'!$A$114&gt;35,BY138+BX139-CG138,IF(A139&lt;'Données projet'!$A$114,$BV$205^A139,IF(A139='Données projet'!$A$114,'Données projet'!$B$114,BY138+BX139-CG138)))</f>
        <v>122.66083333333331</v>
      </c>
      <c r="BZ139" s="14">
        <f>BY139*VLOOKUP('Données projet'!$B$12,Paramètres!$A$1:$I$89,3,0)*VLOOKUP('Données projet'!$B$12,Paramètres!$A$1:$I$89,5,0)</f>
        <v>141.30527999999995</v>
      </c>
      <c r="CA139" s="14">
        <f t="shared" si="147"/>
        <v>36.595865117852185</v>
      </c>
      <c r="CB139" s="22">
        <f t="shared" si="118"/>
        <v>309.84449441359243</v>
      </c>
      <c r="CC139" s="60">
        <f t="shared" si="119"/>
        <v>590.28244728048458</v>
      </c>
      <c r="CD139" s="60">
        <f ca="1">AVERAGE(OFFSET($CC$3,0,0,'Données projet'!$E$12+1,1))-AVERAGE(OFFSET($H$3,0,0,'Données projet'!$E$12+1,1))</f>
        <v>314.72063458462026</v>
      </c>
      <c r="CE139" s="60">
        <f t="shared" si="148"/>
        <v>216.4380325968244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1.7</v>
      </c>
      <c r="CT139" s="13">
        <f>IF('Données projet'!$A$140&gt;35,CT138+CS139-DB138,IF(A139&lt;'Données projet'!$A$140,$CQ$205^A139,IF(A139='Données projet'!$A$140,'Données projet'!$B$140,CT138+CS139-DB138)))</f>
        <v>241.1999999999997</v>
      </c>
      <c r="CU139" s="18">
        <f>CT139*VLOOKUP('Données projet'!$B$13,Paramètres!$A$1:$I$89,3,0)*VLOOKUP('Données projet'!$B$13,Paramètres!$A$1:$I$89,5,0)</f>
        <v>259.62767999999966</v>
      </c>
      <c r="CV139" s="14">
        <f t="shared" si="149"/>
        <v>62.643007760076038</v>
      </c>
      <c r="CW139" s="22">
        <f t="shared" si="121"/>
        <v>561.28811451546517</v>
      </c>
      <c r="CX139" s="60">
        <f t="shared" si="122"/>
        <v>841.72606738235731</v>
      </c>
      <c r="CY139" s="60">
        <f ca="1">AVERAGE(OFFSET($CX$3,0,0,'Données projet'!$E$13+1,1))-AVERAGE(OFFSET($H$3,0,0,'Données projet'!$E$13+1,1))</f>
        <v>465.51503238626822</v>
      </c>
      <c r="CZ139" s="60">
        <f t="shared" si="150"/>
        <v>205.55320107663496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1.7</v>
      </c>
      <c r="DO139" s="13">
        <f>IF('Données projet'!$A$166&gt;35,DO138+DN139-DW138,IF(A139&lt;'Données projet'!$A$166,$DL$205^A139,IF(A139='Données projet'!$A$166,'Données projet'!$B$166,DO138+DN139-DW138)))</f>
        <v>241.1999999999997</v>
      </c>
      <c r="DP139" s="18">
        <f>DO139*VLOOKUP('Données projet'!$B$14,Paramètres!$A$1:$I$89,3,0)*VLOOKUP('Données projet'!$B$14,Paramètres!$A$1:$I$89,5,0)</f>
        <v>206.94959999999978</v>
      </c>
      <c r="DQ139" s="14">
        <f t="shared" si="151"/>
        <v>51.268429949375495</v>
      </c>
      <c r="DR139" s="22">
        <f t="shared" si="124"/>
        <v>449.72973549516183</v>
      </c>
      <c r="DS139" s="60">
        <f t="shared" si="125"/>
        <v>730.16768836205392</v>
      </c>
      <c r="DT139" s="60">
        <f ca="1">AVERAGE(OFFSET($DS$3,0,0,'Données projet'!$E$14+1,1))-AVERAGE(OFFSET($H$3,0,0,'Données projet'!$E$14+1,1))</f>
        <v>393.79546872270964</v>
      </c>
      <c r="DU139" s="60">
        <f t="shared" si="152"/>
        <v>179.7333990060757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135.66666666666666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2.6538461538461489</v>
      </c>
      <c r="N140" s="14">
        <f>IF('Données projet'!$A$36&gt;35,N139+M140-V139,IF(A140&lt;'Données projet'!$A$36,$K$205^A140,IF(A140='Données projet'!$A$36,'Données projet'!$B$36,N139+M140-V139)))</f>
        <v>167.43076923076936</v>
      </c>
      <c r="O140" s="14">
        <f>N140*VLOOKUP('Données projet'!$B$9,Paramètres!$A$1:$I$89,3,0)*VLOOKUP('Données projet'!$B$9,Paramètres!$A$1:$I$89,5,0)</f>
        <v>78.357600000000062</v>
      </c>
      <c r="P140" s="14">
        <f t="shared" si="141"/>
        <v>21.735125263511144</v>
      </c>
      <c r="Q140" s="22">
        <f t="shared" si="108"/>
        <v>174.32816316728199</v>
      </c>
      <c r="R140" s="60">
        <f t="shared" si="109"/>
        <v>454.98982205551522</v>
      </c>
      <c r="S140" s="60">
        <f ca="1">AVERAGE(OFFSET($R$3,0,0,'Données projet'!$E$9+1,1))-AVERAGE(OFFSET($H$3,0,0,'Données projet'!$E$9+1,1))</f>
        <v>291.44524568678776</v>
      </c>
      <c r="T140" s="60">
        <f t="shared" si="142"/>
        <v>136.43373205899937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-2.9558577807620169E-14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300.72820267660154</v>
      </c>
      <c r="AO140" s="60">
        <f t="shared" si="144"/>
        <v>228.35388778608589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221.18884567967481</v>
      </c>
      <c r="BJ140" s="60">
        <f t="shared" si="146"/>
        <v>189.31596996710888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1.1879166666666663</v>
      </c>
      <c r="BY140" s="13">
        <f>IF('Données projet'!$A$114&gt;35,BY139+BX140-CG139,IF(A140&lt;'Données projet'!$A$114,$BV$205^A140,IF(A140='Données projet'!$A$114,'Données projet'!$B$114,BY139+BX140-CG139)))</f>
        <v>123.84874999999998</v>
      </c>
      <c r="BZ140" s="14">
        <f>BY140*VLOOKUP('Données projet'!$B$12,Paramètres!$A$1:$I$89,3,0)*VLOOKUP('Données projet'!$B$12,Paramètres!$A$1:$I$89,5,0)</f>
        <v>142.67375999999996</v>
      </c>
      <c r="CA140" s="14">
        <f t="shared" si="147"/>
        <v>36.908850325906613</v>
      </c>
      <c r="CB140" s="22">
        <f t="shared" si="118"/>
        <v>312.77304631762058</v>
      </c>
      <c r="CC140" s="60">
        <f t="shared" si="119"/>
        <v>593.43470520585379</v>
      </c>
      <c r="CD140" s="60">
        <f ca="1">AVERAGE(OFFSET($CC$3,0,0,'Données projet'!$E$12+1,1))-AVERAGE(OFFSET($H$3,0,0,'Données projet'!$E$12+1,1))</f>
        <v>314.72063458462026</v>
      </c>
      <c r="CE140" s="60">
        <f t="shared" si="148"/>
        <v>216.4380325968244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1.7</v>
      </c>
      <c r="CT140" s="13">
        <f>IF('Données projet'!$A$140&gt;35,CT139+CS140-DB139,IF(A140&lt;'Données projet'!$A$140,$CQ$205^A140,IF(A140='Données projet'!$A$140,'Données projet'!$B$140,CT139+CS140-DB139)))</f>
        <v>242.89999999999969</v>
      </c>
      <c r="CU140" s="18">
        <f>CT140*VLOOKUP('Données projet'!$B$13,Paramètres!$A$1:$I$89,3,0)*VLOOKUP('Données projet'!$B$13,Paramètres!$A$1:$I$89,5,0)</f>
        <v>261.45755999999966</v>
      </c>
      <c r="CV140" s="14">
        <f t="shared" si="149"/>
        <v>63.032969688158204</v>
      </c>
      <c r="CW140" s="22">
        <f t="shared" si="121"/>
        <v>565.15433920687485</v>
      </c>
      <c r="CX140" s="60">
        <f t="shared" si="122"/>
        <v>845.81599809510806</v>
      </c>
      <c r="CY140" s="60">
        <f ca="1">AVERAGE(OFFSET($CX$3,0,0,'Données projet'!$E$13+1,1))-AVERAGE(OFFSET($H$3,0,0,'Données projet'!$E$13+1,1))</f>
        <v>465.51503238626822</v>
      </c>
      <c r="CZ140" s="60">
        <f t="shared" si="150"/>
        <v>205.55320107663496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1.7</v>
      </c>
      <c r="DO140" s="13">
        <f>IF('Données projet'!$A$166&gt;35,DO139+DN140-DW139,IF(A140&lt;'Données projet'!$A$166,$DL$205^A140,IF(A140='Données projet'!$A$166,'Données projet'!$B$166,DO139+DN140-DW139)))</f>
        <v>242.89999999999969</v>
      </c>
      <c r="DP140" s="18">
        <f>DO140*VLOOKUP('Données projet'!$B$14,Paramètres!$A$1:$I$89,3,0)*VLOOKUP('Données projet'!$B$14,Paramètres!$A$1:$I$89,5,0)</f>
        <v>208.40819999999974</v>
      </c>
      <c r="DQ140" s="14">
        <f t="shared" si="151"/>
        <v>51.58758345920338</v>
      </c>
      <c r="DR140" s="22">
        <f t="shared" si="124"/>
        <v>452.82598952477866</v>
      </c>
      <c r="DS140" s="60">
        <f t="shared" si="125"/>
        <v>733.48764841301181</v>
      </c>
      <c r="DT140" s="60">
        <f ca="1">AVERAGE(OFFSET($DS$3,0,0,'Données projet'!$E$14+1,1))-AVERAGE(OFFSET($H$3,0,0,'Données projet'!$E$14+1,1))</f>
        <v>393.79546872270964</v>
      </c>
      <c r="DU140" s="60">
        <f t="shared" si="152"/>
        <v>179.7333990060757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135.66666666666666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2.6538461538461489</v>
      </c>
      <c r="N141" s="14">
        <f>IF('Données projet'!$A$36&gt;35,N140+M141-V140,IF(A141&lt;'Données projet'!$A$36,$K$205^A141,IF(A141='Données projet'!$A$36,'Données projet'!$B$36,N140+M141-V140)))</f>
        <v>170.08461538461552</v>
      </c>
      <c r="O141" s="14">
        <f>N141*VLOOKUP('Données projet'!$B$9,Paramètres!$A$1:$I$89,3,0)*VLOOKUP('Données projet'!$B$9,Paramètres!$A$1:$I$89,5,0)</f>
        <v>79.599600000000066</v>
      </c>
      <c r="P141" s="14">
        <f t="shared" si="141"/>
        <v>22.03925567649161</v>
      </c>
      <c r="Q141" s="22">
        <f t="shared" si="108"/>
        <v>177.02100696988964</v>
      </c>
      <c r="R141" s="60">
        <f t="shared" si="109"/>
        <v>457.90249108012534</v>
      </c>
      <c r="S141" s="60">
        <f ca="1">AVERAGE(OFFSET($R$3,0,0,'Données projet'!$E$9+1,1))-AVERAGE(OFFSET($H$3,0,0,'Données projet'!$E$9+1,1))</f>
        <v>291.44524568678776</v>
      </c>
      <c r="T141" s="60">
        <f t="shared" si="142"/>
        <v>136.43373205899937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-2.9558577807620169E-14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300.72820267660154</v>
      </c>
      <c r="AO141" s="60">
        <f t="shared" si="144"/>
        <v>228.35388778608589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221.18884567967481</v>
      </c>
      <c r="BJ141" s="60">
        <f t="shared" si="146"/>
        <v>189.31596996710888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1.1879166666666663</v>
      </c>
      <c r="BY141" s="13">
        <f>IF('Données projet'!$A$114&gt;35,BY140+BX141-CG140,IF(A141&lt;'Données projet'!$A$114,$BV$205^A141,IF(A141='Données projet'!$A$114,'Données projet'!$B$114,BY140+BX141-CG140)))</f>
        <v>125.03666666666665</v>
      </c>
      <c r="BZ141" s="14">
        <f>BY141*VLOOKUP('Données projet'!$B$12,Paramètres!$A$1:$I$89,3,0)*VLOOKUP('Données projet'!$B$12,Paramètres!$A$1:$I$89,5,0)</f>
        <v>144.04223999999996</v>
      </c>
      <c r="CA141" s="14">
        <f t="shared" si="147"/>
        <v>37.221486284480982</v>
      </c>
      <c r="CB141" s="22">
        <f t="shared" si="118"/>
        <v>315.70098994547101</v>
      </c>
      <c r="CC141" s="60">
        <f t="shared" si="119"/>
        <v>596.58247405570671</v>
      </c>
      <c r="CD141" s="60">
        <f ca="1">AVERAGE(OFFSET($CC$3,0,0,'Données projet'!$E$12+1,1))-AVERAGE(OFFSET($H$3,0,0,'Données projet'!$E$12+1,1))</f>
        <v>314.72063458462026</v>
      </c>
      <c r="CE141" s="60">
        <f t="shared" si="148"/>
        <v>216.4380325968244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1.7</v>
      </c>
      <c r="CT141" s="13">
        <f>IF('Données projet'!$A$140&gt;35,CT140+CS141-DB140,IF(A141&lt;'Données projet'!$A$140,$CQ$205^A141,IF(A141='Données projet'!$A$140,'Données projet'!$B$140,CT140+CS141-DB140)))</f>
        <v>244.59999999999968</v>
      </c>
      <c r="CU141" s="18">
        <f>CT141*VLOOKUP('Données projet'!$B$13,Paramètres!$A$1:$I$89,3,0)*VLOOKUP('Données projet'!$B$13,Paramètres!$A$1:$I$89,5,0)</f>
        <v>263.28743999999966</v>
      </c>
      <c r="CV141" s="14">
        <f t="shared" si="149"/>
        <v>63.422614057947968</v>
      </c>
      <c r="CW141" s="22">
        <f t="shared" si="121"/>
        <v>569.02001081759215</v>
      </c>
      <c r="CX141" s="60">
        <f t="shared" si="122"/>
        <v>849.9014949278278</v>
      </c>
      <c r="CY141" s="60">
        <f ca="1">AVERAGE(OFFSET($CX$3,0,0,'Données projet'!$E$13+1,1))-AVERAGE(OFFSET($H$3,0,0,'Données projet'!$E$13+1,1))</f>
        <v>465.51503238626822</v>
      </c>
      <c r="CZ141" s="60">
        <f t="shared" si="150"/>
        <v>205.55320107663496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1.7</v>
      </c>
      <c r="DO141" s="13">
        <f>IF('Données projet'!$A$166&gt;35,DO140+DN141-DW140,IF(A141&lt;'Données projet'!$A$166,$DL$205^A141,IF(A141='Données projet'!$A$166,'Données projet'!$B$166,DO140+DN141-DW140)))</f>
        <v>244.59999999999968</v>
      </c>
      <c r="DP141" s="18">
        <f>DO141*VLOOKUP('Données projet'!$B$14,Paramètres!$A$1:$I$89,3,0)*VLOOKUP('Données projet'!$B$14,Paramètres!$A$1:$I$89,5,0)</f>
        <v>209.86679999999976</v>
      </c>
      <c r="DQ141" s="14">
        <f t="shared" si="151"/>
        <v>51.906477072266235</v>
      </c>
      <c r="DR141" s="22">
        <f t="shared" si="124"/>
        <v>455.92179090086324</v>
      </c>
      <c r="DS141" s="60">
        <f t="shared" si="125"/>
        <v>736.803275011099</v>
      </c>
      <c r="DT141" s="60">
        <f ca="1">AVERAGE(OFFSET($DS$3,0,0,'Données projet'!$E$14+1,1))-AVERAGE(OFFSET($H$3,0,0,'Données projet'!$E$14+1,1))</f>
        <v>393.79546872270964</v>
      </c>
      <c r="DU141" s="60">
        <f t="shared" si="152"/>
        <v>179.7333990060757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135.66666666666666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>
        <f>VLOOKUP(A142,'Données projet'!$A$35:$I$55,2,0)</f>
        <v>172.73846153846154</v>
      </c>
      <c r="L142" s="13">
        <f>VLOOKUP(A142,'Données projet'!$A$35:$I$55,9,0)</f>
        <v>2.6538461538461489</v>
      </c>
      <c r="M142" s="13">
        <f t="array" ref="M142">INDEX(L:L,MIN(IF(ISNUMBER(L142:L338),ROW(L142:L338),"")))</f>
        <v>2.6538461538461489</v>
      </c>
      <c r="N142" s="14">
        <f>IF('Données projet'!$A$36&gt;35,N141+M142-V141,IF(A142&lt;'Données projet'!$A$36,$K$205^A142,IF(A142='Données projet'!$A$36,'Données projet'!$B$36,N141+M142-V141)))</f>
        <v>172.73846153846168</v>
      </c>
      <c r="O142" s="14">
        <f>N142*VLOOKUP('Données projet'!$B$9,Paramètres!$A$1:$I$89,3,0)*VLOOKUP('Données projet'!$B$9,Paramètres!$A$1:$I$89,5,0)</f>
        <v>80.841600000000057</v>
      </c>
      <c r="P142" s="14">
        <f t="shared" si="141"/>
        <v>22.342834205410909</v>
      </c>
      <c r="Q142" s="22">
        <f t="shared" si="108"/>
        <v>179.71288957442411</v>
      </c>
      <c r="R142" s="60">
        <f t="shared" si="109"/>
        <v>460.81038543051613</v>
      </c>
      <c r="S142" s="60">
        <f ca="1">AVERAGE(OFFSET($R$3,0,0,'Données projet'!$E$9+1,1))-AVERAGE(OFFSET($H$3,0,0,'Données projet'!$E$9+1,1))</f>
        <v>291.44524568678776</v>
      </c>
      <c r="T142" s="60">
        <f t="shared" si="142"/>
        <v>136.43373205899937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-2.9558577807620169E-14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300.72820267660154</v>
      </c>
      <c r="AO142" s="60">
        <f t="shared" si="144"/>
        <v>228.35388778608589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221.18884567967481</v>
      </c>
      <c r="BJ142" s="60">
        <f t="shared" si="146"/>
        <v>189.31596996710888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1.1879166666666663</v>
      </c>
      <c r="BY142" s="13">
        <f>IF('Données projet'!$A$114&gt;35,BY141+BX142-CG141,IF(A142&lt;'Données projet'!$A$114,$BV$205^A142,IF(A142='Données projet'!$A$114,'Données projet'!$B$114,BY141+BX142-CG141)))</f>
        <v>126.22458333333331</v>
      </c>
      <c r="BZ142" s="14">
        <f>BY142*VLOOKUP('Données projet'!$B$12,Paramètres!$A$1:$I$89,3,0)*VLOOKUP('Données projet'!$B$12,Paramètres!$A$1:$I$89,5,0)</f>
        <v>145.41071999999997</v>
      </c>
      <c r="CA142" s="14">
        <f t="shared" si="147"/>
        <v>37.533776695922867</v>
      </c>
      <c r="CB142" s="22">
        <f t="shared" si="118"/>
        <v>318.62833174539895</v>
      </c>
      <c r="CC142" s="60">
        <f t="shared" si="119"/>
        <v>599.72582760149101</v>
      </c>
      <c r="CD142" s="60">
        <f ca="1">AVERAGE(OFFSET($CC$3,0,0,'Données projet'!$E$12+1,1))-AVERAGE(OFFSET($H$3,0,0,'Données projet'!$E$12+1,1))</f>
        <v>314.72063458462026</v>
      </c>
      <c r="CE142" s="60">
        <f t="shared" si="148"/>
        <v>216.4380325968244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1.7</v>
      </c>
      <c r="CT142" s="13">
        <f>IF('Données projet'!$A$140&gt;35,CT141+CS142-DB141,IF(A142&lt;'Données projet'!$A$140,$CQ$205^A142,IF(A142='Données projet'!$A$140,'Données projet'!$B$140,CT141+CS142-DB141)))</f>
        <v>246.29999999999967</v>
      </c>
      <c r="CU142" s="18">
        <f>CT142*VLOOKUP('Données projet'!$B$13,Paramètres!$A$1:$I$89,3,0)*VLOOKUP('Données projet'!$B$13,Paramètres!$A$1:$I$89,5,0)</f>
        <v>265.11731999999961</v>
      </c>
      <c r="CV142" s="14">
        <f t="shared" si="149"/>
        <v>63.811943332460721</v>
      </c>
      <c r="CW142" s="22">
        <f t="shared" si="121"/>
        <v>572.88513363736843</v>
      </c>
      <c r="CX142" s="60">
        <f t="shared" si="122"/>
        <v>853.98262949346054</v>
      </c>
      <c r="CY142" s="60">
        <f ca="1">AVERAGE(OFFSET($CX$3,0,0,'Données projet'!$E$13+1,1))-AVERAGE(OFFSET($H$3,0,0,'Données projet'!$E$13+1,1))</f>
        <v>465.51503238626822</v>
      </c>
      <c r="CZ142" s="60">
        <f t="shared" si="150"/>
        <v>205.55320107663496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1.7</v>
      </c>
      <c r="DO142" s="13">
        <f>IF('Données projet'!$A$166&gt;35,DO141+DN142-DW141,IF(A142&lt;'Données projet'!$A$166,$DL$205^A142,IF(A142='Données projet'!$A$166,'Données projet'!$B$166,DO141+DN142-DW141)))</f>
        <v>246.29999999999967</v>
      </c>
      <c r="DP142" s="18">
        <f>DO142*VLOOKUP('Données projet'!$B$14,Paramètres!$A$1:$I$89,3,0)*VLOOKUP('Données projet'!$B$14,Paramètres!$A$1:$I$89,5,0)</f>
        <v>211.32539999999975</v>
      </c>
      <c r="DQ142" s="14">
        <f t="shared" si="151"/>
        <v>52.225112804350644</v>
      </c>
      <c r="DR142" s="22">
        <f t="shared" si="124"/>
        <v>459.01714313424355</v>
      </c>
      <c r="DS142" s="60">
        <f t="shared" si="125"/>
        <v>740.11463899033561</v>
      </c>
      <c r="DT142" s="60">
        <f ca="1">AVERAGE(OFFSET($DS$3,0,0,'Données projet'!$E$14+1,1))-AVERAGE(OFFSET($H$3,0,0,'Données projet'!$E$14+1,1))</f>
        <v>393.79546872270964</v>
      </c>
      <c r="DU142" s="60">
        <f t="shared" si="152"/>
        <v>179.7333990060757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135.66666666666666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2.2999999999999998</v>
      </c>
      <c r="N143" s="14">
        <f>IF('Données projet'!$A$36&gt;35,N142+M143-V142,IF(A143&lt;'Données projet'!$A$36,$K$205^A143,IF(A143='Données projet'!$A$36,'Données projet'!$B$36,N142+M143-V142)))</f>
        <v>175.03846153846169</v>
      </c>
      <c r="O143" s="14">
        <f>N143*VLOOKUP('Données projet'!$B$9,Paramètres!$A$1:$I$89,3,0)*VLOOKUP('Données projet'!$B$9,Paramètres!$A$1:$I$89,5,0)</f>
        <v>81.918000000000063</v>
      </c>
      <c r="P143" s="14">
        <f t="shared" si="141"/>
        <v>22.605496502607796</v>
      </c>
      <c r="Q143" s="22">
        <f t="shared" si="108"/>
        <v>182.04508974204199</v>
      </c>
      <c r="R143" s="60">
        <f t="shared" si="109"/>
        <v>463.35485002312976</v>
      </c>
      <c r="S143" s="60">
        <f ca="1">AVERAGE(OFFSET($R$3,0,0,'Données projet'!$E$9+1,1))-AVERAGE(OFFSET($H$3,0,0,'Données projet'!$E$9+1,1))</f>
        <v>291.44524568678776</v>
      </c>
      <c r="T143" s="60">
        <f t="shared" si="142"/>
        <v>136.43373205899937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-2.9558577807620169E-14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300.72820267660154</v>
      </c>
      <c r="AO143" s="60">
        <f t="shared" si="144"/>
        <v>228.35388778608589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221.18884567967481</v>
      </c>
      <c r="BJ143" s="60">
        <f t="shared" si="146"/>
        <v>189.31596996710888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127.41250000000001</v>
      </c>
      <c r="BW143" s="13">
        <f>VLOOKUP(A143,'Données projet'!$A$113:$I$133,9,0)</f>
        <v>1.1879166666666663</v>
      </c>
      <c r="BX143" s="13">
        <f t="array" ref="BX143">INDEX(BW:BW,MIN(IF(ISNUMBER(BW143:BW339),ROW(BW143:BW339),"")))</f>
        <v>1.1879166666666663</v>
      </c>
      <c r="BY143" s="13">
        <f>IF('Données projet'!$A$114&gt;35,BY142+BX143-CG142,IF(A143&lt;'Données projet'!$A$114,$BV$205^A143,IF(A143='Données projet'!$A$114,'Données projet'!$B$114,BY142+BX143-CG142)))</f>
        <v>127.41249999999998</v>
      </c>
      <c r="BZ143" s="14">
        <f>BY143*VLOOKUP('Données projet'!$B$12,Paramètres!$A$1:$I$89,3,0)*VLOOKUP('Données projet'!$B$12,Paramètres!$A$1:$I$89,5,0)</f>
        <v>146.77919999999997</v>
      </c>
      <c r="CA143" s="14">
        <f t="shared" si="147"/>
        <v>37.845725188874766</v>
      </c>
      <c r="CB143" s="22">
        <f t="shared" si="118"/>
        <v>321.55507803729012</v>
      </c>
      <c r="CC143" s="60">
        <f t="shared" si="119"/>
        <v>602.86483831837791</v>
      </c>
      <c r="CD143" s="60">
        <f ca="1">AVERAGE(OFFSET($CC$3,0,0,'Données projet'!$E$12+1,1))-AVERAGE(OFFSET($H$3,0,0,'Données projet'!$E$12+1,1))</f>
        <v>314.72063458462026</v>
      </c>
      <c r="CE143" s="60">
        <f t="shared" si="148"/>
        <v>216.4380325968244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8.5416666666666679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248</v>
      </c>
      <c r="CR143" s="13">
        <f>VLOOKUP(A143,'Données projet'!$A$139:$I$159,9,0)</f>
        <v>1.7</v>
      </c>
      <c r="CS143" s="13">
        <f t="array" ref="CS143">INDEX(CR:CR,MIN(IF(ISNUMBER(CR143:CR339),ROW(CR143:CR339),"")))</f>
        <v>1.7</v>
      </c>
      <c r="CT143" s="13">
        <f>IF('Données projet'!$A$140&gt;35,CT142+CS143-DB142,IF(A143&lt;'Données projet'!$A$140,$CQ$205^A143,IF(A143='Données projet'!$A$140,'Données projet'!$B$140,CT142+CS143-DB142)))</f>
        <v>247.99999999999966</v>
      </c>
      <c r="CU143" s="18">
        <f>CT143*VLOOKUP('Données projet'!$B$13,Paramètres!$A$1:$I$89,3,0)*VLOOKUP('Données projet'!$B$13,Paramètres!$A$1:$I$89,5,0)</f>
        <v>266.94719999999961</v>
      </c>
      <c r="CV143" s="14">
        <f t="shared" si="149"/>
        <v>64.200959938746323</v>
      </c>
      <c r="CW143" s="22">
        <f t="shared" si="121"/>
        <v>576.74971189331586</v>
      </c>
      <c r="CX143" s="60">
        <f t="shared" si="122"/>
        <v>858.0594721744036</v>
      </c>
      <c r="CY143" s="60">
        <f ca="1">AVERAGE(OFFSET($CX$3,0,0,'Données projet'!$E$13+1,1))-AVERAGE(OFFSET($H$3,0,0,'Données projet'!$E$13+1,1))</f>
        <v>465.51503238626822</v>
      </c>
      <c r="CZ143" s="60">
        <f t="shared" si="150"/>
        <v>205.55320107663496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248</v>
      </c>
      <c r="DM143" s="13">
        <f>VLOOKUP(A143,'Données projet'!$A$165:$I$185,9,0)</f>
        <v>1.7</v>
      </c>
      <c r="DN143" s="13">
        <f t="array" ref="DN143">INDEX(DM:DM,MIN(IF(ISNUMBER(DM143:DM339),ROW(DM143:DM339),"")))</f>
        <v>1.7</v>
      </c>
      <c r="DO143" s="13">
        <f>IF('Données projet'!$A$166&gt;35,DO142+DN143-DW142,IF(A143&lt;'Données projet'!$A$166,$DL$205^A143,IF(A143='Données projet'!$A$166,'Données projet'!$B$166,DO142+DN143-DW142)))</f>
        <v>247.99999999999966</v>
      </c>
      <c r="DP143" s="18">
        <f>DO143*VLOOKUP('Données projet'!$B$14,Paramètres!$A$1:$I$89,3,0)*VLOOKUP('Données projet'!$B$14,Paramètres!$A$1:$I$89,5,0)</f>
        <v>212.78399999999974</v>
      </c>
      <c r="DQ143" s="14">
        <f t="shared" si="151"/>
        <v>52.543492641808015</v>
      </c>
      <c r="DR143" s="22">
        <f t="shared" si="124"/>
        <v>462.11204968448175</v>
      </c>
      <c r="DS143" s="60">
        <f t="shared" si="125"/>
        <v>743.42180996556954</v>
      </c>
      <c r="DT143" s="60">
        <f ca="1">AVERAGE(OFFSET($DS$3,0,0,'Données projet'!$E$14+1,1))-AVERAGE(OFFSET($H$3,0,0,'Données projet'!$E$14+1,1))</f>
        <v>393.79546872270964</v>
      </c>
      <c r="DU143" s="60">
        <f t="shared" si="152"/>
        <v>179.7333990060757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135.66666666666666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2.2999999999999998</v>
      </c>
      <c r="N144" s="14">
        <f>IF('Données projet'!$A$36&gt;35,N143+M144-V143,IF(A144&lt;'Données projet'!$A$36,$K$205^A144,IF(A144='Données projet'!$A$36,'Données projet'!$B$36,N143+M144-V143)))</f>
        <v>177.3384615384617</v>
      </c>
      <c r="O144" s="14">
        <f>N144*VLOOKUP('Données projet'!$B$9,Paramètres!$A$1:$I$89,3,0)*VLOOKUP('Données projet'!$B$9,Paramètres!$A$1:$I$89,5,0)</f>
        <v>82.994400000000084</v>
      </c>
      <c r="P144" s="14">
        <f t="shared" si="141"/>
        <v>22.867757354669177</v>
      </c>
      <c r="Q144" s="22">
        <f t="shared" si="108"/>
        <v>184.37659072604893</v>
      </c>
      <c r="R144" s="60">
        <f t="shared" si="109"/>
        <v>465.89493311891079</v>
      </c>
      <c r="S144" s="60">
        <f ca="1">AVERAGE(OFFSET($R$3,0,0,'Données projet'!$E$9+1,1))-AVERAGE(OFFSET($H$3,0,0,'Données projet'!$E$9+1,1))</f>
        <v>291.44524568678776</v>
      </c>
      <c r="T144" s="60">
        <f t="shared" si="142"/>
        <v>136.43373205899937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-2.9558577807620169E-14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300.72820267660154</v>
      </c>
      <c r="AO144" s="60">
        <f t="shared" si="144"/>
        <v>228.35388778608589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221.18884567967481</v>
      </c>
      <c r="BJ144" s="60">
        <f t="shared" si="146"/>
        <v>189.31596996710888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1.1341666666666668</v>
      </c>
      <c r="BY144" s="13">
        <f>IF('Données projet'!$A$114&gt;35,BY143+BX144-CG143,IF(A144&lt;'Données projet'!$A$114,$BV$205^A144,IF(A144='Données projet'!$A$114,'Données projet'!$B$114,BY143+BX144-CG143)))</f>
        <v>120.00499999999998</v>
      </c>
      <c r="BZ144" s="14">
        <f>BY144*VLOOKUP('Données projet'!$B$12,Paramètres!$A$1:$I$89,3,0)*VLOOKUP('Données projet'!$B$12,Paramètres!$A$1:$I$89,5,0)</f>
        <v>138.24575999999996</v>
      </c>
      <c r="CA144" s="14">
        <f t="shared" si="147"/>
        <v>35.89483929910822</v>
      </c>
      <c r="CB144" s="22">
        <f t="shared" si="118"/>
        <v>303.29487711261339</v>
      </c>
      <c r="CC144" s="60">
        <f t="shared" si="119"/>
        <v>584.81321950547522</v>
      </c>
      <c r="CD144" s="60">
        <f ca="1">AVERAGE(OFFSET($CC$3,0,0,'Données projet'!$E$12+1,1))-AVERAGE(OFFSET($H$3,0,0,'Données projet'!$E$12+1,1))</f>
        <v>314.72063458462026</v>
      </c>
      <c r="CE144" s="60">
        <f t="shared" si="148"/>
        <v>216.4380325968244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1.4</v>
      </c>
      <c r="CT144" s="13">
        <f>IF('Données projet'!$A$140&gt;35,CT143+CS144-DB143,IF(A144&lt;'Données projet'!$A$140,$CQ$205^A144,IF(A144='Données projet'!$A$140,'Données projet'!$B$140,CT143+CS144-DB143)))</f>
        <v>249.39999999999966</v>
      </c>
      <c r="CU144" s="18">
        <f>CT144*VLOOKUP('Données projet'!$B$13,Paramètres!$A$1:$I$89,3,0)*VLOOKUP('Données projet'!$B$13,Paramètres!$A$1:$I$89,5,0)</f>
        <v>268.4541599999996</v>
      </c>
      <c r="CV144" s="14">
        <f t="shared" si="149"/>
        <v>64.521093475436032</v>
      </c>
      <c r="CW144" s="22">
        <f t="shared" si="121"/>
        <v>579.93189980305044</v>
      </c>
      <c r="CX144" s="60">
        <f t="shared" si="122"/>
        <v>861.45024219591232</v>
      </c>
      <c r="CY144" s="60">
        <f ca="1">AVERAGE(OFFSET($CX$3,0,0,'Données projet'!$E$13+1,1))-AVERAGE(OFFSET($H$3,0,0,'Données projet'!$E$13+1,1))</f>
        <v>465.51503238626822</v>
      </c>
      <c r="CZ144" s="60">
        <f t="shared" si="150"/>
        <v>205.55320107663496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1.4</v>
      </c>
      <c r="DO144" s="13">
        <f>IF('Données projet'!$A$166&gt;35,DO143+DN144-DW143,IF(A144&lt;'Données projet'!$A$166,$DL$205^A144,IF(A144='Données projet'!$A$166,'Données projet'!$B$166,DO143+DN144-DW143)))</f>
        <v>249.39999999999966</v>
      </c>
      <c r="DP144" s="18">
        <f>DO144*VLOOKUP('Données projet'!$B$14,Paramètres!$A$1:$I$89,3,0)*VLOOKUP('Données projet'!$B$14,Paramètres!$A$1:$I$89,5,0)</f>
        <v>213.98519999999971</v>
      </c>
      <c r="DQ144" s="14">
        <f t="shared" si="151"/>
        <v>52.805497044008561</v>
      </c>
      <c r="DR144" s="22">
        <f t="shared" si="124"/>
        <v>464.66046401831437</v>
      </c>
      <c r="DS144" s="60">
        <f t="shared" si="125"/>
        <v>746.1788064111762</v>
      </c>
      <c r="DT144" s="60">
        <f ca="1">AVERAGE(OFFSET($DS$3,0,0,'Données projet'!$E$14+1,1))-AVERAGE(OFFSET($H$3,0,0,'Données projet'!$E$14+1,1))</f>
        <v>393.79546872270964</v>
      </c>
      <c r="DU144" s="60">
        <f t="shared" si="152"/>
        <v>179.7333990060757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135.66666666666666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2.2999999999999998</v>
      </c>
      <c r="N145" s="14">
        <f>IF('Données projet'!$A$36&gt;35,N144+M145-V144,IF(A145&lt;'Données projet'!$A$36,$K$205^A145,IF(A145='Données projet'!$A$36,'Données projet'!$B$36,N144+M145-V144)))</f>
        <v>179.63846153846171</v>
      </c>
      <c r="O145" s="14">
        <f>N145*VLOOKUP('Données projet'!$B$9,Paramètres!$A$1:$I$89,3,0)*VLOOKUP('Données projet'!$B$9,Paramètres!$A$1:$I$89,5,0)</f>
        <v>84.070800000000077</v>
      </c>
      <c r="P145" s="14">
        <f t="shared" si="141"/>
        <v>23.129622570143898</v>
      </c>
      <c r="Q145" s="22">
        <f t="shared" si="108"/>
        <v>186.70740264300073</v>
      </c>
      <c r="R145" s="60">
        <f t="shared" si="109"/>
        <v>468.43070871431723</v>
      </c>
      <c r="S145" s="60">
        <f ca="1">AVERAGE(OFFSET($R$3,0,0,'Données projet'!$E$9+1,1))-AVERAGE(OFFSET($H$3,0,0,'Données projet'!$E$9+1,1))</f>
        <v>291.44524568678776</v>
      </c>
      <c r="T145" s="60">
        <f t="shared" si="142"/>
        <v>136.43373205899937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-2.9558577807620169E-14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300.72820267660154</v>
      </c>
      <c r="AO145" s="60">
        <f t="shared" si="144"/>
        <v>228.35388778608589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221.18884567967481</v>
      </c>
      <c r="BJ145" s="60">
        <f t="shared" si="146"/>
        <v>189.31596996710888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1.1341666666666668</v>
      </c>
      <c r="BY145" s="13">
        <f>IF('Données projet'!$A$114&gt;35,BY144+BX145-CG144,IF(A145&lt;'Données projet'!$A$114,$BV$205^A145,IF(A145='Données projet'!$A$114,'Données projet'!$B$114,BY144+BX145-CG144)))</f>
        <v>121.13916666666665</v>
      </c>
      <c r="BZ145" s="14">
        <f>BY145*VLOOKUP('Données projet'!$B$12,Paramètres!$A$1:$I$89,3,0)*VLOOKUP('Données projet'!$B$12,Paramètres!$A$1:$I$89,5,0)</f>
        <v>139.55231999999998</v>
      </c>
      <c r="CA145" s="14">
        <f t="shared" si="147"/>
        <v>36.194429184175888</v>
      </c>
      <c r="CB145" s="22">
        <f t="shared" si="118"/>
        <v>306.09225482910631</v>
      </c>
      <c r="CC145" s="60">
        <f t="shared" si="119"/>
        <v>587.81556090042272</v>
      </c>
      <c r="CD145" s="60">
        <f ca="1">AVERAGE(OFFSET($CC$3,0,0,'Données projet'!$E$12+1,1))-AVERAGE(OFFSET($H$3,0,0,'Données projet'!$E$12+1,1))</f>
        <v>314.72063458462026</v>
      </c>
      <c r="CE145" s="60">
        <f t="shared" si="148"/>
        <v>216.4380325968244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1.4</v>
      </c>
      <c r="CT145" s="13">
        <f>IF('Données projet'!$A$140&gt;35,CT144+CS145-DB144,IF(A145&lt;'Données projet'!$A$140,$CQ$205^A145,IF(A145='Données projet'!$A$140,'Données projet'!$B$140,CT144+CS145-DB144)))</f>
        <v>250.79999999999967</v>
      </c>
      <c r="CU145" s="18">
        <f>CT145*VLOOKUP('Données projet'!$B$13,Paramètres!$A$1:$I$89,3,0)*VLOOKUP('Données projet'!$B$13,Paramètres!$A$1:$I$89,5,0)</f>
        <v>269.96111999999965</v>
      </c>
      <c r="CV145" s="14">
        <f t="shared" si="149"/>
        <v>64.841017901416961</v>
      </c>
      <c r="CW145" s="22">
        <f t="shared" si="121"/>
        <v>583.11372351163391</v>
      </c>
      <c r="CX145" s="60">
        <f t="shared" si="122"/>
        <v>864.83702958295044</v>
      </c>
      <c r="CY145" s="60">
        <f ca="1">AVERAGE(OFFSET($CX$3,0,0,'Données projet'!$E$13+1,1))-AVERAGE(OFFSET($H$3,0,0,'Données projet'!$E$13+1,1))</f>
        <v>465.51503238626822</v>
      </c>
      <c r="CZ145" s="60">
        <f t="shared" si="150"/>
        <v>205.55320107663496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1.4</v>
      </c>
      <c r="DO145" s="13">
        <f>IF('Données projet'!$A$166&gt;35,DO144+DN145-DW144,IF(A145&lt;'Données projet'!$A$166,$DL$205^A145,IF(A145='Données projet'!$A$166,'Données projet'!$B$166,DO144+DN145-DW144)))</f>
        <v>250.79999999999967</v>
      </c>
      <c r="DP145" s="18">
        <f>DO145*VLOOKUP('Données projet'!$B$14,Paramètres!$A$1:$I$89,3,0)*VLOOKUP('Données projet'!$B$14,Paramètres!$A$1:$I$89,5,0)</f>
        <v>215.18639999999974</v>
      </c>
      <c r="DQ145" s="14">
        <f t="shared" si="151"/>
        <v>53.067330305357011</v>
      </c>
      <c r="DR145" s="22">
        <f t="shared" si="124"/>
        <v>467.20858028182965</v>
      </c>
      <c r="DS145" s="60">
        <f t="shared" si="125"/>
        <v>748.93188635314618</v>
      </c>
      <c r="DT145" s="60">
        <f ca="1">AVERAGE(OFFSET($DS$3,0,0,'Données projet'!$E$14+1,1))-AVERAGE(OFFSET($H$3,0,0,'Données projet'!$E$14+1,1))</f>
        <v>393.79546872270964</v>
      </c>
      <c r="DU145" s="60">
        <f t="shared" si="152"/>
        <v>179.7333990060757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135.66666666666666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2.2999999999999998</v>
      </c>
      <c r="N146" s="14">
        <f>IF('Données projet'!$A$36&gt;35,N145+M146-V145,IF(A146&lt;'Données projet'!$A$36,$K$205^A146,IF(A146='Données projet'!$A$36,'Données projet'!$B$36,N145+M146-V145)))</f>
        <v>181.93846153846172</v>
      </c>
      <c r="O146" s="14">
        <f>N146*VLOOKUP('Données projet'!$B$9,Paramètres!$A$1:$I$89,3,0)*VLOOKUP('Données projet'!$B$9,Paramètres!$A$1:$I$89,5,0)</f>
        <v>85.147200000000083</v>
      </c>
      <c r="P146" s="14">
        <f t="shared" si="141"/>
        <v>23.391097800289131</v>
      </c>
      <c r="Q146" s="22">
        <f t="shared" si="108"/>
        <v>189.03753533550375</v>
      </c>
      <c r="R146" s="60">
        <f t="shared" si="109"/>
        <v>470.96224942368372</v>
      </c>
      <c r="S146" s="60">
        <f ca="1">AVERAGE(OFFSET($R$3,0,0,'Données projet'!$E$9+1,1))-AVERAGE(OFFSET($H$3,0,0,'Données projet'!$E$9+1,1))</f>
        <v>291.44524568678776</v>
      </c>
      <c r="T146" s="60">
        <f t="shared" si="142"/>
        <v>136.43373205899937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-2.9558577807620169E-14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300.72820267660154</v>
      </c>
      <c r="AO146" s="60">
        <f t="shared" si="144"/>
        <v>228.35388778608589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221.18884567967481</v>
      </c>
      <c r="BJ146" s="60">
        <f t="shared" si="146"/>
        <v>189.31596996710888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1.1341666666666668</v>
      </c>
      <c r="BY146" s="13">
        <f>IF('Données projet'!$A$114&gt;35,BY145+BX146-CG145,IF(A146&lt;'Données projet'!$A$114,$BV$205^A146,IF(A146='Données projet'!$A$114,'Données projet'!$B$114,BY145+BX146-CG145)))</f>
        <v>122.27333333333333</v>
      </c>
      <c r="BZ146" s="14">
        <f>BY146*VLOOKUP('Données projet'!$B$12,Paramètres!$A$1:$I$89,3,0)*VLOOKUP('Données projet'!$B$12,Paramètres!$A$1:$I$89,5,0)</f>
        <v>140.85887999999997</v>
      </c>
      <c r="CA146" s="14">
        <f t="shared" si="147"/>
        <v>36.49369275013197</v>
      </c>
      <c r="CB146" s="22">
        <f t="shared" si="118"/>
        <v>308.88906420647976</v>
      </c>
      <c r="CC146" s="60">
        <f t="shared" si="119"/>
        <v>590.81377829465976</v>
      </c>
      <c r="CD146" s="60">
        <f ca="1">AVERAGE(OFFSET($CC$3,0,0,'Données projet'!$E$12+1,1))-AVERAGE(OFFSET($H$3,0,0,'Données projet'!$E$12+1,1))</f>
        <v>314.72063458462026</v>
      </c>
      <c r="CE146" s="60">
        <f t="shared" si="148"/>
        <v>216.4380325968244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1.4</v>
      </c>
      <c r="CT146" s="13">
        <f>IF('Données projet'!$A$140&gt;35,CT145+CS146-DB145,IF(A146&lt;'Données projet'!$A$140,$CQ$205^A146,IF(A146='Données projet'!$A$140,'Données projet'!$B$140,CT145+CS146-DB145)))</f>
        <v>252.19999999999968</v>
      </c>
      <c r="CU146" s="18">
        <f>CT146*VLOOKUP('Données projet'!$B$13,Paramètres!$A$1:$I$89,3,0)*VLOOKUP('Données projet'!$B$13,Paramètres!$A$1:$I$89,5,0)</f>
        <v>271.46807999999965</v>
      </c>
      <c r="CV146" s="14">
        <f t="shared" si="149"/>
        <v>65.160734519435877</v>
      </c>
      <c r="CW146" s="22">
        <f t="shared" si="121"/>
        <v>586.29518528801691</v>
      </c>
      <c r="CX146" s="60">
        <f t="shared" si="122"/>
        <v>868.21989937619696</v>
      </c>
      <c r="CY146" s="60">
        <f ca="1">AVERAGE(OFFSET($CX$3,0,0,'Données projet'!$E$13+1,1))-AVERAGE(OFFSET($H$3,0,0,'Données projet'!$E$13+1,1))</f>
        <v>465.51503238626822</v>
      </c>
      <c r="CZ146" s="60">
        <f t="shared" si="150"/>
        <v>205.55320107663496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1.4</v>
      </c>
      <c r="DO146" s="13">
        <f>IF('Données projet'!$A$166&gt;35,DO145+DN146-DW145,IF(A146&lt;'Données projet'!$A$166,$DL$205^A146,IF(A146='Données projet'!$A$166,'Données projet'!$B$166,DO145+DN146-DW145)))</f>
        <v>252.19999999999968</v>
      </c>
      <c r="DP146" s="18">
        <f>DO146*VLOOKUP('Données projet'!$B$14,Paramètres!$A$1:$I$89,3,0)*VLOOKUP('Données projet'!$B$14,Paramètres!$A$1:$I$89,5,0)</f>
        <v>216.38759999999976</v>
      </c>
      <c r="DQ146" s="14">
        <f t="shared" si="151"/>
        <v>53.328993492050309</v>
      </c>
      <c r="DR146" s="22">
        <f t="shared" si="124"/>
        <v>469.75640033198715</v>
      </c>
      <c r="DS146" s="60">
        <f t="shared" si="125"/>
        <v>751.68111442016721</v>
      </c>
      <c r="DT146" s="60">
        <f ca="1">AVERAGE(OFFSET($DS$3,0,0,'Données projet'!$E$14+1,1))-AVERAGE(OFFSET($H$3,0,0,'Données projet'!$E$14+1,1))</f>
        <v>393.79546872270964</v>
      </c>
      <c r="DU146" s="60">
        <f t="shared" si="152"/>
        <v>179.7333990060757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135.66666666666666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>
        <f>VLOOKUP(A147,'Données projet'!$A$35:$I$55,2,0)</f>
        <v>184.23846153846154</v>
      </c>
      <c r="L147" s="13">
        <f>VLOOKUP(A147,'Données projet'!$A$35:$I$55,9,0)</f>
        <v>2.2999999999999998</v>
      </c>
      <c r="M147" s="13">
        <f t="array" ref="M147">INDEX(L:L,MIN(IF(ISNUMBER(L147:L343),ROW(L147:L343),"")))</f>
        <v>2.2999999999999998</v>
      </c>
      <c r="N147" s="14">
        <f>IF('Données projet'!$A$36&gt;35,N146+M147-V146,IF(A147&lt;'Données projet'!$A$36,$K$205^A147,IF(A147='Données projet'!$A$36,'Données projet'!$B$36,N146+M147-V146)))</f>
        <v>184.23846153846173</v>
      </c>
      <c r="O147" s="14">
        <f>N147*VLOOKUP('Données projet'!$B$9,Paramètres!$A$1:$I$89,3,0)*VLOOKUP('Données projet'!$B$9,Paramètres!$A$1:$I$89,5,0)</f>
        <v>86.223600000000104</v>
      </c>
      <c r="P147" s="14">
        <f t="shared" si="141"/>
        <v>23.652188545263215</v>
      </c>
      <c r="Q147" s="22">
        <f t="shared" si="108"/>
        <v>191.36699838300026</v>
      </c>
      <c r="R147" s="60">
        <f t="shared" si="109"/>
        <v>473.48962650923204</v>
      </c>
      <c r="S147" s="60">
        <f ca="1">AVERAGE(OFFSET($R$3,0,0,'Données projet'!$E$9+1,1))-AVERAGE(OFFSET($H$3,0,0,'Données projet'!$E$9+1,1))</f>
        <v>291.44524568678776</v>
      </c>
      <c r="T147" s="60">
        <f t="shared" si="142"/>
        <v>136.43373205899937</v>
      </c>
      <c r="U147" s="16">
        <f>IF(ISNA(VLOOKUP(A147,'Données projet'!$A$35:$I$55,3,0)),0,VLOOKUP(A147,'Données projet'!$A$35:$I$55,3,0))</f>
        <v>6</v>
      </c>
      <c r="V147" s="16">
        <f>IF(ISNA(VLOOKUP(A147,'Données projet'!$A$35:$I$55,4,0)),0,VLOOKUP(A147,'Données projet'!$A$35:$I$55,4,0))</f>
        <v>184.23846153846154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-2.9558577807620169E-14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300.72820267660154</v>
      </c>
      <c r="AO147" s="60">
        <f t="shared" si="144"/>
        <v>228.35388778608589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221.18884567967481</v>
      </c>
      <c r="BJ147" s="60">
        <f t="shared" si="146"/>
        <v>189.31596996710888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1.1341666666666668</v>
      </c>
      <c r="BY147" s="13">
        <f>IF('Données projet'!$A$114&gt;35,BY146+BX147-CG146,IF(A147&lt;'Données projet'!$A$114,$BV$205^A147,IF(A147='Données projet'!$A$114,'Données projet'!$B$114,BY146+BX147-CG146)))</f>
        <v>123.4075</v>
      </c>
      <c r="BZ147" s="14">
        <f>BY147*VLOOKUP('Données projet'!$B$12,Paramètres!$A$1:$I$89,3,0)*VLOOKUP('Données projet'!$B$12,Paramètres!$A$1:$I$89,5,0)</f>
        <v>142.16543999999999</v>
      </c>
      <c r="CA147" s="14">
        <f t="shared" si="147"/>
        <v>36.792633374400118</v>
      </c>
      <c r="CB147" s="22">
        <f t="shared" si="118"/>
        <v>311.68531112708018</v>
      </c>
      <c r="CC147" s="60">
        <f t="shared" si="119"/>
        <v>593.80793925331193</v>
      </c>
      <c r="CD147" s="60">
        <f ca="1">AVERAGE(OFFSET($CC$3,0,0,'Données projet'!$E$12+1,1))-AVERAGE(OFFSET($H$3,0,0,'Données projet'!$E$12+1,1))</f>
        <v>314.72063458462026</v>
      </c>
      <c r="CE147" s="60">
        <f t="shared" si="148"/>
        <v>216.4380325968244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1.4</v>
      </c>
      <c r="CT147" s="13">
        <f>IF('Données projet'!$A$140&gt;35,CT146+CS147-DB146,IF(A147&lt;'Données projet'!$A$140,$CQ$205^A147,IF(A147='Données projet'!$A$140,'Données projet'!$B$140,CT146+CS147-DB146)))</f>
        <v>253.59999999999968</v>
      </c>
      <c r="CU147" s="18">
        <f>CT147*VLOOKUP('Données projet'!$B$13,Paramètres!$A$1:$I$89,3,0)*VLOOKUP('Données projet'!$B$13,Paramètres!$A$1:$I$89,5,0)</f>
        <v>272.97503999999964</v>
      </c>
      <c r="CV147" s="14">
        <f t="shared" si="149"/>
        <v>65.480244616939203</v>
      </c>
      <c r="CW147" s="22">
        <f t="shared" si="121"/>
        <v>589.47628737450179</v>
      </c>
      <c r="CX147" s="60">
        <f t="shared" si="122"/>
        <v>871.59891550073348</v>
      </c>
      <c r="CY147" s="60">
        <f ca="1">AVERAGE(OFFSET($CX$3,0,0,'Données projet'!$E$13+1,1))-AVERAGE(OFFSET($H$3,0,0,'Données projet'!$E$13+1,1))</f>
        <v>465.51503238626822</v>
      </c>
      <c r="CZ147" s="60">
        <f t="shared" si="150"/>
        <v>205.55320107663496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1.4</v>
      </c>
      <c r="DO147" s="13">
        <f>IF('Données projet'!$A$166&gt;35,DO146+DN147-DW146,IF(A147&lt;'Données projet'!$A$166,$DL$205^A147,IF(A147='Données projet'!$A$166,'Données projet'!$B$166,DO146+DN147-DW146)))</f>
        <v>253.59999999999968</v>
      </c>
      <c r="DP147" s="18">
        <f>DO147*VLOOKUP('Données projet'!$B$14,Paramètres!$A$1:$I$89,3,0)*VLOOKUP('Données projet'!$B$14,Paramètres!$A$1:$I$89,5,0)</f>
        <v>217.58879999999976</v>
      </c>
      <c r="DQ147" s="14">
        <f t="shared" si="151"/>
        <v>53.590487657763248</v>
      </c>
      <c r="DR147" s="22">
        <f t="shared" si="124"/>
        <v>472.30392600393719</v>
      </c>
      <c r="DS147" s="60">
        <f t="shared" si="125"/>
        <v>754.42655413016894</v>
      </c>
      <c r="DT147" s="60">
        <f ca="1">AVERAGE(OFFSET($DS$3,0,0,'Données projet'!$E$14+1,1))-AVERAGE(OFFSET($H$3,0,0,'Données projet'!$E$14+1,1))</f>
        <v>393.79546872270964</v>
      </c>
      <c r="DU147" s="60">
        <f t="shared" si="152"/>
        <v>179.7333990060757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135.66666666666666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9.3109520094003535E-14</v>
      </c>
      <c r="P148" s="14">
        <f t="shared" si="141"/>
        <v>1.4104420303656732E-12</v>
      </c>
      <c r="Q148" s="22">
        <f t="shared" si="108"/>
        <v>2.6186856170506036E-12</v>
      </c>
      <c r="R148" s="60">
        <f t="shared" si="109"/>
        <v>282.31710879819559</v>
      </c>
      <c r="S148" s="60">
        <f ca="1">AVERAGE(OFFSET($R$3,0,0,'Données projet'!$E$9+1,1))-AVERAGE(OFFSET($H$3,0,0,'Données projet'!$E$9+1,1))</f>
        <v>291.44524568678776</v>
      </c>
      <c r="T148" s="60">
        <f t="shared" si="142"/>
        <v>136.43373205899937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-2.9558577807620169E-14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300.72820267660154</v>
      </c>
      <c r="AO148" s="60">
        <f t="shared" si="144"/>
        <v>228.35388778608589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221.18884567967481</v>
      </c>
      <c r="BJ148" s="60">
        <f t="shared" si="146"/>
        <v>189.31596996710888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1.1341666666666668</v>
      </c>
      <c r="BY148" s="13">
        <f>IF('Données projet'!$A$114&gt;35,BY147+BX148-CG147,IF(A148&lt;'Données projet'!$A$114,$BV$205^A148,IF(A148='Données projet'!$A$114,'Données projet'!$B$114,BY147+BX148-CG147)))</f>
        <v>124.54166666666667</v>
      </c>
      <c r="BZ148" s="14">
        <f>BY148*VLOOKUP('Données projet'!$B$12,Paramètres!$A$1:$I$89,3,0)*VLOOKUP('Données projet'!$B$12,Paramètres!$A$1:$I$89,5,0)</f>
        <v>143.47200000000001</v>
      </c>
      <c r="CA148" s="14">
        <f t="shared" si="147"/>
        <v>37.091254368743478</v>
      </c>
      <c r="CB148" s="22">
        <f t="shared" si="118"/>
        <v>314.4810013588949</v>
      </c>
      <c r="CC148" s="60">
        <f t="shared" si="119"/>
        <v>596.79811015708788</v>
      </c>
      <c r="CD148" s="60">
        <f ca="1">AVERAGE(OFFSET($CC$3,0,0,'Données projet'!$E$12+1,1))-AVERAGE(OFFSET($H$3,0,0,'Données projet'!$E$12+1,1))</f>
        <v>314.72063458462026</v>
      </c>
      <c r="CE148" s="60">
        <f t="shared" si="148"/>
        <v>216.4380325968244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1.4</v>
      </c>
      <c r="CT148" s="13">
        <f>IF('Données projet'!$A$140&gt;35,CT147+CS148-DB147,IF(A148&lt;'Données projet'!$A$140,$CQ$205^A148,IF(A148='Données projet'!$A$140,'Données projet'!$B$140,CT147+CS148-DB147)))</f>
        <v>254.99999999999969</v>
      </c>
      <c r="CU148" s="18">
        <f>CT148*VLOOKUP('Données projet'!$B$13,Paramètres!$A$1:$I$89,3,0)*VLOOKUP('Données projet'!$B$13,Paramètres!$A$1:$I$89,5,0)</f>
        <v>274.48199999999963</v>
      </c>
      <c r="CV148" s="14">
        <f t="shared" si="149"/>
        <v>65.799549466335833</v>
      </c>
      <c r="CW148" s="22">
        <f t="shared" si="121"/>
        <v>592.65703198720098</v>
      </c>
      <c r="CX148" s="60">
        <f t="shared" si="122"/>
        <v>874.97414078539396</v>
      </c>
      <c r="CY148" s="60">
        <f ca="1">AVERAGE(OFFSET($CX$3,0,0,'Données projet'!$E$13+1,1))-AVERAGE(OFFSET($H$3,0,0,'Données projet'!$E$13+1,1))</f>
        <v>465.51503238626822</v>
      </c>
      <c r="CZ148" s="60">
        <f t="shared" si="150"/>
        <v>205.55320107663496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1.4</v>
      </c>
      <c r="DO148" s="13">
        <f>IF('Données projet'!$A$166&gt;35,DO147+DN148-DW147,IF(A148&lt;'Données projet'!$A$166,$DL$205^A148,IF(A148='Données projet'!$A$166,'Données projet'!$B$166,DO147+DN148-DW147)))</f>
        <v>254.99999999999969</v>
      </c>
      <c r="DP148" s="18">
        <f>DO148*VLOOKUP('Données projet'!$B$14,Paramètres!$A$1:$I$89,3,0)*VLOOKUP('Données projet'!$B$14,Paramètres!$A$1:$I$89,5,0)</f>
        <v>218.78999999999974</v>
      </c>
      <c r="DQ148" s="14">
        <f t="shared" si="151"/>
        <v>53.851813843863468</v>
      </c>
      <c r="DR148" s="22">
        <f t="shared" si="124"/>
        <v>474.85115911139502</v>
      </c>
      <c r="DS148" s="60">
        <f t="shared" si="125"/>
        <v>757.16826790958794</v>
      </c>
      <c r="DT148" s="60">
        <f ca="1">AVERAGE(OFFSET($DS$3,0,0,'Données projet'!$E$14+1,1))-AVERAGE(OFFSET($H$3,0,0,'Données projet'!$E$14+1,1))</f>
        <v>393.79546872270964</v>
      </c>
      <c r="DU148" s="60">
        <f t="shared" si="152"/>
        <v>179.7333990060757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135.66666666666666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9.3109520094003535E-14</v>
      </c>
      <c r="P149" s="14">
        <f t="shared" si="141"/>
        <v>1.4104420303656732E-12</v>
      </c>
      <c r="Q149" s="22">
        <f t="shared" si="108"/>
        <v>2.6186856170506036E-12</v>
      </c>
      <c r="R149" s="60">
        <f t="shared" si="109"/>
        <v>282.50821566529186</v>
      </c>
      <c r="S149" s="60">
        <f ca="1">AVERAGE(OFFSET($R$3,0,0,'Données projet'!$E$9+1,1))-AVERAGE(OFFSET($H$3,0,0,'Données projet'!$E$9+1,1))</f>
        <v>291.44524568678776</v>
      </c>
      <c r="T149" s="60">
        <f t="shared" si="142"/>
        <v>136.43373205899937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-2.9558577807620169E-14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300.72820267660154</v>
      </c>
      <c r="AO149" s="60">
        <f t="shared" si="144"/>
        <v>228.35388778608589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221.18884567967481</v>
      </c>
      <c r="BJ149" s="60">
        <f t="shared" si="146"/>
        <v>189.31596996710888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1.1341666666666668</v>
      </c>
      <c r="BY149" s="13">
        <f>IF('Données projet'!$A$114&gt;35,BY148+BX149-CG148,IF(A149&lt;'Données projet'!$A$114,$BV$205^A149,IF(A149='Données projet'!$A$114,'Données projet'!$B$114,BY148+BX149-CG148)))</f>
        <v>125.67583333333334</v>
      </c>
      <c r="BZ149" s="14">
        <f>BY149*VLOOKUP('Données projet'!$B$12,Paramètres!$A$1:$I$89,3,0)*VLOOKUP('Données projet'!$B$12,Paramètres!$A$1:$I$89,5,0)</f>
        <v>144.77856</v>
      </c>
      <c r="CA149" s="14">
        <f t="shared" si="147"/>
        <v>37.389558981127166</v>
      </c>
      <c r="CB149" s="22">
        <f t="shared" si="118"/>
        <v>317.2761405587965</v>
      </c>
      <c r="CC149" s="60">
        <f t="shared" si="119"/>
        <v>599.78435622408574</v>
      </c>
      <c r="CD149" s="60">
        <f ca="1">AVERAGE(OFFSET($CC$3,0,0,'Données projet'!$E$12+1,1))-AVERAGE(OFFSET($H$3,0,0,'Données projet'!$E$12+1,1))</f>
        <v>314.72063458462026</v>
      </c>
      <c r="CE149" s="60">
        <f t="shared" si="148"/>
        <v>216.4380325968244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1.4</v>
      </c>
      <c r="CT149" s="13">
        <f>IF('Données projet'!$A$140&gt;35,CT148+CS149-DB148,IF(A149&lt;'Données projet'!$A$140,$CQ$205^A149,IF(A149='Données projet'!$A$140,'Données projet'!$B$140,CT148+CS149-DB148)))</f>
        <v>256.39999999999969</v>
      </c>
      <c r="CU149" s="18">
        <f>CT149*VLOOKUP('Données projet'!$B$13,Paramètres!$A$1:$I$89,3,0)*VLOOKUP('Données projet'!$B$13,Paramètres!$A$1:$I$89,5,0)</f>
        <v>275.98895999999962</v>
      </c>
      <c r="CV149" s="14">
        <f t="shared" si="149"/>
        <v>66.118650325254563</v>
      </c>
      <c r="CW149" s="22">
        <f t="shared" si="121"/>
        <v>595.83742131648444</v>
      </c>
      <c r="CX149" s="60">
        <f t="shared" si="122"/>
        <v>878.34563698177362</v>
      </c>
      <c r="CY149" s="60">
        <f ca="1">AVERAGE(OFFSET($CX$3,0,0,'Données projet'!$E$13+1,1))-AVERAGE(OFFSET($H$3,0,0,'Données projet'!$E$13+1,1))</f>
        <v>465.51503238626822</v>
      </c>
      <c r="CZ149" s="60">
        <f t="shared" si="150"/>
        <v>205.55320107663496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1.4</v>
      </c>
      <c r="DO149" s="13">
        <f>IF('Données projet'!$A$166&gt;35,DO148+DN149-DW148,IF(A149&lt;'Données projet'!$A$166,$DL$205^A149,IF(A149='Données projet'!$A$166,'Données projet'!$B$166,DO148+DN149-DW148)))</f>
        <v>256.39999999999969</v>
      </c>
      <c r="DP149" s="18">
        <f>DO149*VLOOKUP('Données projet'!$B$14,Paramètres!$A$1:$I$89,3,0)*VLOOKUP('Données projet'!$B$14,Paramètres!$A$1:$I$89,5,0)</f>
        <v>219.99119999999976</v>
      </c>
      <c r="DQ149" s="14">
        <f t="shared" si="151"/>
        <v>54.112973079622364</v>
      </c>
      <c r="DR149" s="22">
        <f t="shared" si="124"/>
        <v>477.39810144700851</v>
      </c>
      <c r="DS149" s="60">
        <f t="shared" si="125"/>
        <v>759.90631711229776</v>
      </c>
      <c r="DT149" s="60">
        <f ca="1">AVERAGE(OFFSET($DS$3,0,0,'Données projet'!$E$14+1,1))-AVERAGE(OFFSET($H$3,0,0,'Données projet'!$E$14+1,1))</f>
        <v>393.79546872270964</v>
      </c>
      <c r="DU149" s="60">
        <f t="shared" si="152"/>
        <v>179.7333990060757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135.66666666666666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9.3109520094003535E-14</v>
      </c>
      <c r="P150" s="14">
        <f t="shared" si="141"/>
        <v>1.4104420303656732E-12</v>
      </c>
      <c r="Q150" s="22">
        <f t="shared" si="108"/>
        <v>2.6186856170506036E-12</v>
      </c>
      <c r="R150" s="60">
        <f t="shared" si="109"/>
        <v>282.69600725549492</v>
      </c>
      <c r="S150" s="60">
        <f ca="1">AVERAGE(OFFSET($R$3,0,0,'Données projet'!$E$9+1,1))-AVERAGE(OFFSET($H$3,0,0,'Données projet'!$E$9+1,1))</f>
        <v>291.44524568678776</v>
      </c>
      <c r="T150" s="60">
        <f t="shared" si="142"/>
        <v>136.43373205899937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-2.9558577807620169E-14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300.72820267660154</v>
      </c>
      <c r="AO150" s="60">
        <f t="shared" si="144"/>
        <v>228.35388778608589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221.18884567967481</v>
      </c>
      <c r="BJ150" s="60">
        <f t="shared" si="146"/>
        <v>189.31596996710888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1.1341666666666668</v>
      </c>
      <c r="BY150" s="13">
        <f>IF('Données projet'!$A$114&gt;35,BY149+BX150-CG149,IF(A150&lt;'Données projet'!$A$114,$BV$205^A150,IF(A150='Données projet'!$A$114,'Données projet'!$B$114,BY149+BX150-CG149)))</f>
        <v>126.81000000000002</v>
      </c>
      <c r="BZ150" s="14">
        <f>BY150*VLOOKUP('Données projet'!$B$12,Paramètres!$A$1:$I$89,3,0)*VLOOKUP('Données projet'!$B$12,Paramètres!$A$1:$I$89,5,0)</f>
        <v>146.08512000000002</v>
      </c>
      <c r="CA150" s="14">
        <f t="shared" si="147"/>
        <v>37.687550397511806</v>
      </c>
      <c r="CB150" s="22">
        <f t="shared" si="118"/>
        <v>320.07073427566644</v>
      </c>
      <c r="CC150" s="60">
        <f t="shared" si="119"/>
        <v>602.76674153115869</v>
      </c>
      <c r="CD150" s="60">
        <f ca="1">AVERAGE(OFFSET($CC$3,0,0,'Données projet'!$E$12+1,1))-AVERAGE(OFFSET($H$3,0,0,'Données projet'!$E$12+1,1))</f>
        <v>314.72063458462026</v>
      </c>
      <c r="CE150" s="60">
        <f t="shared" si="148"/>
        <v>216.4380325968244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1.4</v>
      </c>
      <c r="CT150" s="13">
        <f>IF('Données projet'!$A$140&gt;35,CT149+CS150-DB149,IF(A150&lt;'Données projet'!$A$140,$CQ$205^A150,IF(A150='Données projet'!$A$140,'Données projet'!$B$140,CT149+CS150-DB149)))</f>
        <v>257.79999999999967</v>
      </c>
      <c r="CU150" s="18">
        <f>CT150*VLOOKUP('Données projet'!$B$13,Paramètres!$A$1:$I$89,3,0)*VLOOKUP('Données projet'!$B$13,Paramètres!$A$1:$I$89,5,0)</f>
        <v>277.49591999999961</v>
      </c>
      <c r="CV150" s="14">
        <f t="shared" si="149"/>
        <v>66.437548436795382</v>
      </c>
      <c r="CW150" s="22">
        <f t="shared" si="121"/>
        <v>599.01745752741795</v>
      </c>
      <c r="CX150" s="60">
        <f t="shared" si="122"/>
        <v>881.71346478291025</v>
      </c>
      <c r="CY150" s="60">
        <f ca="1">AVERAGE(OFFSET($CX$3,0,0,'Données projet'!$E$13+1,1))-AVERAGE(OFFSET($H$3,0,0,'Données projet'!$E$13+1,1))</f>
        <v>465.51503238626822</v>
      </c>
      <c r="CZ150" s="60">
        <f t="shared" si="150"/>
        <v>205.55320107663496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1.4</v>
      </c>
      <c r="DO150" s="13">
        <f>IF('Données projet'!$A$166&gt;35,DO149+DN150-DW149,IF(A150&lt;'Données projet'!$A$166,$DL$205^A150,IF(A150='Données projet'!$A$166,'Données projet'!$B$166,DO149+DN150-DW149)))</f>
        <v>257.79999999999967</v>
      </c>
      <c r="DP150" s="18">
        <f>DO150*VLOOKUP('Données projet'!$B$14,Paramètres!$A$1:$I$89,3,0)*VLOOKUP('Données projet'!$B$14,Paramètres!$A$1:$I$89,5,0)</f>
        <v>221.19239999999974</v>
      </c>
      <c r="DQ150" s="14">
        <f t="shared" si="151"/>
        <v>54.373966382420569</v>
      </c>
      <c r="DR150" s="22">
        <f t="shared" si="124"/>
        <v>479.94475478271539</v>
      </c>
      <c r="DS150" s="60">
        <f t="shared" si="125"/>
        <v>762.64076203820764</v>
      </c>
      <c r="DT150" s="60">
        <f ca="1">AVERAGE(OFFSET($DS$3,0,0,'Données projet'!$E$14+1,1))-AVERAGE(OFFSET($H$3,0,0,'Données projet'!$E$14+1,1))</f>
        <v>393.79546872270964</v>
      </c>
      <c r="DU150" s="60">
        <f t="shared" si="152"/>
        <v>179.7333990060757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135.66666666666666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9.3109520094003535E-14</v>
      </c>
      <c r="P151" s="14">
        <f t="shared" si="141"/>
        <v>1.4104420303656732E-12</v>
      </c>
      <c r="Q151" s="22">
        <f t="shared" si="108"/>
        <v>2.6186856170506036E-12</v>
      </c>
      <c r="R151" s="60">
        <f t="shared" si="109"/>
        <v>282.88054108144706</v>
      </c>
      <c r="S151" s="60">
        <f ca="1">AVERAGE(OFFSET($R$3,0,0,'Données projet'!$E$9+1,1))-AVERAGE(OFFSET($H$3,0,0,'Données projet'!$E$9+1,1))</f>
        <v>291.44524568678776</v>
      </c>
      <c r="T151" s="60">
        <f t="shared" si="142"/>
        <v>136.43373205899937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-2.9558577807620169E-14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300.72820267660154</v>
      </c>
      <c r="AO151" s="60">
        <f t="shared" si="144"/>
        <v>228.35388778608589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221.18884567967481</v>
      </c>
      <c r="BJ151" s="60">
        <f t="shared" si="146"/>
        <v>189.31596996710888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1.1341666666666668</v>
      </c>
      <c r="BY151" s="13">
        <f>IF('Données projet'!$A$114&gt;35,BY150+BX151-CG150,IF(A151&lt;'Données projet'!$A$114,$BV$205^A151,IF(A151='Données projet'!$A$114,'Données projet'!$B$114,BY150+BX151-CG150)))</f>
        <v>127.94416666666669</v>
      </c>
      <c r="BZ151" s="14">
        <f>BY151*VLOOKUP('Données projet'!$B$12,Paramètres!$A$1:$I$89,3,0)*VLOOKUP('Données projet'!$B$12,Paramètres!$A$1:$I$89,5,0)</f>
        <v>147.39168000000001</v>
      </c>
      <c r="CA151" s="14">
        <f t="shared" si="147"/>
        <v>37.985231743580776</v>
      </c>
      <c r="CB151" s="22">
        <f t="shared" si="118"/>
        <v>322.86478795340321</v>
      </c>
      <c r="CC151" s="60">
        <f t="shared" si="119"/>
        <v>605.7453290348476</v>
      </c>
      <c r="CD151" s="60">
        <f ca="1">AVERAGE(OFFSET($CC$3,0,0,'Données projet'!$E$12+1,1))-AVERAGE(OFFSET($H$3,0,0,'Données projet'!$E$12+1,1))</f>
        <v>314.72063458462026</v>
      </c>
      <c r="CE151" s="60">
        <f t="shared" si="148"/>
        <v>216.4380325968244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1.4</v>
      </c>
      <c r="CT151" s="13">
        <f>IF('Données projet'!$A$140&gt;35,CT150+CS151-DB150,IF(A151&lt;'Données projet'!$A$140,$CQ$205^A151,IF(A151='Données projet'!$A$140,'Données projet'!$B$140,CT150+CS151-DB150)))</f>
        <v>259.19999999999965</v>
      </c>
      <c r="CU151" s="18">
        <f>CT151*VLOOKUP('Données projet'!$B$13,Paramètres!$A$1:$I$89,3,0)*VLOOKUP('Données projet'!$B$13,Paramètres!$A$1:$I$89,5,0)</f>
        <v>279.00287999999961</v>
      </c>
      <c r="CV151" s="14">
        <f t="shared" si="149"/>
        <v>66.756245029775144</v>
      </c>
      <c r="CW151" s="22">
        <f t="shared" si="121"/>
        <v>602.19714276019101</v>
      </c>
      <c r="CX151" s="60">
        <f t="shared" si="122"/>
        <v>885.07768384163546</v>
      </c>
      <c r="CY151" s="60">
        <f ca="1">AVERAGE(OFFSET($CX$3,0,0,'Données projet'!$E$13+1,1))-AVERAGE(OFFSET($H$3,0,0,'Données projet'!$E$13+1,1))</f>
        <v>465.51503238626822</v>
      </c>
      <c r="CZ151" s="60">
        <f t="shared" si="150"/>
        <v>205.55320107663496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1.4</v>
      </c>
      <c r="DO151" s="13">
        <f>IF('Données projet'!$A$166&gt;35,DO150+DN151-DW150,IF(A151&lt;'Données projet'!$A$166,$DL$205^A151,IF(A151='Données projet'!$A$166,'Données projet'!$B$166,DO150+DN151-DW150)))</f>
        <v>259.19999999999965</v>
      </c>
      <c r="DP151" s="18">
        <f>DO151*VLOOKUP('Données projet'!$B$14,Paramètres!$A$1:$I$89,3,0)*VLOOKUP('Données projet'!$B$14,Paramètres!$A$1:$I$89,5,0)</f>
        <v>222.39359999999974</v>
      </c>
      <c r="DQ151" s="14">
        <f t="shared" si="151"/>
        <v>54.634794757949237</v>
      </c>
      <c r="DR151" s="22">
        <f t="shared" si="124"/>
        <v>482.49112087009439</v>
      </c>
      <c r="DS151" s="60">
        <f t="shared" si="125"/>
        <v>765.37166195153884</v>
      </c>
      <c r="DT151" s="60">
        <f ca="1">AVERAGE(OFFSET($DS$3,0,0,'Données projet'!$E$14+1,1))-AVERAGE(OFFSET($H$3,0,0,'Données projet'!$E$14+1,1))</f>
        <v>393.79546872270964</v>
      </c>
      <c r="DU151" s="60">
        <f t="shared" si="152"/>
        <v>179.7333990060757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135.66666666666666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9.3109520094003535E-14</v>
      </c>
      <c r="P152" s="14">
        <f t="shared" si="141"/>
        <v>1.4104420303656732E-12</v>
      </c>
      <c r="Q152" s="22">
        <f t="shared" si="108"/>
        <v>2.6186856170506036E-12</v>
      </c>
      <c r="R152" s="60">
        <f t="shared" si="109"/>
        <v>283.06187365807477</v>
      </c>
      <c r="S152" s="60">
        <f ca="1">AVERAGE(OFFSET($R$3,0,0,'Données projet'!$E$9+1,1))-AVERAGE(OFFSET($H$3,0,0,'Données projet'!$E$9+1,1))</f>
        <v>291.44524568678776</v>
      </c>
      <c r="T152" s="60">
        <f t="shared" si="142"/>
        <v>136.43373205899937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-2.9558577807620169E-14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300.72820267660154</v>
      </c>
      <c r="AO152" s="60">
        <f t="shared" si="144"/>
        <v>228.35388778608589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221.18884567967481</v>
      </c>
      <c r="BJ152" s="60">
        <f t="shared" si="146"/>
        <v>189.31596996710888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1.1341666666666668</v>
      </c>
      <c r="BY152" s="13">
        <f>IF('Données projet'!$A$114&gt;35,BY151+BX152-CG151,IF(A152&lt;'Données projet'!$A$114,$BV$205^A152,IF(A152='Données projet'!$A$114,'Données projet'!$B$114,BY151+BX152-CG151)))</f>
        <v>129.07833333333335</v>
      </c>
      <c r="BZ152" s="14">
        <f>BY152*VLOOKUP('Données projet'!$B$12,Paramètres!$A$1:$I$89,3,0)*VLOOKUP('Données projet'!$B$12,Paramètres!$A$1:$I$89,5,0)</f>
        <v>148.69824</v>
      </c>
      <c r="CA152" s="14">
        <f t="shared" si="147"/>
        <v>38.282606086404904</v>
      </c>
      <c r="CB152" s="22">
        <f t="shared" si="118"/>
        <v>325.65830693382185</v>
      </c>
      <c r="CC152" s="60">
        <f t="shared" si="119"/>
        <v>608.72018059189395</v>
      </c>
      <c r="CD152" s="60">
        <f ca="1">AVERAGE(OFFSET($CC$3,0,0,'Données projet'!$E$12+1,1))-AVERAGE(OFFSET($H$3,0,0,'Données projet'!$E$12+1,1))</f>
        <v>314.72063458462026</v>
      </c>
      <c r="CE152" s="60">
        <f t="shared" si="148"/>
        <v>216.4380325968244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1.4</v>
      </c>
      <c r="CT152" s="13">
        <f>IF('Données projet'!$A$140&gt;35,CT151+CS152-DB151,IF(A152&lt;'Données projet'!$A$140,$CQ$205^A152,IF(A152='Données projet'!$A$140,'Données projet'!$B$140,CT151+CS152-DB151)))</f>
        <v>260.59999999999962</v>
      </c>
      <c r="CU152" s="18">
        <f>CT152*VLOOKUP('Données projet'!$B$13,Paramètres!$A$1:$I$89,3,0)*VLOOKUP('Données projet'!$B$13,Paramètres!$A$1:$I$89,5,0)</f>
        <v>280.5098399999996</v>
      </c>
      <c r="CV152" s="14">
        <f t="shared" si="149"/>
        <v>67.074741318968449</v>
      </c>
      <c r="CW152" s="22">
        <f t="shared" si="121"/>
        <v>605.37647913053593</v>
      </c>
      <c r="CX152" s="60">
        <f t="shared" si="122"/>
        <v>888.43835278860809</v>
      </c>
      <c r="CY152" s="60">
        <f ca="1">AVERAGE(OFFSET($CX$3,0,0,'Données projet'!$E$13+1,1))-AVERAGE(OFFSET($H$3,0,0,'Données projet'!$E$13+1,1))</f>
        <v>465.51503238626822</v>
      </c>
      <c r="CZ152" s="60">
        <f t="shared" si="150"/>
        <v>205.55320107663496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1.4</v>
      </c>
      <c r="DO152" s="13">
        <f>IF('Données projet'!$A$166&gt;35,DO151+DN152-DW151,IF(A152&lt;'Données projet'!$A$166,$DL$205^A152,IF(A152='Données projet'!$A$166,'Données projet'!$B$166,DO151+DN152-DW151)))</f>
        <v>260.59999999999962</v>
      </c>
      <c r="DP152" s="18">
        <f>DO152*VLOOKUP('Données projet'!$B$14,Paramètres!$A$1:$I$89,3,0)*VLOOKUP('Données projet'!$B$14,Paramètres!$A$1:$I$89,5,0)</f>
        <v>223.59479999999971</v>
      </c>
      <c r="DQ152" s="14">
        <f t="shared" si="151"/>
        <v>54.895459200406719</v>
      </c>
      <c r="DR152" s="22">
        <f t="shared" si="124"/>
        <v>485.0372014407078</v>
      </c>
      <c r="DS152" s="60">
        <f t="shared" si="125"/>
        <v>768.09907509877996</v>
      </c>
      <c r="DT152" s="60">
        <f ca="1">AVERAGE(OFFSET($DS$3,0,0,'Données projet'!$E$14+1,1))-AVERAGE(OFFSET($H$3,0,0,'Données projet'!$E$14+1,1))</f>
        <v>393.79546872270964</v>
      </c>
      <c r="DU152" s="60">
        <f t="shared" si="152"/>
        <v>179.7333990060757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135.66666666666666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9.3109520094003535E-14</v>
      </c>
      <c r="P153" s="14">
        <f t="shared" si="141"/>
        <v>1.4104420303656732E-12</v>
      </c>
      <c r="Q153" s="22">
        <f t="shared" si="108"/>
        <v>2.6186856170506036E-12</v>
      </c>
      <c r="R153" s="60">
        <f t="shared" si="109"/>
        <v>283.24006051989693</v>
      </c>
      <c r="S153" s="60">
        <f ca="1">AVERAGE(OFFSET($R$3,0,0,'Données projet'!$E$9+1,1))-AVERAGE(OFFSET($H$3,0,0,'Données projet'!$E$9+1,1))</f>
        <v>291.44524568678776</v>
      </c>
      <c r="T153" s="60">
        <f t="shared" si="142"/>
        <v>136.43373205899937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-2.9558577807620169E-14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300.72820267660154</v>
      </c>
      <c r="AO153" s="60">
        <f t="shared" si="144"/>
        <v>228.35388778608589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221.18884567967481</v>
      </c>
      <c r="BJ153" s="60">
        <f t="shared" si="146"/>
        <v>189.31596996710888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130.21250000000001</v>
      </c>
      <c r="BW153" s="13">
        <f>VLOOKUP(A153,'Données projet'!$A$113:$I$133,9,0)</f>
        <v>1.1341666666666668</v>
      </c>
      <c r="BX153" s="13">
        <f t="array" ref="BX153">INDEX(BW:BW,MIN(IF(ISNUMBER(BW153:BW349),ROW(BW153:BW349),"")))</f>
        <v>1.1341666666666668</v>
      </c>
      <c r="BY153" s="13">
        <f>IF('Données projet'!$A$114&gt;35,BY152+BX153-CG152,IF(A153&lt;'Données projet'!$A$114,$BV$205^A153,IF(A153='Données projet'!$A$114,'Données projet'!$B$114,BY152+BX153-CG152)))</f>
        <v>130.21250000000001</v>
      </c>
      <c r="BZ153" s="14">
        <f>BY153*VLOOKUP('Données projet'!$B$12,Paramètres!$A$1:$I$89,3,0)*VLOOKUP('Données projet'!$B$12,Paramètres!$A$1:$I$89,5,0)</f>
        <v>150.00479999999999</v>
      </c>
      <c r="CA153" s="14">
        <f t="shared" si="147"/>
        <v>38.579676436046306</v>
      </c>
      <c r="CB153" s="22">
        <f t="shared" si="118"/>
        <v>328.45129645944729</v>
      </c>
      <c r="CC153" s="60">
        <f t="shared" si="119"/>
        <v>611.69135697934166</v>
      </c>
      <c r="CD153" s="60">
        <f ca="1">AVERAGE(OFFSET($CC$3,0,0,'Données projet'!$E$12+1,1))-AVERAGE(OFFSET($H$3,0,0,'Données projet'!$E$12+1,1))</f>
        <v>314.72063458462026</v>
      </c>
      <c r="CE153" s="60">
        <f t="shared" si="148"/>
        <v>216.4380325968244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130.21250000000001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262</v>
      </c>
      <c r="CR153" s="13">
        <f>VLOOKUP(A153,'Données projet'!$A$139:$I$159,9,0)</f>
        <v>1.4</v>
      </c>
      <c r="CS153" s="13">
        <f t="array" ref="CS153">INDEX(CR:CR,MIN(IF(ISNUMBER(CR153:CR349),ROW(CR153:CR349),"")))</f>
        <v>1.4</v>
      </c>
      <c r="CT153" s="13">
        <f>IF('Données projet'!$A$140&gt;35,CT152+CS153-DB152,IF(A153&lt;'Données projet'!$A$140,$CQ$205^A153,IF(A153='Données projet'!$A$140,'Données projet'!$B$140,CT152+CS153-DB152)))</f>
        <v>261.9999999999996</v>
      </c>
      <c r="CU153" s="18">
        <f>CT153*VLOOKUP('Données projet'!$B$13,Paramètres!$A$1:$I$89,3,0)*VLOOKUP('Données projet'!$B$13,Paramètres!$A$1:$I$89,5,0)</f>
        <v>282.01679999999959</v>
      </c>
      <c r="CV153" s="14">
        <f t="shared" si="149"/>
        <v>67.393038505342062</v>
      </c>
      <c r="CW153" s="22">
        <f t="shared" si="121"/>
        <v>608.55546873013679</v>
      </c>
      <c r="CX153" s="60">
        <f t="shared" si="122"/>
        <v>891.79552925003111</v>
      </c>
      <c r="CY153" s="60">
        <f ca="1">AVERAGE(OFFSET($CX$3,0,0,'Données projet'!$E$13+1,1))-AVERAGE(OFFSET($H$3,0,0,'Données projet'!$E$13+1,1))</f>
        <v>465.51503238626822</v>
      </c>
      <c r="CZ153" s="60">
        <f t="shared" si="150"/>
        <v>205.55320107663496</v>
      </c>
      <c r="DA153" s="16">
        <f>IF(ISNA(VLOOKUP(A153,'Données projet'!$A$139:$I$159,3,0)),0,VLOOKUP(A153,'Données projet'!$A$139:$I$159,3,0))</f>
        <v>9</v>
      </c>
      <c r="DB153" s="16">
        <f>IF(ISNA(VLOOKUP(A153,'Données projet'!$A$139:$I$159,4,0)),0,VLOOKUP(A153,'Données projet'!$A$139:$I$159,4,0))</f>
        <v>262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262</v>
      </c>
      <c r="DM153" s="13">
        <f>VLOOKUP(A153,'Données projet'!$A$165:$I$185,9,0)</f>
        <v>1.4</v>
      </c>
      <c r="DN153" s="13">
        <f t="array" ref="DN153">INDEX(DM:DM,MIN(IF(ISNUMBER(DM153:DM349),ROW(DM153:DM349),"")))</f>
        <v>1.4</v>
      </c>
      <c r="DO153" s="13">
        <f>IF('Données projet'!$A$166&gt;35,DO152+DN153-DW152,IF(A153&lt;'Données projet'!$A$166,$DL$205^A153,IF(A153='Données projet'!$A$166,'Données projet'!$B$166,DO152+DN153-DW152)))</f>
        <v>261.9999999999996</v>
      </c>
      <c r="DP153" s="18">
        <f>DO153*VLOOKUP('Données projet'!$B$14,Paramètres!$A$1:$I$89,3,0)*VLOOKUP('Données projet'!$B$14,Paramètres!$A$1:$I$89,5,0)</f>
        <v>224.79599999999968</v>
      </c>
      <c r="DQ153" s="14">
        <f t="shared" si="151"/>
        <v>55.155960692691053</v>
      </c>
      <c r="DR153" s="22">
        <f t="shared" si="124"/>
        <v>487.58299820643629</v>
      </c>
      <c r="DS153" s="60">
        <f t="shared" si="125"/>
        <v>770.8230587263306</v>
      </c>
      <c r="DT153" s="60">
        <f ca="1">AVERAGE(OFFSET($DS$3,0,0,'Données projet'!$E$14+1,1))-AVERAGE(OFFSET($H$3,0,0,'Données projet'!$E$14+1,1))</f>
        <v>393.79546872270964</v>
      </c>
      <c r="DU153" s="60">
        <f t="shared" si="152"/>
        <v>179.7333990060757</v>
      </c>
      <c r="DV153" s="16">
        <f>IF(ISNA(VLOOKUP(A153,'Données projet'!$A$165:$I$185,3,0)),0,VLOOKUP(A153,'Données projet'!$A$165:$I$185,3,0))</f>
        <v>9</v>
      </c>
      <c r="DW153" s="16">
        <f>IF(ISNA(VLOOKUP(A153,'Données projet'!$A$165:$I$185,4,0)),0,VLOOKUP(A153,'Données projet'!$A$165:$I$185,4,0))</f>
        <v>262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135.66666666666666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9.3109520094003535E-14</v>
      </c>
      <c r="P154" s="14">
        <f t="shared" si="141"/>
        <v>1.4104420303656732E-12</v>
      </c>
      <c r="Q154" s="22">
        <f t="shared" ref="Q154:Q203" si="162">(O154+P154)*0.475*44/12</f>
        <v>2.6186856170506036E-12</v>
      </c>
      <c r="R154" s="60">
        <f t="shared" si="109"/>
        <v>283.41515623803258</v>
      </c>
      <c r="S154" s="60">
        <f ca="1">AVERAGE(OFFSET($R$3,0,0,'Données projet'!$E$9+1,1))-AVERAGE(OFFSET($H$3,0,0,'Données projet'!$E$9+1,1))</f>
        <v>291.44524568678776</v>
      </c>
      <c r="T154" s="60">
        <f t="shared" si="142"/>
        <v>136.43373205899937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-2.9558577807620169E-14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300.72820267660154</v>
      </c>
      <c r="AO154" s="60">
        <f t="shared" si="144"/>
        <v>228.35388778608589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221.18884567967481</v>
      </c>
      <c r="BJ154" s="60">
        <f t="shared" si="146"/>
        <v>189.31596996710888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314.72063458462026</v>
      </c>
      <c r="CE154" s="60">
        <f t="shared" si="148"/>
        <v>216.4380325968244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-3.979039320256561E-13</v>
      </c>
      <c r="CU154" s="18">
        <f>CT154*VLOOKUP('Données projet'!$B$13,Paramètres!$A$1:$I$89,3,0)*VLOOKUP('Données projet'!$B$13,Paramètres!$A$1:$I$89,5,0)</f>
        <v>-4.2830379243241627E-13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465.51503238626822</v>
      </c>
      <c r="CZ154" s="60">
        <f t="shared" si="150"/>
        <v>205.55320107663496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-3.979039320256561E-13</v>
      </c>
      <c r="DP154" s="18">
        <f>DO154*VLOOKUP('Données projet'!$B$14,Paramètres!$A$1:$I$89,3,0)*VLOOKUP('Données projet'!$B$14,Paramètres!$A$1:$I$89,5,0)</f>
        <v>-3.41401573678013E-13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393.79546872270964</v>
      </c>
      <c r="DU154" s="60">
        <f t="shared" si="152"/>
        <v>179.7333990060757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135.66666666666666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9.3109520094003535E-14</v>
      </c>
      <c r="P155" s="14">
        <f t="shared" si="141"/>
        <v>1.4104420303656732E-12</v>
      </c>
      <c r="Q155" s="22">
        <f t="shared" si="162"/>
        <v>2.6186856170506036E-12</v>
      </c>
      <c r="R155" s="60">
        <f t="shared" si="109"/>
        <v>283.587214436914</v>
      </c>
      <c r="S155" s="60">
        <f ca="1">AVERAGE(OFFSET($R$3,0,0,'Données projet'!$E$9+1,1))-AVERAGE(OFFSET($H$3,0,0,'Données projet'!$E$9+1,1))</f>
        <v>291.44524568678776</v>
      </c>
      <c r="T155" s="60">
        <f t="shared" si="142"/>
        <v>136.43373205899937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-2.9558577807620169E-14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300.72820267660154</v>
      </c>
      <c r="AO155" s="60">
        <f t="shared" si="144"/>
        <v>228.35388778608589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221.18884567967481</v>
      </c>
      <c r="BJ155" s="60">
        <f t="shared" si="146"/>
        <v>189.31596996710888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314.72063458462026</v>
      </c>
      <c r="CE155" s="60">
        <f t="shared" si="148"/>
        <v>216.4380325968244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-3.979039320256561E-13</v>
      </c>
      <c r="CU155" s="18">
        <f>CT155*VLOOKUP('Données projet'!$B$13,Paramètres!$A$1:$I$89,3,0)*VLOOKUP('Données projet'!$B$13,Paramètres!$A$1:$I$89,5,0)</f>
        <v>-4.2830379243241627E-13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465.51503238626822</v>
      </c>
      <c r="CZ155" s="60">
        <f t="shared" si="150"/>
        <v>205.55320107663496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-3.979039320256561E-13</v>
      </c>
      <c r="DP155" s="18">
        <f>DO155*VLOOKUP('Données projet'!$B$14,Paramètres!$A$1:$I$89,3,0)*VLOOKUP('Données projet'!$B$14,Paramètres!$A$1:$I$89,5,0)</f>
        <v>-3.41401573678013E-13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393.79546872270964</v>
      </c>
      <c r="DU155" s="60">
        <f t="shared" si="152"/>
        <v>179.7333990060757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135.66666666666666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9.3109520094003535E-14</v>
      </c>
      <c r="P156" s="14">
        <f t="shared" si="141"/>
        <v>1.4104420303656732E-12</v>
      </c>
      <c r="Q156" s="22">
        <f t="shared" si="162"/>
        <v>2.6186856170506036E-12</v>
      </c>
      <c r="R156" s="60">
        <f t="shared" si="109"/>
        <v>283.75628781070924</v>
      </c>
      <c r="S156" s="60">
        <f ca="1">AVERAGE(OFFSET($R$3,0,0,'Données projet'!$E$9+1,1))-AVERAGE(OFFSET($H$3,0,0,'Données projet'!$E$9+1,1))</f>
        <v>291.44524568678776</v>
      </c>
      <c r="T156" s="60">
        <f t="shared" si="142"/>
        <v>136.43373205899937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-2.9558577807620169E-14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300.72820267660154</v>
      </c>
      <c r="AO156" s="60">
        <f t="shared" si="144"/>
        <v>228.35388778608589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221.18884567967481</v>
      </c>
      <c r="BJ156" s="60">
        <f t="shared" si="146"/>
        <v>189.31596996710888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314.72063458462026</v>
      </c>
      <c r="CE156" s="60">
        <f t="shared" si="148"/>
        <v>216.4380325968244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-3.979039320256561E-13</v>
      </c>
      <c r="CU156" s="18">
        <f>CT156*VLOOKUP('Données projet'!$B$13,Paramètres!$A$1:$I$89,3,0)*VLOOKUP('Données projet'!$B$13,Paramètres!$A$1:$I$89,5,0)</f>
        <v>-4.2830379243241627E-13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465.51503238626822</v>
      </c>
      <c r="CZ156" s="60">
        <f t="shared" si="150"/>
        <v>205.55320107663496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-3.979039320256561E-13</v>
      </c>
      <c r="DP156" s="18">
        <f>DO156*VLOOKUP('Données projet'!$B$14,Paramètres!$A$1:$I$89,3,0)*VLOOKUP('Données projet'!$B$14,Paramètres!$A$1:$I$89,5,0)</f>
        <v>-3.41401573678013E-13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393.79546872270964</v>
      </c>
      <c r="DU156" s="60">
        <f t="shared" si="152"/>
        <v>179.7333990060757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135.66666666666666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9.3109520094003535E-14</v>
      </c>
      <c r="P157" s="14">
        <f t="shared" si="141"/>
        <v>1.4104420303656732E-12</v>
      </c>
      <c r="Q157" s="22">
        <f t="shared" si="162"/>
        <v>2.6186856170506036E-12</v>
      </c>
      <c r="R157" s="60">
        <f t="shared" si="109"/>
        <v>283.92242813946069</v>
      </c>
      <c r="S157" s="60">
        <f ca="1">AVERAGE(OFFSET($R$3,0,0,'Données projet'!$E$9+1,1))-AVERAGE(OFFSET($H$3,0,0,'Données projet'!$E$9+1,1))</f>
        <v>291.44524568678776</v>
      </c>
      <c r="T157" s="60">
        <f t="shared" si="142"/>
        <v>136.43373205899937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-2.9558577807620169E-14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300.72820267660154</v>
      </c>
      <c r="AO157" s="60">
        <f t="shared" si="144"/>
        <v>228.35388778608589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221.18884567967481</v>
      </c>
      <c r="BJ157" s="60">
        <f t="shared" si="146"/>
        <v>189.31596996710888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314.72063458462026</v>
      </c>
      <c r="CE157" s="60">
        <f t="shared" si="148"/>
        <v>216.4380325968244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-3.979039320256561E-13</v>
      </c>
      <c r="CU157" s="18">
        <f>CT157*VLOOKUP('Données projet'!$B$13,Paramètres!$A$1:$I$89,3,0)*VLOOKUP('Données projet'!$B$13,Paramètres!$A$1:$I$89,5,0)</f>
        <v>-4.2830379243241627E-13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465.51503238626822</v>
      </c>
      <c r="CZ157" s="60">
        <f t="shared" si="150"/>
        <v>205.55320107663496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-3.979039320256561E-13</v>
      </c>
      <c r="DP157" s="18">
        <f>DO157*VLOOKUP('Données projet'!$B$14,Paramètres!$A$1:$I$89,3,0)*VLOOKUP('Données projet'!$B$14,Paramètres!$A$1:$I$89,5,0)</f>
        <v>-3.41401573678013E-13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393.79546872270964</v>
      </c>
      <c r="DU157" s="60">
        <f t="shared" si="152"/>
        <v>179.7333990060757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135.66666666666666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9.3109520094003535E-14</v>
      </c>
      <c r="P158" s="14">
        <f t="shared" si="141"/>
        <v>1.4104420303656732E-12</v>
      </c>
      <c r="Q158" s="22">
        <f t="shared" si="162"/>
        <v>2.6186856170506036E-12</v>
      </c>
      <c r="R158" s="60">
        <f t="shared" si="109"/>
        <v>284.08568630494239</v>
      </c>
      <c r="S158" s="60">
        <f ca="1">AVERAGE(OFFSET($R$3,0,0,'Données projet'!$E$9+1,1))-AVERAGE(OFFSET($H$3,0,0,'Données projet'!$E$9+1,1))</f>
        <v>291.44524568678776</v>
      </c>
      <c r="T158" s="60">
        <f t="shared" si="142"/>
        <v>136.43373205899937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-2.9558577807620169E-14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300.72820267660154</v>
      </c>
      <c r="AO158" s="60">
        <f t="shared" si="144"/>
        <v>228.35388778608589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221.18884567967481</v>
      </c>
      <c r="BJ158" s="60">
        <f t="shared" si="146"/>
        <v>189.31596996710888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314.72063458462026</v>
      </c>
      <c r="CE158" s="60">
        <f t="shared" si="148"/>
        <v>216.4380325968244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-3.979039320256561E-13</v>
      </c>
      <c r="CU158" s="18">
        <f>CT158*VLOOKUP('Données projet'!$B$13,Paramètres!$A$1:$I$89,3,0)*VLOOKUP('Données projet'!$B$13,Paramètres!$A$1:$I$89,5,0)</f>
        <v>-4.2830379243241627E-13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465.51503238626822</v>
      </c>
      <c r="CZ158" s="60">
        <f t="shared" si="150"/>
        <v>205.55320107663496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-3.979039320256561E-13</v>
      </c>
      <c r="DP158" s="18">
        <f>DO158*VLOOKUP('Données projet'!$B$14,Paramètres!$A$1:$I$89,3,0)*VLOOKUP('Données projet'!$B$14,Paramètres!$A$1:$I$89,5,0)</f>
        <v>-3.41401573678013E-13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393.79546872270964</v>
      </c>
      <c r="DU158" s="60">
        <f t="shared" si="152"/>
        <v>179.7333990060757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135.66666666666666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9.3109520094003535E-14</v>
      </c>
      <c r="P159" s="14">
        <f t="shared" si="141"/>
        <v>1.4104420303656732E-12</v>
      </c>
      <c r="Q159" s="22">
        <f t="shared" si="162"/>
        <v>2.6186856170506036E-12</v>
      </c>
      <c r="R159" s="60">
        <f t="shared" si="109"/>
        <v>284.24611230624356</v>
      </c>
      <c r="S159" s="60">
        <f ca="1">AVERAGE(OFFSET($R$3,0,0,'Données projet'!$E$9+1,1))-AVERAGE(OFFSET($H$3,0,0,'Données projet'!$E$9+1,1))</f>
        <v>291.44524568678776</v>
      </c>
      <c r="T159" s="60">
        <f t="shared" si="142"/>
        <v>136.43373205899937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-2.9558577807620169E-14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300.72820267660154</v>
      </c>
      <c r="AO159" s="60">
        <f t="shared" si="144"/>
        <v>228.35388778608589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221.18884567967481</v>
      </c>
      <c r="BJ159" s="60">
        <f t="shared" si="146"/>
        <v>189.31596996710888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314.72063458462026</v>
      </c>
      <c r="CE159" s="60">
        <f t="shared" si="148"/>
        <v>216.4380325968244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-3.979039320256561E-13</v>
      </c>
      <c r="CU159" s="18">
        <f>CT159*VLOOKUP('Données projet'!$B$13,Paramètres!$A$1:$I$89,3,0)*VLOOKUP('Données projet'!$B$13,Paramètres!$A$1:$I$89,5,0)</f>
        <v>-4.2830379243241627E-13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465.51503238626822</v>
      </c>
      <c r="CZ159" s="60">
        <f t="shared" si="150"/>
        <v>205.55320107663496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-3.979039320256561E-13</v>
      </c>
      <c r="DP159" s="18">
        <f>DO159*VLOOKUP('Données projet'!$B$14,Paramètres!$A$1:$I$89,3,0)*VLOOKUP('Données projet'!$B$14,Paramètres!$A$1:$I$89,5,0)</f>
        <v>-3.41401573678013E-13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393.79546872270964</v>
      </c>
      <c r="DU159" s="60">
        <f t="shared" si="152"/>
        <v>179.7333990060757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135.66666666666666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9.3109520094003535E-14</v>
      </c>
      <c r="P160" s="14">
        <f t="shared" si="141"/>
        <v>1.4104420303656732E-12</v>
      </c>
      <c r="Q160" s="22">
        <f t="shared" si="162"/>
        <v>2.6186856170506036E-12</v>
      </c>
      <c r="R160" s="60">
        <f t="shared" si="109"/>
        <v>284.40375527508087</v>
      </c>
      <c r="S160" s="60">
        <f ca="1">AVERAGE(OFFSET($R$3,0,0,'Données projet'!$E$9+1,1))-AVERAGE(OFFSET($H$3,0,0,'Données projet'!$E$9+1,1))</f>
        <v>291.44524568678776</v>
      </c>
      <c r="T160" s="60">
        <f t="shared" si="142"/>
        <v>136.43373205899937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-2.9558577807620169E-14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300.72820267660154</v>
      </c>
      <c r="AO160" s="60">
        <f t="shared" si="144"/>
        <v>228.35388778608589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221.18884567967481</v>
      </c>
      <c r="BJ160" s="60">
        <f t="shared" si="146"/>
        <v>189.31596996710888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314.72063458462026</v>
      </c>
      <c r="CE160" s="60">
        <f t="shared" si="148"/>
        <v>216.4380325968244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-3.979039320256561E-13</v>
      </c>
      <c r="CU160" s="18">
        <f>CT160*VLOOKUP('Données projet'!$B$13,Paramètres!$A$1:$I$89,3,0)*VLOOKUP('Données projet'!$B$13,Paramètres!$A$1:$I$89,5,0)</f>
        <v>-4.2830379243241627E-13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465.51503238626822</v>
      </c>
      <c r="CZ160" s="60">
        <f t="shared" si="150"/>
        <v>205.55320107663496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-3.979039320256561E-13</v>
      </c>
      <c r="DP160" s="18">
        <f>DO160*VLOOKUP('Données projet'!$B$14,Paramètres!$A$1:$I$89,3,0)*VLOOKUP('Données projet'!$B$14,Paramètres!$A$1:$I$89,5,0)</f>
        <v>-3.41401573678013E-13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393.79546872270964</v>
      </c>
      <c r="DU160" s="60">
        <f t="shared" si="152"/>
        <v>179.7333990060757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135.66666666666666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9.3109520094003535E-14</v>
      </c>
      <c r="P161" s="14">
        <f t="shared" si="141"/>
        <v>1.4104420303656732E-12</v>
      </c>
      <c r="Q161" s="22">
        <f t="shared" si="162"/>
        <v>2.6186856170506036E-12</v>
      </c>
      <c r="R161" s="60">
        <f t="shared" si="109"/>
        <v>284.55866349084584</v>
      </c>
      <c r="S161" s="60">
        <f ca="1">AVERAGE(OFFSET($R$3,0,0,'Données projet'!$E$9+1,1))-AVERAGE(OFFSET($H$3,0,0,'Données projet'!$E$9+1,1))</f>
        <v>291.44524568678776</v>
      </c>
      <c r="T161" s="60">
        <f t="shared" si="142"/>
        <v>136.43373205899937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-2.9558577807620169E-14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300.72820267660154</v>
      </c>
      <c r="AO161" s="60">
        <f t="shared" si="144"/>
        <v>228.35388778608589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221.18884567967481</v>
      </c>
      <c r="BJ161" s="60">
        <f t="shared" si="146"/>
        <v>189.31596996710888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314.72063458462026</v>
      </c>
      <c r="CE161" s="60">
        <f t="shared" si="148"/>
        <v>216.4380325968244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-3.979039320256561E-13</v>
      </c>
      <c r="CU161" s="18">
        <f>CT161*VLOOKUP('Données projet'!$B$13,Paramètres!$A$1:$I$89,3,0)*VLOOKUP('Données projet'!$B$13,Paramètres!$A$1:$I$89,5,0)</f>
        <v>-4.2830379243241627E-13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465.51503238626822</v>
      </c>
      <c r="CZ161" s="60">
        <f t="shared" si="150"/>
        <v>205.55320107663496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-3.979039320256561E-13</v>
      </c>
      <c r="DP161" s="18">
        <f>DO161*VLOOKUP('Données projet'!$B$14,Paramètres!$A$1:$I$89,3,0)*VLOOKUP('Données projet'!$B$14,Paramètres!$A$1:$I$89,5,0)</f>
        <v>-3.41401573678013E-13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393.79546872270964</v>
      </c>
      <c r="DU161" s="60">
        <f t="shared" si="152"/>
        <v>179.7333990060757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135.66666666666666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9.3109520094003535E-14</v>
      </c>
      <c r="P162" s="14">
        <f t="shared" si="141"/>
        <v>1.4104420303656732E-12</v>
      </c>
      <c r="Q162" s="22">
        <f t="shared" si="162"/>
        <v>2.6186856170506036E-12</v>
      </c>
      <c r="R162" s="60">
        <f t="shared" si="109"/>
        <v>284.71088439539022</v>
      </c>
      <c r="S162" s="60">
        <f ca="1">AVERAGE(OFFSET($R$3,0,0,'Données projet'!$E$9+1,1))-AVERAGE(OFFSET($H$3,0,0,'Données projet'!$E$9+1,1))</f>
        <v>291.44524568678776</v>
      </c>
      <c r="T162" s="60">
        <f t="shared" si="142"/>
        <v>136.43373205899937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-2.9558577807620169E-14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300.72820267660154</v>
      </c>
      <c r="AO162" s="60">
        <f t="shared" si="144"/>
        <v>228.35388778608589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221.18884567967481</v>
      </c>
      <c r="BJ162" s="60">
        <f t="shared" si="146"/>
        <v>189.31596996710888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314.72063458462026</v>
      </c>
      <c r="CE162" s="60">
        <f t="shared" si="148"/>
        <v>216.4380325968244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-3.979039320256561E-13</v>
      </c>
      <c r="CU162" s="18">
        <f>CT162*VLOOKUP('Données projet'!$B$13,Paramètres!$A$1:$I$89,3,0)*VLOOKUP('Données projet'!$B$13,Paramètres!$A$1:$I$89,5,0)</f>
        <v>-4.2830379243241627E-13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465.51503238626822</v>
      </c>
      <c r="CZ162" s="60">
        <f t="shared" si="150"/>
        <v>205.55320107663496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-3.979039320256561E-13</v>
      </c>
      <c r="DP162" s="18">
        <f>DO162*VLOOKUP('Données projet'!$B$14,Paramètres!$A$1:$I$89,3,0)*VLOOKUP('Données projet'!$B$14,Paramètres!$A$1:$I$89,5,0)</f>
        <v>-3.41401573678013E-13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393.79546872270964</v>
      </c>
      <c r="DU162" s="60">
        <f t="shared" si="152"/>
        <v>179.7333990060757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135.66666666666666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9.3109520094003535E-14</v>
      </c>
      <c r="P163" s="14">
        <f t="shared" si="141"/>
        <v>1.4104420303656732E-12</v>
      </c>
      <c r="Q163" s="22">
        <f t="shared" si="162"/>
        <v>2.6186856170506036E-12</v>
      </c>
      <c r="R163" s="60">
        <f t="shared" si="109"/>
        <v>284.86046460755557</v>
      </c>
      <c r="S163" s="60">
        <f ca="1">AVERAGE(OFFSET($R$3,0,0,'Données projet'!$E$9+1,1))-AVERAGE(OFFSET($H$3,0,0,'Données projet'!$E$9+1,1))</f>
        <v>291.44524568678776</v>
      </c>
      <c r="T163" s="60">
        <f t="shared" si="142"/>
        <v>136.43373205899937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-2.9558577807620169E-14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300.72820267660154</v>
      </c>
      <c r="AO163" s="60">
        <f t="shared" si="144"/>
        <v>228.35388778608589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221.18884567967481</v>
      </c>
      <c r="BJ163" s="60">
        <f t="shared" si="146"/>
        <v>189.31596996710888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314.72063458462026</v>
      </c>
      <c r="CE163" s="60">
        <f t="shared" si="148"/>
        <v>216.4380325968244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-3.979039320256561E-13</v>
      </c>
      <c r="CU163" s="18">
        <f>CT163*VLOOKUP('Données projet'!$B$13,Paramètres!$A$1:$I$89,3,0)*VLOOKUP('Données projet'!$B$13,Paramètres!$A$1:$I$89,5,0)</f>
        <v>-4.2830379243241627E-13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465.51503238626822</v>
      </c>
      <c r="CZ163" s="60">
        <f t="shared" si="150"/>
        <v>205.55320107663496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-3.979039320256561E-13</v>
      </c>
      <c r="DP163" s="18">
        <f>DO163*VLOOKUP('Données projet'!$B$14,Paramètres!$A$1:$I$89,3,0)*VLOOKUP('Données projet'!$B$14,Paramètres!$A$1:$I$89,5,0)</f>
        <v>-3.41401573678013E-13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393.79546872270964</v>
      </c>
      <c r="DU163" s="60">
        <f t="shared" si="152"/>
        <v>179.7333990060757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135.66666666666666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9.3109520094003535E-14</v>
      </c>
      <c r="P164" s="14">
        <f t="shared" si="141"/>
        <v>1.4104420303656732E-12</v>
      </c>
      <c r="Q164" s="22">
        <f t="shared" si="162"/>
        <v>2.6186856170506036E-12</v>
      </c>
      <c r="R164" s="60">
        <f t="shared" si="109"/>
        <v>285.00744993745121</v>
      </c>
      <c r="S164" s="60">
        <f ca="1">AVERAGE(OFFSET($R$3,0,0,'Données projet'!$E$9+1,1))-AVERAGE(OFFSET($H$3,0,0,'Données projet'!$E$9+1,1))</f>
        <v>291.44524568678776</v>
      </c>
      <c r="T164" s="60">
        <f t="shared" si="142"/>
        <v>136.43373205899937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-2.9558577807620169E-14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300.72820267660154</v>
      </c>
      <c r="AO164" s="60">
        <f t="shared" si="144"/>
        <v>228.35388778608589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221.18884567967481</v>
      </c>
      <c r="BJ164" s="60">
        <f t="shared" si="146"/>
        <v>189.31596996710888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314.72063458462026</v>
      </c>
      <c r="CE164" s="60">
        <f t="shared" si="148"/>
        <v>216.4380325968244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-3.979039320256561E-13</v>
      </c>
      <c r="CU164" s="18">
        <f>CT164*VLOOKUP('Données projet'!$B$13,Paramètres!$A$1:$I$89,3,0)*VLOOKUP('Données projet'!$B$13,Paramètres!$A$1:$I$89,5,0)</f>
        <v>-4.2830379243241627E-13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465.51503238626822</v>
      </c>
      <c r="CZ164" s="60">
        <f t="shared" si="150"/>
        <v>205.55320107663496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-3.979039320256561E-13</v>
      </c>
      <c r="DP164" s="18">
        <f>DO164*VLOOKUP('Données projet'!$B$14,Paramètres!$A$1:$I$89,3,0)*VLOOKUP('Données projet'!$B$14,Paramètres!$A$1:$I$89,5,0)</f>
        <v>-3.41401573678013E-13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393.79546872270964</v>
      </c>
      <c r="DU164" s="60">
        <f t="shared" si="152"/>
        <v>179.7333990060757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135.66666666666666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9.3109520094003535E-14</v>
      </c>
      <c r="P165" s="14">
        <f t="shared" si="141"/>
        <v>1.4104420303656732E-12</v>
      </c>
      <c r="Q165" s="22">
        <f t="shared" si="162"/>
        <v>2.6186856170506036E-12</v>
      </c>
      <c r="R165" s="60">
        <f t="shared" si="109"/>
        <v>285.15188540048308</v>
      </c>
      <c r="S165" s="60">
        <f ca="1">AVERAGE(OFFSET($R$3,0,0,'Données projet'!$E$9+1,1))-AVERAGE(OFFSET($H$3,0,0,'Données projet'!$E$9+1,1))</f>
        <v>291.44524568678776</v>
      </c>
      <c r="T165" s="60">
        <f t="shared" si="142"/>
        <v>136.43373205899937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-2.9558577807620169E-14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300.72820267660154</v>
      </c>
      <c r="AO165" s="60">
        <f t="shared" si="144"/>
        <v>228.35388778608589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221.18884567967481</v>
      </c>
      <c r="BJ165" s="60">
        <f t="shared" si="146"/>
        <v>189.31596996710888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314.72063458462026</v>
      </c>
      <c r="CE165" s="60">
        <f t="shared" si="148"/>
        <v>216.4380325968244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-3.979039320256561E-13</v>
      </c>
      <c r="CU165" s="18">
        <f>CT165*VLOOKUP('Données projet'!$B$13,Paramètres!$A$1:$I$89,3,0)*VLOOKUP('Données projet'!$B$13,Paramètres!$A$1:$I$89,5,0)</f>
        <v>-4.2830379243241627E-13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465.51503238626822</v>
      </c>
      <c r="CZ165" s="60">
        <f t="shared" si="150"/>
        <v>205.55320107663496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-3.979039320256561E-13</v>
      </c>
      <c r="DP165" s="18">
        <f>DO165*VLOOKUP('Données projet'!$B$14,Paramètres!$A$1:$I$89,3,0)*VLOOKUP('Données projet'!$B$14,Paramètres!$A$1:$I$89,5,0)</f>
        <v>-3.41401573678013E-13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393.79546872270964</v>
      </c>
      <c r="DU165" s="60">
        <f t="shared" si="152"/>
        <v>179.7333990060757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135.66666666666666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9.3109520094003535E-14</v>
      </c>
      <c r="P166" s="14">
        <f t="shared" si="141"/>
        <v>1.4104420303656732E-12</v>
      </c>
      <c r="Q166" s="22">
        <f t="shared" si="162"/>
        <v>2.6186856170506036E-12</v>
      </c>
      <c r="R166" s="60">
        <f t="shared" si="109"/>
        <v>285.29381523114068</v>
      </c>
      <c r="S166" s="60">
        <f ca="1">AVERAGE(OFFSET($R$3,0,0,'Données projet'!$E$9+1,1))-AVERAGE(OFFSET($H$3,0,0,'Données projet'!$E$9+1,1))</f>
        <v>291.44524568678776</v>
      </c>
      <c r="T166" s="60">
        <f t="shared" si="142"/>
        <v>136.43373205899937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-2.9558577807620169E-14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300.72820267660154</v>
      </c>
      <c r="AO166" s="60">
        <f t="shared" si="144"/>
        <v>228.35388778608589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221.18884567967481</v>
      </c>
      <c r="BJ166" s="60">
        <f t="shared" si="146"/>
        <v>189.31596996710888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314.72063458462026</v>
      </c>
      <c r="CE166" s="60">
        <f t="shared" si="148"/>
        <v>216.4380325968244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-3.979039320256561E-13</v>
      </c>
      <c r="CU166" s="18">
        <f>CT166*VLOOKUP('Données projet'!$B$13,Paramètres!$A$1:$I$89,3,0)*VLOOKUP('Données projet'!$B$13,Paramètres!$A$1:$I$89,5,0)</f>
        <v>-4.2830379243241627E-13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465.51503238626822</v>
      </c>
      <c r="CZ166" s="60">
        <f t="shared" si="150"/>
        <v>205.55320107663496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-3.979039320256561E-13</v>
      </c>
      <c r="DP166" s="18">
        <f>DO166*VLOOKUP('Données projet'!$B$14,Paramètres!$A$1:$I$89,3,0)*VLOOKUP('Données projet'!$B$14,Paramètres!$A$1:$I$89,5,0)</f>
        <v>-3.41401573678013E-13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393.79546872270964</v>
      </c>
      <c r="DU166" s="60">
        <f t="shared" si="152"/>
        <v>179.7333990060757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135.66666666666666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9.3109520094003535E-14</v>
      </c>
      <c r="P167" s="14">
        <f t="shared" si="141"/>
        <v>1.4104420303656732E-12</v>
      </c>
      <c r="Q167" s="22">
        <f t="shared" si="162"/>
        <v>2.6186856170506036E-12</v>
      </c>
      <c r="R167" s="60">
        <f t="shared" si="109"/>
        <v>285.43328289654397</v>
      </c>
      <c r="S167" s="60">
        <f ca="1">AVERAGE(OFFSET($R$3,0,0,'Données projet'!$E$9+1,1))-AVERAGE(OFFSET($H$3,0,0,'Données projet'!$E$9+1,1))</f>
        <v>291.44524568678776</v>
      </c>
      <c r="T167" s="60">
        <f t="shared" si="142"/>
        <v>136.43373205899937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-2.9558577807620169E-14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300.72820267660154</v>
      </c>
      <c r="AO167" s="60">
        <f t="shared" si="144"/>
        <v>228.35388778608589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221.18884567967481</v>
      </c>
      <c r="BJ167" s="60">
        <f t="shared" si="146"/>
        <v>189.31596996710888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314.72063458462026</v>
      </c>
      <c r="CE167" s="60">
        <f t="shared" si="148"/>
        <v>216.4380325968244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-3.979039320256561E-13</v>
      </c>
      <c r="CU167" s="18">
        <f>CT167*VLOOKUP('Données projet'!$B$13,Paramètres!$A$1:$I$89,3,0)*VLOOKUP('Données projet'!$B$13,Paramètres!$A$1:$I$89,5,0)</f>
        <v>-4.2830379243241627E-13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465.51503238626822</v>
      </c>
      <c r="CZ167" s="60">
        <f t="shared" si="150"/>
        <v>205.55320107663496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-3.979039320256561E-13</v>
      </c>
      <c r="DP167" s="18">
        <f>DO167*VLOOKUP('Données projet'!$B$14,Paramètres!$A$1:$I$89,3,0)*VLOOKUP('Données projet'!$B$14,Paramètres!$A$1:$I$89,5,0)</f>
        <v>-3.41401573678013E-13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393.79546872270964</v>
      </c>
      <c r="DU167" s="60">
        <f t="shared" si="152"/>
        <v>179.7333990060757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135.66666666666666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9.3109520094003535E-14</v>
      </c>
      <c r="P168" s="14">
        <f t="shared" si="141"/>
        <v>1.4104420303656732E-12</v>
      </c>
      <c r="Q168" s="22">
        <f t="shared" si="162"/>
        <v>2.6186856170506036E-12</v>
      </c>
      <c r="R168" s="60">
        <f t="shared" si="109"/>
        <v>285.57033110975544</v>
      </c>
      <c r="S168" s="60">
        <f ca="1">AVERAGE(OFFSET($R$3,0,0,'Données projet'!$E$9+1,1))-AVERAGE(OFFSET($H$3,0,0,'Données projet'!$E$9+1,1))</f>
        <v>291.44524568678776</v>
      </c>
      <c r="T168" s="60">
        <f t="shared" si="142"/>
        <v>136.43373205899937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-2.9558577807620169E-14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300.72820267660154</v>
      </c>
      <c r="AO168" s="60">
        <f t="shared" si="144"/>
        <v>228.35388778608589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221.18884567967481</v>
      </c>
      <c r="BJ168" s="60">
        <f t="shared" si="146"/>
        <v>189.31596996710888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314.72063458462026</v>
      </c>
      <c r="CE168" s="60">
        <f t="shared" si="148"/>
        <v>216.4380325968244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-3.979039320256561E-13</v>
      </c>
      <c r="CU168" s="18">
        <f>CT168*VLOOKUP('Données projet'!$B$13,Paramètres!$A$1:$I$89,3,0)*VLOOKUP('Données projet'!$B$13,Paramètres!$A$1:$I$89,5,0)</f>
        <v>-4.2830379243241627E-13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465.51503238626822</v>
      </c>
      <c r="CZ168" s="60">
        <f t="shared" si="150"/>
        <v>205.55320107663496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-3.979039320256561E-13</v>
      </c>
      <c r="DP168" s="18">
        <f>DO168*VLOOKUP('Données projet'!$B$14,Paramètres!$A$1:$I$89,3,0)*VLOOKUP('Données projet'!$B$14,Paramètres!$A$1:$I$89,5,0)</f>
        <v>-3.41401573678013E-13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393.79546872270964</v>
      </c>
      <c r="DU168" s="60">
        <f t="shared" si="152"/>
        <v>179.7333990060757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135.66666666666666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9.3109520094003535E-14</v>
      </c>
      <c r="P169" s="14">
        <f t="shared" si="141"/>
        <v>1.4104420303656732E-12</v>
      </c>
      <c r="Q169" s="22">
        <f t="shared" si="162"/>
        <v>2.6186856170506036E-12</v>
      </c>
      <c r="R169" s="60">
        <f t="shared" si="109"/>
        <v>285.70500184286163</v>
      </c>
      <c r="S169" s="60">
        <f ca="1">AVERAGE(OFFSET($R$3,0,0,'Données projet'!$E$9+1,1))-AVERAGE(OFFSET($H$3,0,0,'Données projet'!$E$9+1,1))</f>
        <v>291.44524568678776</v>
      </c>
      <c r="T169" s="60">
        <f t="shared" si="142"/>
        <v>136.43373205899937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-2.9558577807620169E-14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300.72820267660154</v>
      </c>
      <c r="AO169" s="60">
        <f t="shared" si="144"/>
        <v>228.35388778608589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221.18884567967481</v>
      </c>
      <c r="BJ169" s="60">
        <f t="shared" si="146"/>
        <v>189.31596996710888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314.72063458462026</v>
      </c>
      <c r="CE169" s="60">
        <f t="shared" si="148"/>
        <v>216.4380325968244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-3.979039320256561E-13</v>
      </c>
      <c r="CU169" s="18">
        <f>CT169*VLOOKUP('Données projet'!$B$13,Paramètres!$A$1:$I$89,3,0)*VLOOKUP('Données projet'!$B$13,Paramètres!$A$1:$I$89,5,0)</f>
        <v>-4.2830379243241627E-13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465.51503238626822</v>
      </c>
      <c r="CZ169" s="60">
        <f t="shared" si="150"/>
        <v>205.55320107663496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-3.979039320256561E-13</v>
      </c>
      <c r="DP169" s="18">
        <f>DO169*VLOOKUP('Données projet'!$B$14,Paramètres!$A$1:$I$89,3,0)*VLOOKUP('Données projet'!$B$14,Paramètres!$A$1:$I$89,5,0)</f>
        <v>-3.41401573678013E-13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393.79546872270964</v>
      </c>
      <c r="DU169" s="60">
        <f t="shared" si="152"/>
        <v>179.7333990060757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135.66666666666666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9.3109520094003535E-14</v>
      </c>
      <c r="P170" s="14">
        <f t="shared" si="141"/>
        <v>1.4104420303656732E-12</v>
      </c>
      <c r="Q170" s="22">
        <f t="shared" si="162"/>
        <v>2.6186856170506036E-12</v>
      </c>
      <c r="R170" s="60">
        <f t="shared" si="109"/>
        <v>285.83733633982712</v>
      </c>
      <c r="S170" s="60">
        <f ca="1">AVERAGE(OFFSET($R$3,0,0,'Données projet'!$E$9+1,1))-AVERAGE(OFFSET($H$3,0,0,'Données projet'!$E$9+1,1))</f>
        <v>291.44524568678776</v>
      </c>
      <c r="T170" s="60">
        <f t="shared" si="142"/>
        <v>136.43373205899937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-2.9558577807620169E-14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300.72820267660154</v>
      </c>
      <c r="AO170" s="60">
        <f t="shared" si="144"/>
        <v>228.35388778608589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221.18884567967481</v>
      </c>
      <c r="BJ170" s="60">
        <f t="shared" si="146"/>
        <v>189.31596996710888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314.72063458462026</v>
      </c>
      <c r="CE170" s="60">
        <f t="shared" si="148"/>
        <v>216.4380325968244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-3.979039320256561E-13</v>
      </c>
      <c r="CU170" s="18">
        <f>CT170*VLOOKUP('Données projet'!$B$13,Paramètres!$A$1:$I$89,3,0)*VLOOKUP('Données projet'!$B$13,Paramètres!$A$1:$I$89,5,0)</f>
        <v>-4.2830379243241627E-13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465.51503238626822</v>
      </c>
      <c r="CZ170" s="60">
        <f t="shared" si="150"/>
        <v>205.55320107663496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-3.979039320256561E-13</v>
      </c>
      <c r="DP170" s="18">
        <f>DO170*VLOOKUP('Données projet'!$B$14,Paramètres!$A$1:$I$89,3,0)*VLOOKUP('Données projet'!$B$14,Paramètres!$A$1:$I$89,5,0)</f>
        <v>-3.41401573678013E-13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393.79546872270964</v>
      </c>
      <c r="DU170" s="60">
        <f t="shared" si="152"/>
        <v>179.7333990060757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135.66666666666666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9.3109520094003535E-14</v>
      </c>
      <c r="P171" s="14">
        <f t="shared" si="141"/>
        <v>1.4104420303656732E-12</v>
      </c>
      <c r="Q171" s="22">
        <f t="shared" si="162"/>
        <v>2.6186856170506036E-12</v>
      </c>
      <c r="R171" s="60">
        <f t="shared" si="109"/>
        <v>285.9673751291258</v>
      </c>
      <c r="S171" s="60">
        <f ca="1">AVERAGE(OFFSET($R$3,0,0,'Données projet'!$E$9+1,1))-AVERAGE(OFFSET($H$3,0,0,'Données projet'!$E$9+1,1))</f>
        <v>291.44524568678776</v>
      </c>
      <c r="T171" s="60">
        <f t="shared" si="142"/>
        <v>136.43373205899937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-2.9558577807620169E-14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300.72820267660154</v>
      </c>
      <c r="AO171" s="60">
        <f t="shared" si="144"/>
        <v>228.35388778608589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221.18884567967481</v>
      </c>
      <c r="BJ171" s="60">
        <f t="shared" si="146"/>
        <v>189.31596996710888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314.72063458462026</v>
      </c>
      <c r="CE171" s="60">
        <f t="shared" si="148"/>
        <v>216.4380325968244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-3.979039320256561E-13</v>
      </c>
      <c r="CU171" s="18">
        <f>CT171*VLOOKUP('Données projet'!$B$13,Paramètres!$A$1:$I$89,3,0)*VLOOKUP('Données projet'!$B$13,Paramètres!$A$1:$I$89,5,0)</f>
        <v>-4.2830379243241627E-13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465.51503238626822</v>
      </c>
      <c r="CZ171" s="60">
        <f t="shared" si="150"/>
        <v>205.55320107663496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-3.979039320256561E-13</v>
      </c>
      <c r="DP171" s="18">
        <f>DO171*VLOOKUP('Données projet'!$B$14,Paramètres!$A$1:$I$89,3,0)*VLOOKUP('Données projet'!$B$14,Paramètres!$A$1:$I$89,5,0)</f>
        <v>-3.41401573678013E-13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393.79546872270964</v>
      </c>
      <c r="DU171" s="60">
        <f t="shared" si="152"/>
        <v>179.7333990060757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135.66666666666666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9.3109520094003535E-14</v>
      </c>
      <c r="P172" s="14">
        <f t="shared" si="141"/>
        <v>1.4104420303656732E-12</v>
      </c>
      <c r="Q172" s="22">
        <f t="shared" si="162"/>
        <v>2.6186856170506036E-12</v>
      </c>
      <c r="R172" s="60">
        <f t="shared" si="109"/>
        <v>286.09515803615335</v>
      </c>
      <c r="S172" s="60">
        <f ca="1">AVERAGE(OFFSET($R$3,0,0,'Données projet'!$E$9+1,1))-AVERAGE(OFFSET($H$3,0,0,'Données projet'!$E$9+1,1))</f>
        <v>291.44524568678776</v>
      </c>
      <c r="T172" s="60">
        <f t="shared" si="142"/>
        <v>136.43373205899937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-2.9558577807620169E-14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300.72820267660154</v>
      </c>
      <c r="AO172" s="60">
        <f t="shared" si="144"/>
        <v>228.35388778608589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221.18884567967481</v>
      </c>
      <c r="BJ172" s="60">
        <f t="shared" si="146"/>
        <v>189.31596996710888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314.72063458462026</v>
      </c>
      <c r="CE172" s="60">
        <f t="shared" si="148"/>
        <v>216.4380325968244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-3.979039320256561E-13</v>
      </c>
      <c r="CU172" s="18">
        <f>CT172*VLOOKUP('Données projet'!$B$13,Paramètres!$A$1:$I$89,3,0)*VLOOKUP('Données projet'!$B$13,Paramètres!$A$1:$I$89,5,0)</f>
        <v>-4.2830379243241627E-13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465.51503238626822</v>
      </c>
      <c r="CZ172" s="60">
        <f t="shared" si="150"/>
        <v>205.55320107663496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-3.979039320256561E-13</v>
      </c>
      <c r="DP172" s="18">
        <f>DO172*VLOOKUP('Données projet'!$B$14,Paramètres!$A$1:$I$89,3,0)*VLOOKUP('Données projet'!$B$14,Paramètres!$A$1:$I$89,5,0)</f>
        <v>-3.41401573678013E-13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393.79546872270964</v>
      </c>
      <c r="DU172" s="60">
        <f t="shared" si="152"/>
        <v>179.7333990060757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135.66666666666666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9.3109520094003535E-14</v>
      </c>
      <c r="P173" s="14">
        <f t="shared" si="141"/>
        <v>1.4104420303656732E-12</v>
      </c>
      <c r="Q173" s="22">
        <f t="shared" si="162"/>
        <v>2.6186856170506036E-12</v>
      </c>
      <c r="R173" s="60">
        <f t="shared" si="109"/>
        <v>286.22072419542377</v>
      </c>
      <c r="S173" s="60">
        <f ca="1">AVERAGE(OFFSET($R$3,0,0,'Données projet'!$E$9+1,1))-AVERAGE(OFFSET($H$3,0,0,'Données projet'!$E$9+1,1))</f>
        <v>291.44524568678776</v>
      </c>
      <c r="T173" s="60">
        <f t="shared" si="142"/>
        <v>136.43373205899937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-2.9558577807620169E-14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300.72820267660154</v>
      </c>
      <c r="AO173" s="60">
        <f t="shared" si="144"/>
        <v>228.35388778608589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221.18884567967481</v>
      </c>
      <c r="BJ173" s="60">
        <f t="shared" si="146"/>
        <v>189.31596996710888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314.72063458462026</v>
      </c>
      <c r="CE173" s="60">
        <f t="shared" si="148"/>
        <v>216.4380325968244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-3.979039320256561E-13</v>
      </c>
      <c r="CU173" s="18">
        <f>CT173*VLOOKUP('Données projet'!$B$13,Paramètres!$A$1:$I$89,3,0)*VLOOKUP('Données projet'!$B$13,Paramètres!$A$1:$I$89,5,0)</f>
        <v>-4.2830379243241627E-13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465.51503238626822</v>
      </c>
      <c r="CZ173" s="60">
        <f t="shared" si="150"/>
        <v>205.55320107663496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-3.979039320256561E-13</v>
      </c>
      <c r="DP173" s="18">
        <f>DO173*VLOOKUP('Données projet'!$B$14,Paramètres!$A$1:$I$89,3,0)*VLOOKUP('Données projet'!$B$14,Paramètres!$A$1:$I$89,5,0)</f>
        <v>-3.41401573678013E-13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393.79546872270964</v>
      </c>
      <c r="DU173" s="60">
        <f t="shared" si="152"/>
        <v>179.7333990060757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135.66666666666666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9.3109520094003535E-14</v>
      </c>
      <c r="P174" s="14">
        <f t="shared" si="141"/>
        <v>1.4104420303656732E-12</v>
      </c>
      <c r="Q174" s="22">
        <f t="shared" si="162"/>
        <v>2.6186856170506036E-12</v>
      </c>
      <c r="R174" s="60">
        <f t="shared" si="109"/>
        <v>286.3441120625547</v>
      </c>
      <c r="S174" s="60">
        <f ca="1">AVERAGE(OFFSET($R$3,0,0,'Données projet'!$E$9+1,1))-AVERAGE(OFFSET($H$3,0,0,'Données projet'!$E$9+1,1))</f>
        <v>291.44524568678776</v>
      </c>
      <c r="T174" s="60">
        <f t="shared" si="142"/>
        <v>136.43373205899937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-2.9558577807620169E-14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300.72820267660154</v>
      </c>
      <c r="AO174" s="60">
        <f t="shared" si="144"/>
        <v>228.35388778608589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221.18884567967481</v>
      </c>
      <c r="BJ174" s="60">
        <f t="shared" si="146"/>
        <v>189.31596996710888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314.72063458462026</v>
      </c>
      <c r="CE174" s="60">
        <f t="shared" si="148"/>
        <v>216.4380325968244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-3.979039320256561E-13</v>
      </c>
      <c r="CU174" s="18">
        <f>CT174*VLOOKUP('Données projet'!$B$13,Paramètres!$A$1:$I$89,3,0)*VLOOKUP('Données projet'!$B$13,Paramètres!$A$1:$I$89,5,0)</f>
        <v>-4.2830379243241627E-13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465.51503238626822</v>
      </c>
      <c r="CZ174" s="60">
        <f t="shared" si="150"/>
        <v>205.55320107663496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-3.979039320256561E-13</v>
      </c>
      <c r="DP174" s="18">
        <f>DO174*VLOOKUP('Données projet'!$B$14,Paramètres!$A$1:$I$89,3,0)*VLOOKUP('Données projet'!$B$14,Paramètres!$A$1:$I$89,5,0)</f>
        <v>-3.41401573678013E-13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393.79546872270964</v>
      </c>
      <c r="DU174" s="60">
        <f t="shared" si="152"/>
        <v>179.7333990060757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135.66666666666666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9.3109520094003535E-14</v>
      </c>
      <c r="P175" s="14">
        <f t="shared" si="141"/>
        <v>1.4104420303656732E-12</v>
      </c>
      <c r="Q175" s="22">
        <f t="shared" si="162"/>
        <v>2.6186856170506036E-12</v>
      </c>
      <c r="R175" s="60">
        <f t="shared" si="109"/>
        <v>286.46535942604493</v>
      </c>
      <c r="S175" s="60">
        <f ca="1">AVERAGE(OFFSET($R$3,0,0,'Données projet'!$E$9+1,1))-AVERAGE(OFFSET($H$3,0,0,'Données projet'!$E$9+1,1))</f>
        <v>291.44524568678776</v>
      </c>
      <c r="T175" s="60">
        <f t="shared" si="142"/>
        <v>136.43373205899937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-2.9558577807620169E-14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300.72820267660154</v>
      </c>
      <c r="AO175" s="60">
        <f t="shared" si="144"/>
        <v>228.35388778608589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221.18884567967481</v>
      </c>
      <c r="BJ175" s="60">
        <f t="shared" si="146"/>
        <v>189.31596996710888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314.72063458462026</v>
      </c>
      <c r="CE175" s="60">
        <f t="shared" si="148"/>
        <v>216.4380325968244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-3.979039320256561E-13</v>
      </c>
      <c r="CU175" s="18">
        <f>CT175*VLOOKUP('Données projet'!$B$13,Paramètres!$A$1:$I$89,3,0)*VLOOKUP('Données projet'!$B$13,Paramètres!$A$1:$I$89,5,0)</f>
        <v>-4.2830379243241627E-13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465.51503238626822</v>
      </c>
      <c r="CZ175" s="60">
        <f t="shared" si="150"/>
        <v>205.55320107663496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-3.979039320256561E-13</v>
      </c>
      <c r="DP175" s="18">
        <f>DO175*VLOOKUP('Données projet'!$B$14,Paramètres!$A$1:$I$89,3,0)*VLOOKUP('Données projet'!$B$14,Paramètres!$A$1:$I$89,5,0)</f>
        <v>-3.41401573678013E-13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393.79546872270964</v>
      </c>
      <c r="DU175" s="60">
        <f t="shared" si="152"/>
        <v>179.7333990060757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135.66666666666666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9.3109520094003535E-14</v>
      </c>
      <c r="P176" s="14">
        <f t="shared" si="141"/>
        <v>1.4104420303656732E-12</v>
      </c>
      <c r="Q176" s="22">
        <f t="shared" si="162"/>
        <v>2.6186856170506036E-12</v>
      </c>
      <c r="R176" s="60">
        <f t="shared" si="109"/>
        <v>286.58450341884696</v>
      </c>
      <c r="S176" s="60">
        <f ca="1">AVERAGE(OFFSET($R$3,0,0,'Données projet'!$E$9+1,1))-AVERAGE(OFFSET($H$3,0,0,'Données projet'!$E$9+1,1))</f>
        <v>291.44524568678776</v>
      </c>
      <c r="T176" s="60">
        <f t="shared" si="142"/>
        <v>136.43373205899937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-2.9558577807620169E-14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300.72820267660154</v>
      </c>
      <c r="AO176" s="60">
        <f t="shared" si="144"/>
        <v>228.35388778608589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221.18884567967481</v>
      </c>
      <c r="BJ176" s="60">
        <f t="shared" si="146"/>
        <v>189.31596996710888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314.72063458462026</v>
      </c>
      <c r="CE176" s="60">
        <f t="shared" si="148"/>
        <v>216.4380325968244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-3.979039320256561E-13</v>
      </c>
      <c r="CU176" s="18">
        <f>CT176*VLOOKUP('Données projet'!$B$13,Paramètres!$A$1:$I$89,3,0)*VLOOKUP('Données projet'!$B$13,Paramètres!$A$1:$I$89,5,0)</f>
        <v>-4.2830379243241627E-13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465.51503238626822</v>
      </c>
      <c r="CZ176" s="60">
        <f t="shared" si="150"/>
        <v>205.55320107663496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-3.979039320256561E-13</v>
      </c>
      <c r="DP176" s="18">
        <f>DO176*VLOOKUP('Données projet'!$B$14,Paramètres!$A$1:$I$89,3,0)*VLOOKUP('Données projet'!$B$14,Paramètres!$A$1:$I$89,5,0)</f>
        <v>-3.41401573678013E-13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393.79546872270964</v>
      </c>
      <c r="DU176" s="60">
        <f t="shared" si="152"/>
        <v>179.7333990060757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135.66666666666666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9.3109520094003535E-14</v>
      </c>
      <c r="P177" s="14">
        <f t="shared" si="141"/>
        <v>1.4104420303656732E-12</v>
      </c>
      <c r="Q177" s="22">
        <f t="shared" si="162"/>
        <v>2.6186856170506036E-12</v>
      </c>
      <c r="R177" s="60">
        <f t="shared" si="109"/>
        <v>286.70158052974006</v>
      </c>
      <c r="S177" s="60">
        <f ca="1">AVERAGE(OFFSET($R$3,0,0,'Données projet'!$E$9+1,1))-AVERAGE(OFFSET($H$3,0,0,'Données projet'!$E$9+1,1))</f>
        <v>291.44524568678776</v>
      </c>
      <c r="T177" s="60">
        <f t="shared" si="142"/>
        <v>136.43373205899937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-2.9558577807620169E-14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300.72820267660154</v>
      </c>
      <c r="AO177" s="60">
        <f t="shared" si="144"/>
        <v>228.35388778608589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221.18884567967481</v>
      </c>
      <c r="BJ177" s="60">
        <f t="shared" si="146"/>
        <v>189.31596996710888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314.72063458462026</v>
      </c>
      <c r="CE177" s="60">
        <f t="shared" si="148"/>
        <v>216.4380325968244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-3.979039320256561E-13</v>
      </c>
      <c r="CU177" s="18">
        <f>CT177*VLOOKUP('Données projet'!$B$13,Paramètres!$A$1:$I$89,3,0)*VLOOKUP('Données projet'!$B$13,Paramètres!$A$1:$I$89,5,0)</f>
        <v>-4.2830379243241627E-13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465.51503238626822</v>
      </c>
      <c r="CZ177" s="60">
        <f t="shared" si="150"/>
        <v>205.55320107663496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-3.979039320256561E-13</v>
      </c>
      <c r="DP177" s="18">
        <f>DO177*VLOOKUP('Données projet'!$B$14,Paramètres!$A$1:$I$89,3,0)*VLOOKUP('Données projet'!$B$14,Paramètres!$A$1:$I$89,5,0)</f>
        <v>-3.41401573678013E-13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393.79546872270964</v>
      </c>
      <c r="DU177" s="60">
        <f t="shared" si="152"/>
        <v>179.7333990060757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135.66666666666666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9.3109520094003535E-14</v>
      </c>
      <c r="P178" s="14">
        <f t="shared" si="141"/>
        <v>1.4104420303656732E-12</v>
      </c>
      <c r="Q178" s="22">
        <f t="shared" si="162"/>
        <v>2.6186856170506036E-12</v>
      </c>
      <c r="R178" s="60">
        <f t="shared" si="109"/>
        <v>286.81662661450429</v>
      </c>
      <c r="S178" s="60">
        <f ca="1">AVERAGE(OFFSET($R$3,0,0,'Données projet'!$E$9+1,1))-AVERAGE(OFFSET($H$3,0,0,'Données projet'!$E$9+1,1))</f>
        <v>291.44524568678776</v>
      </c>
      <c r="T178" s="60">
        <f t="shared" si="142"/>
        <v>136.43373205899937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-2.9558577807620169E-14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300.72820267660154</v>
      </c>
      <c r="AO178" s="60">
        <f t="shared" si="144"/>
        <v>228.35388778608589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221.18884567967481</v>
      </c>
      <c r="BJ178" s="60">
        <f t="shared" si="146"/>
        <v>189.31596996710888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314.72063458462026</v>
      </c>
      <c r="CE178" s="60">
        <f t="shared" si="148"/>
        <v>216.4380325968244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-3.979039320256561E-13</v>
      </c>
      <c r="CU178" s="18">
        <f>CT178*VLOOKUP('Données projet'!$B$13,Paramètres!$A$1:$I$89,3,0)*VLOOKUP('Données projet'!$B$13,Paramètres!$A$1:$I$89,5,0)</f>
        <v>-4.2830379243241627E-13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465.51503238626822</v>
      </c>
      <c r="CZ178" s="60">
        <f t="shared" si="150"/>
        <v>205.55320107663496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-3.979039320256561E-13</v>
      </c>
      <c r="DP178" s="18">
        <f>DO178*VLOOKUP('Données projet'!$B$14,Paramètres!$A$1:$I$89,3,0)*VLOOKUP('Données projet'!$B$14,Paramètres!$A$1:$I$89,5,0)</f>
        <v>-3.41401573678013E-13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393.79546872270964</v>
      </c>
      <c r="DU178" s="60">
        <f t="shared" si="152"/>
        <v>179.7333990060757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135.66666666666666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9.3109520094003535E-14</v>
      </c>
      <c r="P179" s="14">
        <f t="shared" si="141"/>
        <v>1.4104420303656732E-12</v>
      </c>
      <c r="Q179" s="22">
        <f t="shared" si="162"/>
        <v>2.6186856170506036E-12</v>
      </c>
      <c r="R179" s="60">
        <f t="shared" si="109"/>
        <v>286.92967690690244</v>
      </c>
      <c r="S179" s="60">
        <f ca="1">AVERAGE(OFFSET($R$3,0,0,'Données projet'!$E$9+1,1))-AVERAGE(OFFSET($H$3,0,0,'Données projet'!$E$9+1,1))</f>
        <v>291.44524568678776</v>
      </c>
      <c r="T179" s="60">
        <f t="shared" si="142"/>
        <v>136.43373205899937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-2.9558577807620169E-14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300.72820267660154</v>
      </c>
      <c r="AO179" s="60">
        <f t="shared" si="144"/>
        <v>228.35388778608589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221.18884567967481</v>
      </c>
      <c r="BJ179" s="60">
        <f t="shared" si="146"/>
        <v>189.31596996710888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314.72063458462026</v>
      </c>
      <c r="CE179" s="60">
        <f t="shared" si="148"/>
        <v>216.4380325968244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-3.979039320256561E-13</v>
      </c>
      <c r="CU179" s="18">
        <f>CT179*VLOOKUP('Données projet'!$B$13,Paramètres!$A$1:$I$89,3,0)*VLOOKUP('Données projet'!$B$13,Paramètres!$A$1:$I$89,5,0)</f>
        <v>-4.2830379243241627E-13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465.51503238626822</v>
      </c>
      <c r="CZ179" s="60">
        <f t="shared" si="150"/>
        <v>205.55320107663496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-3.979039320256561E-13</v>
      </c>
      <c r="DP179" s="18">
        <f>DO179*VLOOKUP('Données projet'!$B$14,Paramètres!$A$1:$I$89,3,0)*VLOOKUP('Données projet'!$B$14,Paramètres!$A$1:$I$89,5,0)</f>
        <v>-3.41401573678013E-13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393.79546872270964</v>
      </c>
      <c r="DU179" s="60">
        <f t="shared" si="152"/>
        <v>179.7333990060757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135.66666666666666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9.3109520094003535E-14</v>
      </c>
      <c r="P180" s="14">
        <f t="shared" si="141"/>
        <v>1.4104420303656732E-12</v>
      </c>
      <c r="Q180" s="22">
        <f t="shared" si="162"/>
        <v>2.6186856170506036E-12</v>
      </c>
      <c r="R180" s="60">
        <f t="shared" si="109"/>
        <v>287.04076602947003</v>
      </c>
      <c r="S180" s="60">
        <f ca="1">AVERAGE(OFFSET($R$3,0,0,'Données projet'!$E$9+1,1))-AVERAGE(OFFSET($H$3,0,0,'Données projet'!$E$9+1,1))</f>
        <v>291.44524568678776</v>
      </c>
      <c r="T180" s="60">
        <f t="shared" si="142"/>
        <v>136.43373205899937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-2.9558577807620169E-14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300.72820267660154</v>
      </c>
      <c r="AO180" s="60">
        <f t="shared" si="144"/>
        <v>228.35388778608589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221.18884567967481</v>
      </c>
      <c r="BJ180" s="60">
        <f t="shared" si="146"/>
        <v>189.31596996710888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314.72063458462026</v>
      </c>
      <c r="CE180" s="60">
        <f t="shared" si="148"/>
        <v>216.4380325968244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-3.979039320256561E-13</v>
      </c>
      <c r="CU180" s="18">
        <f>CT180*VLOOKUP('Données projet'!$B$13,Paramètres!$A$1:$I$89,3,0)*VLOOKUP('Données projet'!$B$13,Paramètres!$A$1:$I$89,5,0)</f>
        <v>-4.2830379243241627E-13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465.51503238626822</v>
      </c>
      <c r="CZ180" s="60">
        <f t="shared" si="150"/>
        <v>205.55320107663496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-3.979039320256561E-13</v>
      </c>
      <c r="DP180" s="18">
        <f>DO180*VLOOKUP('Données projet'!$B$14,Paramètres!$A$1:$I$89,3,0)*VLOOKUP('Données projet'!$B$14,Paramètres!$A$1:$I$89,5,0)</f>
        <v>-3.41401573678013E-13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393.79546872270964</v>
      </c>
      <c r="DU180" s="60">
        <f t="shared" si="152"/>
        <v>179.7333990060757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135.66666666666666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9.3109520094003535E-14</v>
      </c>
      <c r="P181" s="14">
        <f t="shared" si="141"/>
        <v>1.4104420303656732E-12</v>
      </c>
      <c r="Q181" s="22">
        <f t="shared" si="162"/>
        <v>2.6186856170506036E-12</v>
      </c>
      <c r="R181" s="60">
        <f t="shared" si="109"/>
        <v>287.1499280041192</v>
      </c>
      <c r="S181" s="60">
        <f ca="1">AVERAGE(OFFSET($R$3,0,0,'Données projet'!$E$9+1,1))-AVERAGE(OFFSET($H$3,0,0,'Données projet'!$E$9+1,1))</f>
        <v>291.44524568678776</v>
      </c>
      <c r="T181" s="60">
        <f t="shared" si="142"/>
        <v>136.43373205899937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-2.9558577807620169E-14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300.72820267660154</v>
      </c>
      <c r="AO181" s="60">
        <f t="shared" si="144"/>
        <v>228.35388778608589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221.18884567967481</v>
      </c>
      <c r="BJ181" s="60">
        <f t="shared" si="146"/>
        <v>189.31596996710888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314.72063458462026</v>
      </c>
      <c r="CE181" s="60">
        <f t="shared" si="148"/>
        <v>216.4380325968244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-3.979039320256561E-13</v>
      </c>
      <c r="CU181" s="18">
        <f>CT181*VLOOKUP('Données projet'!$B$13,Paramètres!$A$1:$I$89,3,0)*VLOOKUP('Données projet'!$B$13,Paramètres!$A$1:$I$89,5,0)</f>
        <v>-4.2830379243241627E-13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465.51503238626822</v>
      </c>
      <c r="CZ181" s="60">
        <f t="shared" si="150"/>
        <v>205.55320107663496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-3.979039320256561E-13</v>
      </c>
      <c r="DP181" s="18">
        <f>DO181*VLOOKUP('Données projet'!$B$14,Paramètres!$A$1:$I$89,3,0)*VLOOKUP('Données projet'!$B$14,Paramètres!$A$1:$I$89,5,0)</f>
        <v>-3.41401573678013E-13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393.79546872270964</v>
      </c>
      <c r="DU181" s="60">
        <f t="shared" si="152"/>
        <v>179.7333990060757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135.66666666666666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9.3109520094003535E-14</v>
      </c>
      <c r="P182" s="14">
        <f t="shared" si="141"/>
        <v>1.4104420303656732E-12</v>
      </c>
      <c r="Q182" s="22">
        <f t="shared" si="162"/>
        <v>2.6186856170506036E-12</v>
      </c>
      <c r="R182" s="60">
        <f t="shared" si="109"/>
        <v>287.25719626255773</v>
      </c>
      <c r="S182" s="60">
        <f ca="1">AVERAGE(OFFSET($R$3,0,0,'Données projet'!$E$9+1,1))-AVERAGE(OFFSET($H$3,0,0,'Données projet'!$E$9+1,1))</f>
        <v>291.44524568678776</v>
      </c>
      <c r="T182" s="60">
        <f t="shared" si="142"/>
        <v>136.43373205899937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-2.9558577807620169E-14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300.72820267660154</v>
      </c>
      <c r="AO182" s="60">
        <f t="shared" si="144"/>
        <v>228.35388778608589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221.18884567967481</v>
      </c>
      <c r="BJ182" s="60">
        <f t="shared" si="146"/>
        <v>189.31596996710888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314.72063458462026</v>
      </c>
      <c r="CE182" s="60">
        <f t="shared" si="148"/>
        <v>216.4380325968244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-3.979039320256561E-13</v>
      </c>
      <c r="CU182" s="18">
        <f>CT182*VLOOKUP('Données projet'!$B$13,Paramètres!$A$1:$I$89,3,0)*VLOOKUP('Données projet'!$B$13,Paramètres!$A$1:$I$89,5,0)</f>
        <v>-4.2830379243241627E-13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465.51503238626822</v>
      </c>
      <c r="CZ182" s="60">
        <f t="shared" si="150"/>
        <v>205.55320107663496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-3.979039320256561E-13</v>
      </c>
      <c r="DP182" s="18">
        <f>DO182*VLOOKUP('Données projet'!$B$14,Paramètres!$A$1:$I$89,3,0)*VLOOKUP('Données projet'!$B$14,Paramètres!$A$1:$I$89,5,0)</f>
        <v>-3.41401573678013E-13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393.79546872270964</v>
      </c>
      <c r="DU182" s="60">
        <f t="shared" si="152"/>
        <v>179.7333990060757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135.66666666666666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9.3109520094003535E-14</v>
      </c>
      <c r="P183" s="14">
        <f t="shared" si="141"/>
        <v>1.4104420303656732E-12</v>
      </c>
      <c r="Q183" s="22">
        <f t="shared" si="162"/>
        <v>2.6186856170506036E-12</v>
      </c>
      <c r="R183" s="60">
        <f t="shared" si="109"/>
        <v>287.36260365652834</v>
      </c>
      <c r="S183" s="60">
        <f ca="1">AVERAGE(OFFSET($R$3,0,0,'Données projet'!$E$9+1,1))-AVERAGE(OFFSET($H$3,0,0,'Données projet'!$E$9+1,1))</f>
        <v>291.44524568678776</v>
      </c>
      <c r="T183" s="60">
        <f t="shared" si="142"/>
        <v>136.43373205899937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-2.9558577807620169E-14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300.72820267660154</v>
      </c>
      <c r="AO183" s="60">
        <f t="shared" si="144"/>
        <v>228.35388778608589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221.18884567967481</v>
      </c>
      <c r="BJ183" s="60">
        <f t="shared" si="146"/>
        <v>189.31596996710888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314.72063458462026</v>
      </c>
      <c r="CE183" s="60">
        <f t="shared" si="148"/>
        <v>216.4380325968244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-3.979039320256561E-13</v>
      </c>
      <c r="CU183" s="18">
        <f>CT183*VLOOKUP('Données projet'!$B$13,Paramètres!$A$1:$I$89,3,0)*VLOOKUP('Données projet'!$B$13,Paramètres!$A$1:$I$89,5,0)</f>
        <v>-4.2830379243241627E-13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465.51503238626822</v>
      </c>
      <c r="CZ183" s="60">
        <f t="shared" si="150"/>
        <v>205.55320107663496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-3.979039320256561E-13</v>
      </c>
      <c r="DP183" s="18">
        <f>DO183*VLOOKUP('Données projet'!$B$14,Paramètres!$A$1:$I$89,3,0)*VLOOKUP('Données projet'!$B$14,Paramètres!$A$1:$I$89,5,0)</f>
        <v>-3.41401573678013E-13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393.79546872270964</v>
      </c>
      <c r="DU183" s="60">
        <f t="shared" si="152"/>
        <v>179.7333990060757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135.66666666666666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9.3109520094003535E-14</v>
      </c>
      <c r="P184" s="14">
        <f t="shared" si="141"/>
        <v>1.4104420303656732E-12</v>
      </c>
      <c r="Q184" s="22">
        <f t="shared" si="162"/>
        <v>2.6186856170506036E-12</v>
      </c>
      <c r="R184" s="60">
        <f t="shared" si="109"/>
        <v>287.46618246786915</v>
      </c>
      <c r="S184" s="60">
        <f ca="1">AVERAGE(OFFSET($R$3,0,0,'Données projet'!$E$9+1,1))-AVERAGE(OFFSET($H$3,0,0,'Données projet'!$E$9+1,1))</f>
        <v>291.44524568678776</v>
      </c>
      <c r="T184" s="60">
        <f t="shared" si="142"/>
        <v>136.43373205899937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-2.9558577807620169E-14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300.72820267660154</v>
      </c>
      <c r="AO184" s="60">
        <f t="shared" si="144"/>
        <v>228.35388778608589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221.18884567967481</v>
      </c>
      <c r="BJ184" s="60">
        <f t="shared" si="146"/>
        <v>189.31596996710888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314.72063458462026</v>
      </c>
      <c r="CE184" s="60">
        <f t="shared" si="148"/>
        <v>216.4380325968244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-3.979039320256561E-13</v>
      </c>
      <c r="CU184" s="18">
        <f>CT184*VLOOKUP('Données projet'!$B$13,Paramètres!$A$1:$I$89,3,0)*VLOOKUP('Données projet'!$B$13,Paramètres!$A$1:$I$89,5,0)</f>
        <v>-4.2830379243241627E-13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465.51503238626822</v>
      </c>
      <c r="CZ184" s="60">
        <f t="shared" si="150"/>
        <v>205.55320107663496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-3.979039320256561E-13</v>
      </c>
      <c r="DP184" s="18">
        <f>DO184*VLOOKUP('Données projet'!$B$14,Paramètres!$A$1:$I$89,3,0)*VLOOKUP('Données projet'!$B$14,Paramètres!$A$1:$I$89,5,0)</f>
        <v>-3.41401573678013E-13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393.79546872270964</v>
      </c>
      <c r="DU184" s="60">
        <f t="shared" si="152"/>
        <v>179.7333990060757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135.66666666666666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9.3109520094003535E-14</v>
      </c>
      <c r="P185" s="14">
        <f t="shared" si="141"/>
        <v>1.4104420303656732E-12</v>
      </c>
      <c r="Q185" s="22">
        <f t="shared" si="162"/>
        <v>2.6186856170506036E-12</v>
      </c>
      <c r="R185" s="60">
        <f t="shared" si="109"/>
        <v>287.56796441840072</v>
      </c>
      <c r="S185" s="60">
        <f ca="1">AVERAGE(OFFSET($R$3,0,0,'Données projet'!$E$9+1,1))-AVERAGE(OFFSET($H$3,0,0,'Données projet'!$E$9+1,1))</f>
        <v>291.44524568678776</v>
      </c>
      <c r="T185" s="60">
        <f t="shared" si="142"/>
        <v>136.43373205899937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-2.9558577807620169E-14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300.72820267660154</v>
      </c>
      <c r="AO185" s="60">
        <f t="shared" si="144"/>
        <v>228.35388778608589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221.18884567967481</v>
      </c>
      <c r="BJ185" s="60">
        <f t="shared" si="146"/>
        <v>189.31596996710888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314.72063458462026</v>
      </c>
      <c r="CE185" s="60">
        <f t="shared" si="148"/>
        <v>216.4380325968244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-3.979039320256561E-13</v>
      </c>
      <c r="CU185" s="18">
        <f>CT185*VLOOKUP('Données projet'!$B$13,Paramètres!$A$1:$I$89,3,0)*VLOOKUP('Données projet'!$B$13,Paramètres!$A$1:$I$89,5,0)</f>
        <v>-4.2830379243241627E-13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465.51503238626822</v>
      </c>
      <c r="CZ185" s="60">
        <f t="shared" si="150"/>
        <v>205.55320107663496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-3.979039320256561E-13</v>
      </c>
      <c r="DP185" s="18">
        <f>DO185*VLOOKUP('Données projet'!$B$14,Paramètres!$A$1:$I$89,3,0)*VLOOKUP('Données projet'!$B$14,Paramètres!$A$1:$I$89,5,0)</f>
        <v>-3.41401573678013E-13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393.79546872270964</v>
      </c>
      <c r="DU185" s="60">
        <f t="shared" si="152"/>
        <v>179.7333990060757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135.66666666666666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9.3109520094003535E-14</v>
      </c>
      <c r="P186" s="14">
        <f t="shared" si="141"/>
        <v>1.4104420303656732E-12</v>
      </c>
      <c r="Q186" s="22">
        <f t="shared" si="162"/>
        <v>2.6186856170506036E-12</v>
      </c>
      <c r="R186" s="60">
        <f t="shared" si="109"/>
        <v>287.66798067964095</v>
      </c>
      <c r="S186" s="60">
        <f ca="1">AVERAGE(OFFSET($R$3,0,0,'Données projet'!$E$9+1,1))-AVERAGE(OFFSET($H$3,0,0,'Données projet'!$E$9+1,1))</f>
        <v>291.44524568678776</v>
      </c>
      <c r="T186" s="60">
        <f t="shared" si="142"/>
        <v>136.43373205899937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-2.9558577807620169E-14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300.72820267660154</v>
      </c>
      <c r="AO186" s="60">
        <f t="shared" si="144"/>
        <v>228.35388778608589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221.18884567967481</v>
      </c>
      <c r="BJ186" s="60">
        <f t="shared" si="146"/>
        <v>189.31596996710888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314.72063458462026</v>
      </c>
      <c r="CE186" s="60">
        <f t="shared" si="148"/>
        <v>216.4380325968244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-3.979039320256561E-13</v>
      </c>
      <c r="CU186" s="18">
        <f>CT186*VLOOKUP('Données projet'!$B$13,Paramètres!$A$1:$I$89,3,0)*VLOOKUP('Données projet'!$B$13,Paramètres!$A$1:$I$89,5,0)</f>
        <v>-4.2830379243241627E-13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465.51503238626822</v>
      </c>
      <c r="CZ186" s="60">
        <f t="shared" si="150"/>
        <v>205.55320107663496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-3.979039320256561E-13</v>
      </c>
      <c r="DP186" s="18">
        <f>DO186*VLOOKUP('Données projet'!$B$14,Paramètres!$A$1:$I$89,3,0)*VLOOKUP('Données projet'!$B$14,Paramètres!$A$1:$I$89,5,0)</f>
        <v>-3.41401573678013E-13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393.79546872270964</v>
      </c>
      <c r="DU186" s="60">
        <f t="shared" si="152"/>
        <v>179.7333990060757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135.66666666666666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9.3109520094003535E-14</v>
      </c>
      <c r="P187" s="14">
        <f t="shared" si="141"/>
        <v>1.4104420303656732E-12</v>
      </c>
      <c r="Q187" s="22">
        <f t="shared" si="162"/>
        <v>2.6186856170506036E-12</v>
      </c>
      <c r="R187" s="60">
        <f t="shared" si="109"/>
        <v>287.76626188235144</v>
      </c>
      <c r="S187" s="60">
        <f ca="1">AVERAGE(OFFSET($R$3,0,0,'Données projet'!$E$9+1,1))-AVERAGE(OFFSET($H$3,0,0,'Données projet'!$E$9+1,1))</f>
        <v>291.44524568678776</v>
      </c>
      <c r="T187" s="60">
        <f t="shared" si="142"/>
        <v>136.43373205899937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-2.9558577807620169E-14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300.72820267660154</v>
      </c>
      <c r="AO187" s="60">
        <f t="shared" si="144"/>
        <v>228.35388778608589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221.18884567967481</v>
      </c>
      <c r="BJ187" s="60">
        <f t="shared" si="146"/>
        <v>189.31596996710888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314.72063458462026</v>
      </c>
      <c r="CE187" s="60">
        <f t="shared" si="148"/>
        <v>216.4380325968244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-3.979039320256561E-13</v>
      </c>
      <c r="CU187" s="18">
        <f>CT187*VLOOKUP('Données projet'!$B$13,Paramètres!$A$1:$I$89,3,0)*VLOOKUP('Données projet'!$B$13,Paramètres!$A$1:$I$89,5,0)</f>
        <v>-4.2830379243241627E-13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465.51503238626822</v>
      </c>
      <c r="CZ187" s="60">
        <f t="shared" si="150"/>
        <v>205.55320107663496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-3.979039320256561E-13</v>
      </c>
      <c r="DP187" s="18">
        <f>DO187*VLOOKUP('Données projet'!$B$14,Paramètres!$A$1:$I$89,3,0)*VLOOKUP('Données projet'!$B$14,Paramètres!$A$1:$I$89,5,0)</f>
        <v>-3.41401573678013E-13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393.79546872270964</v>
      </c>
      <c r="DU187" s="60">
        <f t="shared" si="152"/>
        <v>179.7333990060757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135.66666666666666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9.3109520094003535E-14</v>
      </c>
      <c r="P188" s="14">
        <f t="shared" si="141"/>
        <v>1.4104420303656732E-12</v>
      </c>
      <c r="Q188" s="22">
        <f t="shared" si="162"/>
        <v>2.6186856170506036E-12</v>
      </c>
      <c r="R188" s="60">
        <f t="shared" si="109"/>
        <v>287.86283812591887</v>
      </c>
      <c r="S188" s="60">
        <f ca="1">AVERAGE(OFFSET($R$3,0,0,'Données projet'!$E$9+1,1))-AVERAGE(OFFSET($H$3,0,0,'Données projet'!$E$9+1,1))</f>
        <v>291.44524568678776</v>
      </c>
      <c r="T188" s="60">
        <f t="shared" si="142"/>
        <v>136.43373205899937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-2.9558577807620169E-14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300.72820267660154</v>
      </c>
      <c r="AO188" s="60">
        <f t="shared" si="144"/>
        <v>228.35388778608589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221.18884567967481</v>
      </c>
      <c r="BJ188" s="60">
        <f t="shared" si="146"/>
        <v>189.31596996710888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314.72063458462026</v>
      </c>
      <c r="CE188" s="60">
        <f t="shared" si="148"/>
        <v>216.4380325968244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-3.979039320256561E-13</v>
      </c>
      <c r="CU188" s="18">
        <f>CT188*VLOOKUP('Données projet'!$B$13,Paramètres!$A$1:$I$89,3,0)*VLOOKUP('Données projet'!$B$13,Paramètres!$A$1:$I$89,5,0)</f>
        <v>-4.2830379243241627E-13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465.51503238626822</v>
      </c>
      <c r="CZ188" s="60">
        <f t="shared" si="150"/>
        <v>205.55320107663496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-3.979039320256561E-13</v>
      </c>
      <c r="DP188" s="18">
        <f>DO188*VLOOKUP('Données projet'!$B$14,Paramètres!$A$1:$I$89,3,0)*VLOOKUP('Données projet'!$B$14,Paramètres!$A$1:$I$89,5,0)</f>
        <v>-3.41401573678013E-13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393.79546872270964</v>
      </c>
      <c r="DU188" s="60">
        <f t="shared" si="152"/>
        <v>179.7333990060757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135.66666666666666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9.3109520094003535E-14</v>
      </c>
      <c r="P189" s="14">
        <f t="shared" si="141"/>
        <v>1.4104420303656732E-12</v>
      </c>
      <c r="Q189" s="22">
        <f t="shared" si="162"/>
        <v>2.6186856170506036E-12</v>
      </c>
      <c r="R189" s="60">
        <f t="shared" si="109"/>
        <v>287.95773898757244</v>
      </c>
      <c r="S189" s="60">
        <f ca="1">AVERAGE(OFFSET($R$3,0,0,'Données projet'!$E$9+1,1))-AVERAGE(OFFSET($H$3,0,0,'Données projet'!$E$9+1,1))</f>
        <v>291.44524568678776</v>
      </c>
      <c r="T189" s="60">
        <f t="shared" si="142"/>
        <v>136.43373205899937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-2.9558577807620169E-14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300.72820267660154</v>
      </c>
      <c r="AO189" s="60">
        <f t="shared" si="144"/>
        <v>228.35388778608589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221.18884567967481</v>
      </c>
      <c r="BJ189" s="60">
        <f t="shared" si="146"/>
        <v>189.31596996710888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314.72063458462026</v>
      </c>
      <c r="CE189" s="60">
        <f t="shared" si="148"/>
        <v>216.4380325968244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-3.979039320256561E-13</v>
      </c>
      <c r="CU189" s="18">
        <f>CT189*VLOOKUP('Données projet'!$B$13,Paramètres!$A$1:$I$89,3,0)*VLOOKUP('Données projet'!$B$13,Paramètres!$A$1:$I$89,5,0)</f>
        <v>-4.2830379243241627E-13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465.51503238626822</v>
      </c>
      <c r="CZ189" s="60">
        <f t="shared" si="150"/>
        <v>205.55320107663496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-3.979039320256561E-13</v>
      </c>
      <c r="DP189" s="18">
        <f>DO189*VLOOKUP('Données projet'!$B$14,Paramètres!$A$1:$I$89,3,0)*VLOOKUP('Données projet'!$B$14,Paramètres!$A$1:$I$89,5,0)</f>
        <v>-3.41401573678013E-13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393.79546872270964</v>
      </c>
      <c r="DU189" s="60">
        <f t="shared" si="152"/>
        <v>179.7333990060757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135.66666666666666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9.3109520094003535E-14</v>
      </c>
      <c r="P190" s="14">
        <f t="shared" si="141"/>
        <v>1.4104420303656732E-12</v>
      </c>
      <c r="Q190" s="22">
        <f t="shared" si="162"/>
        <v>2.6186856170506036E-12</v>
      </c>
      <c r="R190" s="60">
        <f t="shared" si="109"/>
        <v>288.050993531443</v>
      </c>
      <c r="S190" s="60">
        <f ca="1">AVERAGE(OFFSET($R$3,0,0,'Données projet'!$E$9+1,1))-AVERAGE(OFFSET($H$3,0,0,'Données projet'!$E$9+1,1))</f>
        <v>291.44524568678776</v>
      </c>
      <c r="T190" s="60">
        <f t="shared" si="142"/>
        <v>136.43373205899937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-2.9558577807620169E-14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300.72820267660154</v>
      </c>
      <c r="AO190" s="60">
        <f t="shared" si="144"/>
        <v>228.35388778608589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221.18884567967481</v>
      </c>
      <c r="BJ190" s="60">
        <f t="shared" si="146"/>
        <v>189.31596996710888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314.72063458462026</v>
      </c>
      <c r="CE190" s="60">
        <f t="shared" si="148"/>
        <v>216.4380325968244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-3.979039320256561E-13</v>
      </c>
      <c r="CU190" s="18">
        <f>CT190*VLOOKUP('Données projet'!$B$13,Paramètres!$A$1:$I$89,3,0)*VLOOKUP('Données projet'!$B$13,Paramètres!$A$1:$I$89,5,0)</f>
        <v>-4.2830379243241627E-13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465.51503238626822</v>
      </c>
      <c r="CZ190" s="60">
        <f t="shared" si="150"/>
        <v>205.55320107663496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-3.979039320256561E-13</v>
      </c>
      <c r="DP190" s="18">
        <f>DO190*VLOOKUP('Données projet'!$B$14,Paramètres!$A$1:$I$89,3,0)*VLOOKUP('Données projet'!$B$14,Paramètres!$A$1:$I$89,5,0)</f>
        <v>-3.41401573678013E-13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393.79546872270964</v>
      </c>
      <c r="DU190" s="60">
        <f t="shared" si="152"/>
        <v>179.7333990060757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135.66666666666666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9.3109520094003535E-14</v>
      </c>
      <c r="P191" s="14">
        <f t="shared" si="141"/>
        <v>1.4104420303656732E-12</v>
      </c>
      <c r="Q191" s="22">
        <f t="shared" si="162"/>
        <v>2.6186856170506036E-12</v>
      </c>
      <c r="R191" s="60">
        <f t="shared" si="109"/>
        <v>288.14263031746322</v>
      </c>
      <c r="S191" s="60">
        <f ca="1">AVERAGE(OFFSET($R$3,0,0,'Données projet'!$E$9+1,1))-AVERAGE(OFFSET($H$3,0,0,'Données projet'!$E$9+1,1))</f>
        <v>291.44524568678776</v>
      </c>
      <c r="T191" s="60">
        <f t="shared" si="142"/>
        <v>136.43373205899937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-2.9558577807620169E-14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300.72820267660154</v>
      </c>
      <c r="AO191" s="60">
        <f t="shared" si="144"/>
        <v>228.35388778608589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221.18884567967481</v>
      </c>
      <c r="BJ191" s="60">
        <f t="shared" si="146"/>
        <v>189.31596996710888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314.72063458462026</v>
      </c>
      <c r="CE191" s="60">
        <f t="shared" si="148"/>
        <v>216.4380325968244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-3.979039320256561E-13</v>
      </c>
      <c r="CU191" s="18">
        <f>CT191*VLOOKUP('Données projet'!$B$13,Paramètres!$A$1:$I$89,3,0)*VLOOKUP('Données projet'!$B$13,Paramètres!$A$1:$I$89,5,0)</f>
        <v>-4.2830379243241627E-13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465.51503238626822</v>
      </c>
      <c r="CZ191" s="60">
        <f t="shared" si="150"/>
        <v>205.55320107663496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-3.979039320256561E-13</v>
      </c>
      <c r="DP191" s="18">
        <f>DO191*VLOOKUP('Données projet'!$B$14,Paramètres!$A$1:$I$89,3,0)*VLOOKUP('Données projet'!$B$14,Paramètres!$A$1:$I$89,5,0)</f>
        <v>-3.41401573678013E-13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393.79546872270964</v>
      </c>
      <c r="DU191" s="60">
        <f t="shared" si="152"/>
        <v>179.7333990060757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135.66666666666666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9.3109520094003535E-14</v>
      </c>
      <c r="P192" s="14">
        <f t="shared" si="141"/>
        <v>1.4104420303656732E-12</v>
      </c>
      <c r="Q192" s="22">
        <f t="shared" si="162"/>
        <v>2.6186856170506036E-12</v>
      </c>
      <c r="R192" s="60">
        <f t="shared" si="109"/>
        <v>288.23267741011517</v>
      </c>
      <c r="S192" s="60">
        <f ca="1">AVERAGE(OFFSET($R$3,0,0,'Données projet'!$E$9+1,1))-AVERAGE(OFFSET($H$3,0,0,'Données projet'!$E$9+1,1))</f>
        <v>291.44524568678776</v>
      </c>
      <c r="T192" s="60">
        <f t="shared" si="142"/>
        <v>136.43373205899937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-2.9558577807620169E-14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300.72820267660154</v>
      </c>
      <c r="AO192" s="60">
        <f t="shared" si="144"/>
        <v>228.35388778608589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221.18884567967481</v>
      </c>
      <c r="BJ192" s="60">
        <f t="shared" si="146"/>
        <v>189.31596996710888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314.72063458462026</v>
      </c>
      <c r="CE192" s="60">
        <f t="shared" si="148"/>
        <v>216.4380325968244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-3.979039320256561E-13</v>
      </c>
      <c r="CU192" s="18">
        <f>CT192*VLOOKUP('Données projet'!$B$13,Paramètres!$A$1:$I$89,3,0)*VLOOKUP('Données projet'!$B$13,Paramètres!$A$1:$I$89,5,0)</f>
        <v>-4.2830379243241627E-13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465.51503238626822</v>
      </c>
      <c r="CZ192" s="60">
        <f t="shared" si="150"/>
        <v>205.55320107663496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-3.979039320256561E-13</v>
      </c>
      <c r="DP192" s="18">
        <f>DO192*VLOOKUP('Données projet'!$B$14,Paramètres!$A$1:$I$89,3,0)*VLOOKUP('Données projet'!$B$14,Paramètres!$A$1:$I$89,5,0)</f>
        <v>-3.41401573678013E-13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393.79546872270964</v>
      </c>
      <c r="DU192" s="60">
        <f t="shared" si="152"/>
        <v>179.7333990060757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135.66666666666666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9.3109520094003535E-14</v>
      </c>
      <c r="P193" s="14">
        <f t="shared" si="141"/>
        <v>1.4104420303656732E-12</v>
      </c>
      <c r="Q193" s="22">
        <f t="shared" si="162"/>
        <v>2.6186856170506036E-12</v>
      </c>
      <c r="R193" s="60">
        <f t="shared" si="109"/>
        <v>288.32116238702474</v>
      </c>
      <c r="S193" s="60">
        <f ca="1">AVERAGE(OFFSET($R$3,0,0,'Données projet'!$E$9+1,1))-AVERAGE(OFFSET($H$3,0,0,'Données projet'!$E$9+1,1))</f>
        <v>291.44524568678776</v>
      </c>
      <c r="T193" s="60">
        <f t="shared" si="142"/>
        <v>136.43373205899937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-2.9558577807620169E-14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300.72820267660154</v>
      </c>
      <c r="AO193" s="60">
        <f t="shared" si="144"/>
        <v>228.35388778608589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221.18884567967481</v>
      </c>
      <c r="BJ193" s="60">
        <f t="shared" si="146"/>
        <v>189.31596996710888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314.72063458462026</v>
      </c>
      <c r="CE193" s="60">
        <f t="shared" si="148"/>
        <v>216.4380325968244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-3.979039320256561E-13</v>
      </c>
      <c r="CU193" s="18">
        <f>CT193*VLOOKUP('Données projet'!$B$13,Paramètres!$A$1:$I$89,3,0)*VLOOKUP('Données projet'!$B$13,Paramètres!$A$1:$I$89,5,0)</f>
        <v>-4.2830379243241627E-13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465.51503238626822</v>
      </c>
      <c r="CZ193" s="60">
        <f t="shared" si="150"/>
        <v>205.55320107663496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-3.979039320256561E-13</v>
      </c>
      <c r="DP193" s="18">
        <f>DO193*VLOOKUP('Données projet'!$B$14,Paramètres!$A$1:$I$89,3,0)*VLOOKUP('Données projet'!$B$14,Paramètres!$A$1:$I$89,5,0)</f>
        <v>-3.41401573678013E-13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393.79546872270964</v>
      </c>
      <c r="DU193" s="60">
        <f t="shared" si="152"/>
        <v>179.7333990060757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135.66666666666666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9.3109520094003535E-14</v>
      </c>
      <c r="P194" s="14">
        <f t="shared" si="141"/>
        <v>1.4104420303656732E-12</v>
      </c>
      <c r="Q194" s="22">
        <f t="shared" si="162"/>
        <v>2.6186856170506036E-12</v>
      </c>
      <c r="R194" s="60">
        <f t="shared" si="109"/>
        <v>288.40811234740772</v>
      </c>
      <c r="S194" s="60">
        <f ca="1">AVERAGE(OFFSET($R$3,0,0,'Données projet'!$E$9+1,1))-AVERAGE(OFFSET($H$3,0,0,'Données projet'!$E$9+1,1))</f>
        <v>291.44524568678776</v>
      </c>
      <c r="T194" s="60">
        <f t="shared" si="142"/>
        <v>136.43373205899937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-2.9558577807620169E-14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300.72820267660154</v>
      </c>
      <c r="AO194" s="60">
        <f t="shared" si="144"/>
        <v>228.35388778608589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221.18884567967481</v>
      </c>
      <c r="BJ194" s="60">
        <f t="shared" si="146"/>
        <v>189.31596996710888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314.72063458462026</v>
      </c>
      <c r="CE194" s="60">
        <f t="shared" si="148"/>
        <v>216.4380325968244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-3.979039320256561E-13</v>
      </c>
      <c r="CU194" s="18">
        <f>CT194*VLOOKUP('Données projet'!$B$13,Paramètres!$A$1:$I$89,3,0)*VLOOKUP('Données projet'!$B$13,Paramètres!$A$1:$I$89,5,0)</f>
        <v>-4.2830379243241627E-13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465.51503238626822</v>
      </c>
      <c r="CZ194" s="60">
        <f t="shared" si="150"/>
        <v>205.55320107663496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-3.979039320256561E-13</v>
      </c>
      <c r="DP194" s="18">
        <f>DO194*VLOOKUP('Données projet'!$B$14,Paramètres!$A$1:$I$89,3,0)*VLOOKUP('Données projet'!$B$14,Paramètres!$A$1:$I$89,5,0)</f>
        <v>-3.41401573678013E-13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393.79546872270964</v>
      </c>
      <c r="DU194" s="60">
        <f t="shared" si="152"/>
        <v>179.7333990060757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135.66666666666666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9.3109520094003535E-14</v>
      </c>
      <c r="P195" s="14">
        <f t="shared" si="141"/>
        <v>1.4104420303656732E-12</v>
      </c>
      <c r="Q195" s="22">
        <f t="shared" si="162"/>
        <v>2.6186856170506036E-12</v>
      </c>
      <c r="R195" s="60">
        <f t="shared" ref="R195:R203" si="191">Q195+(I195+J195)*44/12</f>
        <v>288.49355392036904</v>
      </c>
      <c r="S195" s="60">
        <f ca="1">AVERAGE(OFFSET($R$3,0,0,'Données projet'!$E$9+1,1))-AVERAGE(OFFSET($H$3,0,0,'Données projet'!$E$9+1,1))</f>
        <v>291.44524568678776</v>
      </c>
      <c r="T195" s="60">
        <f t="shared" si="142"/>
        <v>136.43373205899937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-2.9558577807620169E-14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300.72820267660154</v>
      </c>
      <c r="AO195" s="60">
        <f t="shared" si="144"/>
        <v>228.35388778608589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221.18884567967481</v>
      </c>
      <c r="BJ195" s="60">
        <f t="shared" si="146"/>
        <v>189.31596996710888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314.72063458462026</v>
      </c>
      <c r="CE195" s="60">
        <f t="shared" si="148"/>
        <v>216.4380325968244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-3.979039320256561E-13</v>
      </c>
      <c r="CU195" s="18">
        <f>CT195*VLOOKUP('Données projet'!$B$13,Paramètres!$A$1:$I$89,3,0)*VLOOKUP('Données projet'!$B$13,Paramètres!$A$1:$I$89,5,0)</f>
        <v>-4.2830379243241627E-13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465.51503238626822</v>
      </c>
      <c r="CZ195" s="60">
        <f t="shared" si="150"/>
        <v>205.55320107663496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-3.979039320256561E-13</v>
      </c>
      <c r="DP195" s="18">
        <f>DO195*VLOOKUP('Données projet'!$B$14,Paramètres!$A$1:$I$89,3,0)*VLOOKUP('Données projet'!$B$14,Paramètres!$A$1:$I$89,5,0)</f>
        <v>-3.41401573678013E-13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393.79546872270964</v>
      </c>
      <c r="DU195" s="60">
        <f t="shared" si="152"/>
        <v>179.7333990060757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135.66666666666666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9.3109520094003535E-14</v>
      </c>
      <c r="P196" s="14">
        <f t="shared" si="141"/>
        <v>1.4104420303656732E-12</v>
      </c>
      <c r="Q196" s="22">
        <f t="shared" si="162"/>
        <v>2.6186856170506036E-12</v>
      </c>
      <c r="R196" s="60">
        <f t="shared" si="191"/>
        <v>288.57751327305823</v>
      </c>
      <c r="S196" s="60">
        <f ca="1">AVERAGE(OFFSET($R$3,0,0,'Données projet'!$E$9+1,1))-AVERAGE(OFFSET($H$3,0,0,'Données projet'!$E$9+1,1))</f>
        <v>291.44524568678776</v>
      </c>
      <c r="T196" s="60">
        <f t="shared" si="142"/>
        <v>136.43373205899937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-2.9558577807620169E-14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300.72820267660154</v>
      </c>
      <c r="AO196" s="60">
        <f t="shared" si="144"/>
        <v>228.35388778608589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221.18884567967481</v>
      </c>
      <c r="BJ196" s="60">
        <f t="shared" si="146"/>
        <v>189.31596996710888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314.72063458462026</v>
      </c>
      <c r="CE196" s="60">
        <f t="shared" si="148"/>
        <v>216.4380325968244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-3.979039320256561E-13</v>
      </c>
      <c r="CU196" s="18">
        <f>CT196*VLOOKUP('Données projet'!$B$13,Paramètres!$A$1:$I$89,3,0)*VLOOKUP('Données projet'!$B$13,Paramètres!$A$1:$I$89,5,0)</f>
        <v>-4.2830379243241627E-13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465.51503238626822</v>
      </c>
      <c r="CZ196" s="60">
        <f t="shared" si="150"/>
        <v>205.55320107663496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-3.979039320256561E-13</v>
      </c>
      <c r="DP196" s="18">
        <f>DO196*VLOOKUP('Données projet'!$B$14,Paramètres!$A$1:$I$89,3,0)*VLOOKUP('Données projet'!$B$14,Paramètres!$A$1:$I$89,5,0)</f>
        <v>-3.41401573678013E-13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393.79546872270964</v>
      </c>
      <c r="DU196" s="60">
        <f t="shared" si="152"/>
        <v>179.7333990060757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135.66666666666666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9.3109520094003535E-14</v>
      </c>
      <c r="P197" s="14">
        <f t="shared" ref="P197:P203" si="203">EXP(-1.0587+0.8836*LN(O197)+0.284)</f>
        <v>1.4104420303656732E-12</v>
      </c>
      <c r="Q197" s="22">
        <f t="shared" si="162"/>
        <v>2.6186856170506036E-12</v>
      </c>
      <c r="R197" s="60">
        <f t="shared" si="191"/>
        <v>288.66001611868325</v>
      </c>
      <c r="S197" s="60">
        <f ca="1">AVERAGE(OFFSET($R$3,0,0,'Données projet'!$E$9+1,1))-AVERAGE(OFFSET($H$3,0,0,'Données projet'!$E$9+1,1))</f>
        <v>291.44524568678776</v>
      </c>
      <c r="T197" s="60">
        <f t="shared" ref="T197:T203" si="204">$T$3</f>
        <v>136.43373205899937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-2.9558577807620169E-14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300.72820267660154</v>
      </c>
      <c r="AO197" s="60">
        <f t="shared" ref="AO197:AO203" si="205">$AO$3</f>
        <v>228.35388778608589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221.18884567967481</v>
      </c>
      <c r="BJ197" s="60">
        <f t="shared" ref="BJ197:BJ203" si="206">$BJ$3</f>
        <v>189.31596996710888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314.72063458462026</v>
      </c>
      <c r="CE197" s="60">
        <f t="shared" ref="CE197:CE203" si="207">$CE$3</f>
        <v>216.4380325968244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-3.979039320256561E-13</v>
      </c>
      <c r="CU197" s="18">
        <f>CT197*VLOOKUP('Données projet'!$B$13,Paramètres!$A$1:$I$89,3,0)*VLOOKUP('Données projet'!$B$13,Paramètres!$A$1:$I$89,5,0)</f>
        <v>-4.2830379243241627E-13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465.51503238626822</v>
      </c>
      <c r="CZ197" s="60">
        <f t="shared" ref="CZ197:CZ203" si="208">$CZ$3</f>
        <v>205.55320107663496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-3.979039320256561E-13</v>
      </c>
      <c r="DP197" s="18">
        <f>DO197*VLOOKUP('Données projet'!$B$14,Paramètres!$A$1:$I$89,3,0)*VLOOKUP('Données projet'!$B$14,Paramètres!$A$1:$I$89,5,0)</f>
        <v>-3.41401573678013E-13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393.79546872270964</v>
      </c>
      <c r="DU197" s="60">
        <f t="shared" ref="DU197:DU203" si="209">$DU$3</f>
        <v>179.7333990060757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135.66666666666666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9.3109520094003535E-14</v>
      </c>
      <c r="P198" s="14">
        <f t="shared" si="203"/>
        <v>1.4104420303656732E-12</v>
      </c>
      <c r="Q198" s="22">
        <f t="shared" si="162"/>
        <v>2.6186856170506036E-12</v>
      </c>
      <c r="R198" s="60">
        <f t="shared" si="191"/>
        <v>288.74108772438541</v>
      </c>
      <c r="S198" s="60">
        <f ca="1">AVERAGE(OFFSET($R$3,0,0,'Données projet'!$E$9+1,1))-AVERAGE(OFFSET($H$3,0,0,'Données projet'!$E$9+1,1))</f>
        <v>291.44524568678776</v>
      </c>
      <c r="T198" s="60">
        <f t="shared" si="204"/>
        <v>136.43373205899937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-2.9558577807620169E-14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300.72820267660154</v>
      </c>
      <c r="AO198" s="60">
        <f t="shared" si="205"/>
        <v>228.35388778608589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221.18884567967481</v>
      </c>
      <c r="BJ198" s="60">
        <f t="shared" si="206"/>
        <v>189.31596996710888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314.72063458462026</v>
      </c>
      <c r="CE198" s="60">
        <f t="shared" si="207"/>
        <v>216.4380325968244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-3.979039320256561E-13</v>
      </c>
      <c r="CU198" s="18">
        <f>CT198*VLOOKUP('Données projet'!$B$13,Paramètres!$A$1:$I$89,3,0)*VLOOKUP('Données projet'!$B$13,Paramètres!$A$1:$I$89,5,0)</f>
        <v>-4.2830379243241627E-13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465.51503238626822</v>
      </c>
      <c r="CZ198" s="60">
        <f t="shared" si="208"/>
        <v>205.55320107663496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-3.979039320256561E-13</v>
      </c>
      <c r="DP198" s="18">
        <f>DO198*VLOOKUP('Données projet'!$B$14,Paramètres!$A$1:$I$89,3,0)*VLOOKUP('Données projet'!$B$14,Paramètres!$A$1:$I$89,5,0)</f>
        <v>-3.41401573678013E-13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393.79546872270964</v>
      </c>
      <c r="DU198" s="60">
        <f t="shared" si="209"/>
        <v>179.7333990060757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135.66666666666666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9.3109520094003535E-14</v>
      </c>
      <c r="P199" s="14">
        <f t="shared" si="203"/>
        <v>1.4104420303656732E-12</v>
      </c>
      <c r="Q199" s="22">
        <f t="shared" si="162"/>
        <v>2.6186856170506036E-12</v>
      </c>
      <c r="R199" s="60">
        <f t="shared" si="191"/>
        <v>288.82075291897758</v>
      </c>
      <c r="S199" s="60">
        <f ca="1">AVERAGE(OFFSET($R$3,0,0,'Données projet'!$E$9+1,1))-AVERAGE(OFFSET($H$3,0,0,'Données projet'!$E$9+1,1))</f>
        <v>291.44524568678776</v>
      </c>
      <c r="T199" s="60">
        <f t="shared" si="204"/>
        <v>136.43373205899937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-2.9558577807620169E-14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300.72820267660154</v>
      </c>
      <c r="AO199" s="60">
        <f t="shared" si="205"/>
        <v>228.35388778608589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221.18884567967481</v>
      </c>
      <c r="BJ199" s="60">
        <f t="shared" si="206"/>
        <v>189.31596996710888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314.72063458462026</v>
      </c>
      <c r="CE199" s="60">
        <f t="shared" si="207"/>
        <v>216.4380325968244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-3.979039320256561E-13</v>
      </c>
      <c r="CU199" s="18">
        <f>CT199*VLOOKUP('Données projet'!$B$13,Paramètres!$A$1:$I$89,3,0)*VLOOKUP('Données projet'!$B$13,Paramètres!$A$1:$I$89,5,0)</f>
        <v>-4.2830379243241627E-13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465.51503238626822</v>
      </c>
      <c r="CZ199" s="60">
        <f t="shared" si="208"/>
        <v>205.55320107663496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-3.979039320256561E-13</v>
      </c>
      <c r="DP199" s="18">
        <f>DO199*VLOOKUP('Données projet'!$B$14,Paramètres!$A$1:$I$89,3,0)*VLOOKUP('Données projet'!$B$14,Paramètres!$A$1:$I$89,5,0)</f>
        <v>-3.41401573678013E-13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393.79546872270964</v>
      </c>
      <c r="DU199" s="60">
        <f t="shared" si="209"/>
        <v>179.7333990060757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135.66666666666666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9.3109520094003535E-14</v>
      </c>
      <c r="P200" s="14">
        <f t="shared" si="203"/>
        <v>1.4104420303656732E-12</v>
      </c>
      <c r="Q200" s="22">
        <f t="shared" si="162"/>
        <v>2.6186856170506036E-12</v>
      </c>
      <c r="R200" s="60">
        <f t="shared" si="191"/>
        <v>288.89903610054824</v>
      </c>
      <c r="S200" s="60">
        <f ca="1">AVERAGE(OFFSET($R$3,0,0,'Données projet'!$E$9+1,1))-AVERAGE(OFFSET($H$3,0,0,'Données projet'!$E$9+1,1))</f>
        <v>291.44524568678776</v>
      </c>
      <c r="T200" s="60">
        <f t="shared" si="204"/>
        <v>136.43373205899937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-2.9558577807620169E-14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300.72820267660154</v>
      </c>
      <c r="AO200" s="60">
        <f t="shared" si="205"/>
        <v>228.35388778608589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221.18884567967481</v>
      </c>
      <c r="BJ200" s="60">
        <f t="shared" si="206"/>
        <v>189.31596996710888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314.72063458462026</v>
      </c>
      <c r="CE200" s="60">
        <f t="shared" si="207"/>
        <v>216.4380325968244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-3.979039320256561E-13</v>
      </c>
      <c r="CU200" s="18">
        <f>CT200*VLOOKUP('Données projet'!$B$13,Paramètres!$A$1:$I$89,3,0)*VLOOKUP('Données projet'!$B$13,Paramètres!$A$1:$I$89,5,0)</f>
        <v>-4.2830379243241627E-13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465.51503238626822</v>
      </c>
      <c r="CZ200" s="60">
        <f t="shared" si="208"/>
        <v>205.55320107663496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-3.979039320256561E-13</v>
      </c>
      <c r="DP200" s="18">
        <f>DO200*VLOOKUP('Données projet'!$B$14,Paramètres!$A$1:$I$89,3,0)*VLOOKUP('Données projet'!$B$14,Paramètres!$A$1:$I$89,5,0)</f>
        <v>-3.41401573678013E-13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393.79546872270964</v>
      </c>
      <c r="DU200" s="60">
        <f t="shared" si="209"/>
        <v>179.7333990060757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135.66666666666666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9.3109520094003535E-14</v>
      </c>
      <c r="P201" s="14">
        <f t="shared" si="203"/>
        <v>1.4104420303656732E-12</v>
      </c>
      <c r="Q201" s="22">
        <f t="shared" si="162"/>
        <v>2.6186856170506036E-12</v>
      </c>
      <c r="R201" s="60">
        <f t="shared" si="191"/>
        <v>288.97596124393368</v>
      </c>
      <c r="S201" s="60">
        <f ca="1">AVERAGE(OFFSET($R$3,0,0,'Données projet'!$E$9+1,1))-AVERAGE(OFFSET($H$3,0,0,'Données projet'!$E$9+1,1))</f>
        <v>291.44524568678776</v>
      </c>
      <c r="T201" s="60">
        <f t="shared" si="204"/>
        <v>136.43373205899937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-2.9558577807620169E-14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300.72820267660154</v>
      </c>
      <c r="AO201" s="60">
        <f t="shared" si="205"/>
        <v>228.35388778608589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221.18884567967481</v>
      </c>
      <c r="BJ201" s="60">
        <f t="shared" si="206"/>
        <v>189.31596996710888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314.72063458462026</v>
      </c>
      <c r="CE201" s="60">
        <f t="shared" si="207"/>
        <v>216.4380325968244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-3.979039320256561E-13</v>
      </c>
      <c r="CU201" s="18">
        <f>CT201*VLOOKUP('Données projet'!$B$13,Paramètres!$A$1:$I$89,3,0)*VLOOKUP('Données projet'!$B$13,Paramètres!$A$1:$I$89,5,0)</f>
        <v>-4.2830379243241627E-13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465.51503238626822</v>
      </c>
      <c r="CZ201" s="60">
        <f t="shared" si="208"/>
        <v>205.55320107663496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-3.979039320256561E-13</v>
      </c>
      <c r="DP201" s="18">
        <f>DO201*VLOOKUP('Données projet'!$B$14,Paramètres!$A$1:$I$89,3,0)*VLOOKUP('Données projet'!$B$14,Paramètres!$A$1:$I$89,5,0)</f>
        <v>-3.41401573678013E-13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393.79546872270964</v>
      </c>
      <c r="DU201" s="60">
        <f t="shared" si="209"/>
        <v>179.7333990060757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135.66666666666666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9.3109520094003535E-14</v>
      </c>
      <c r="P202" s="14">
        <f t="shared" si="203"/>
        <v>1.4104420303656732E-12</v>
      </c>
      <c r="Q202" s="22">
        <f t="shared" si="162"/>
        <v>2.6186856170506036E-12</v>
      </c>
      <c r="R202" s="60">
        <f t="shared" si="191"/>
        <v>289.05155190806022</v>
      </c>
      <c r="S202" s="60">
        <f ca="1">AVERAGE(OFFSET($R$3,0,0,'Données projet'!$E$9+1,1))-AVERAGE(OFFSET($H$3,0,0,'Données projet'!$E$9+1,1))</f>
        <v>291.44524568678776</v>
      </c>
      <c r="T202" s="60">
        <f t="shared" si="204"/>
        <v>136.43373205899937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-2.9558577807620169E-14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300.72820267660154</v>
      </c>
      <c r="AO202" s="60">
        <f t="shared" si="205"/>
        <v>228.35388778608589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221.18884567967481</v>
      </c>
      <c r="BJ202" s="60">
        <f t="shared" si="206"/>
        <v>189.31596996710888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314.72063458462026</v>
      </c>
      <c r="CE202" s="60">
        <f t="shared" si="207"/>
        <v>216.4380325968244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-3.979039320256561E-13</v>
      </c>
      <c r="CU202" s="18">
        <f>CT202*VLOOKUP('Données projet'!$B$13,Paramètres!$A$1:$I$89,3,0)*VLOOKUP('Données projet'!$B$13,Paramètres!$A$1:$I$89,5,0)</f>
        <v>-4.2830379243241627E-13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465.51503238626822</v>
      </c>
      <c r="CZ202" s="60">
        <f t="shared" si="208"/>
        <v>205.55320107663496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-3.979039320256561E-13</v>
      </c>
      <c r="DP202" s="18">
        <f>DO202*VLOOKUP('Données projet'!$B$14,Paramètres!$A$1:$I$89,3,0)*VLOOKUP('Données projet'!$B$14,Paramètres!$A$1:$I$89,5,0)</f>
        <v>-3.41401573678013E-13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393.79546872270964</v>
      </c>
      <c r="DU202" s="60">
        <f t="shared" si="209"/>
        <v>179.7333990060757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135.66666666666666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9.3109520094003535E-14</v>
      </c>
      <c r="P203" s="14">
        <f t="shared" si="203"/>
        <v>1.4104420303656732E-12</v>
      </c>
      <c r="Q203" s="22">
        <f t="shared" si="162"/>
        <v>2.6186856170506036E-12</v>
      </c>
      <c r="R203" s="60">
        <f t="shared" si="191"/>
        <v>289.12583124315961</v>
      </c>
      <c r="S203" s="60">
        <f ca="1">AVERAGE(OFFSET($R$3,0,0,'Données projet'!$E$9+1,1))-AVERAGE(OFFSET($H$3,0,0,'Données projet'!$E$9+1,1))</f>
        <v>291.44524568678776</v>
      </c>
      <c r="T203" s="60">
        <f t="shared" si="204"/>
        <v>136.43373205899937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-2.9558577807620169E-14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300.72820267660154</v>
      </c>
      <c r="AO203" s="60">
        <f t="shared" si="205"/>
        <v>228.35388778608589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221.18884567967481</v>
      </c>
      <c r="BJ203" s="60">
        <f t="shared" si="206"/>
        <v>189.31596996710888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314.72063458462026</v>
      </c>
      <c r="CE203" s="60">
        <f t="shared" si="207"/>
        <v>216.4380325968244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-3.979039320256561E-13</v>
      </c>
      <c r="CU203" s="18">
        <f>CT203*VLOOKUP('Données projet'!$B$13,Paramètres!$A$1:$I$89,3,0)*VLOOKUP('Données projet'!$B$13,Paramètres!$A$1:$I$89,5,0)</f>
        <v>-4.2830379243241627E-13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465.51503238626822</v>
      </c>
      <c r="CZ203" s="60">
        <f t="shared" si="208"/>
        <v>205.55320107663496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-3.979039320256561E-13</v>
      </c>
      <c r="DP203" s="18">
        <f>DO203*VLOOKUP('Données projet'!$B$14,Paramètres!$A$1:$I$89,3,0)*VLOOKUP('Données projet'!$B$14,Paramètres!$A$1:$I$89,5,0)</f>
        <v>-3.41401573678013E-13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393.79546872270964</v>
      </c>
      <c r="DU203" s="60">
        <f t="shared" si="209"/>
        <v>179.7333990060757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1.1443488482713908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1.3150034895347604</v>
      </c>
      <c r="BA205" s="86">
        <f>EXP(LN('Données projet'!B88)/'Données projet'!A88)</f>
        <v>1.2251829146849735</v>
      </c>
      <c r="BV205" s="86">
        <f>EXP(LN('Données projet'!B114)/'Données projet'!A114)</f>
        <v>1.3139754596796083</v>
      </c>
      <c r="CQ205" s="86">
        <f>EXP(LN('Données projet'!B140)/'Données projet'!A140)</f>
        <v>1.1457367676485573</v>
      </c>
      <c r="DL205" s="86">
        <f>EXP(LN('Données projet'!B166)/'Données projet'!A166)</f>
        <v>1.1457367676485573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Normal="100" workbookViewId="0">
      <selection activeCell="I24" sqref="I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Cèdre de l'Atlas</v>
      </c>
      <c r="B6" s="153">
        <f>'Données projet'!D9</f>
        <v>0.55000000000000004</v>
      </c>
      <c r="C6" s="154">
        <f ca="1">IF(OR('Données projet'!B9="",'Données projet'!C9="",'Données projet'!C9=0%),0,Calculateur!S3)</f>
        <v>291.44524568678776</v>
      </c>
      <c r="D6" s="154">
        <f>IF(OR('Données projet'!B9="",'Données projet'!C9="",'Données projet'!C9=0%),0,Calculateur!T3)</f>
        <v>136.43373205899937</v>
      </c>
      <c r="E6" s="154">
        <f ca="1">MIN(C6,D6)</f>
        <v>136.43373205899937</v>
      </c>
      <c r="F6" s="154">
        <f ca="1">E6*B6</f>
        <v>75.038552632449665</v>
      </c>
      <c r="G6" s="154">
        <f ca="1">F6*(100%-'Données projet'!$C$24)*(100%-'Données projet'!$C$25)*(100%-'Données projet'!$C$26)*(100%-'Données projet'!$C$27)</f>
        <v>57.404492763824003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57.404492763824003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Cyprès de Provence</v>
      </c>
      <c r="B7" s="161">
        <f>'Données projet'!D10</f>
        <v>0.44000000000000006</v>
      </c>
      <c r="C7" s="154">
        <f ca="1">IF(OR('Données projet'!B10="",'Données projet'!C10="",'Données projet'!C10=0%),0,Calculateur!AN3)</f>
        <v>300.72820267660154</v>
      </c>
      <c r="D7" s="154">
        <f>IF(OR('Données projet'!B10="",'Données projet'!C10="",'Données projet'!C10=0%),0,Calculateur!AO3)</f>
        <v>228.35388778608589</v>
      </c>
      <c r="E7" s="154">
        <f t="shared" ref="E7:E15" ca="1" si="0">MIN(C7,D7)</f>
        <v>228.35388778608589</v>
      </c>
      <c r="F7" s="154">
        <f t="shared" ref="F7:F15" ca="1" si="1">E7*B7</f>
        <v>100.47571062587781</v>
      </c>
      <c r="G7" s="154">
        <f ca="1">F7*(100%-'Données projet'!$C$24)*(100%-'Données projet'!$C$25)*(100%-'Données projet'!$C$26)*(100%-'Données projet'!$C$27)</f>
        <v>76.863918628796526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76.863918628796526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Pin d'Alep</v>
      </c>
      <c r="B8" s="161">
        <f>'Données projet'!D11</f>
        <v>0.44000000000000006</v>
      </c>
      <c r="C8" s="154">
        <f ca="1">IF(OR('Données projet'!B11="",'Données projet'!C11="",'Données projet'!C11=0%),0,Calculateur!BI3)</f>
        <v>221.18884567967481</v>
      </c>
      <c r="D8" s="154">
        <f>IF(OR('Données projet'!B11="",'Données projet'!C11="",'Données projet'!C11=0%),0,Calculateur!BJ3)</f>
        <v>189.31596996710888</v>
      </c>
      <c r="E8" s="154">
        <f t="shared" ca="1" si="0"/>
        <v>189.31596996710888</v>
      </c>
      <c r="F8" s="154">
        <f t="shared" ca="1" si="1"/>
        <v>83.299026785527914</v>
      </c>
      <c r="G8" s="154">
        <f ca="1">F8*(100%-'Données projet'!$C$24)*(100%-'Données projet'!$C$25)*(100%-'Données projet'!$C$26)*(100%-'Données projet'!$C$27)</f>
        <v>63.723755490928859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63.723755490928859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Pin pignon</v>
      </c>
      <c r="B9" s="161">
        <f>'Données projet'!D12</f>
        <v>0.33</v>
      </c>
      <c r="C9" s="154">
        <f ca="1">IF(OR('Données projet'!B12="",'Données projet'!C12="",'Données projet'!C12=0%),0,Calculateur!CD3)</f>
        <v>314.72063458462026</v>
      </c>
      <c r="D9" s="154">
        <f>IF(OR('Données projet'!B12="",'Données projet'!C12="",'Données projet'!C12=0%),0,Calculateur!CE3)</f>
        <v>216.4380325968244</v>
      </c>
      <c r="E9" s="154">
        <f t="shared" ca="1" si="0"/>
        <v>216.4380325968244</v>
      </c>
      <c r="F9" s="154">
        <f t="shared" ca="1" si="1"/>
        <v>71.424550756952058</v>
      </c>
      <c r="G9" s="154">
        <f ca="1">F9*(100%-'Données projet'!$C$24)*(100%-'Données projet'!$C$25)*(100%-'Données projet'!$C$26)*(100%-'Données projet'!$C$27)</f>
        <v>54.63978132906832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1.6141125000000003</v>
      </c>
      <c r="K9" s="158">
        <f>J9*(100%-'Données projet'!$C$24)*(100%-'Données projet'!$C$25)*(100%-'Données projet'!$C$26)*(100%-'Données projet'!$C$27)</f>
        <v>1.2347960625000003</v>
      </c>
      <c r="L9" s="159">
        <f t="shared" ca="1" si="2"/>
        <v>55.874577391568323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Cormier</v>
      </c>
      <c r="B10" s="161">
        <f>'Données projet'!D13</f>
        <v>0.22000000000000003</v>
      </c>
      <c r="C10" s="154">
        <f ca="1">IF(OR('Données projet'!B13="",'Données projet'!C13="",'Données projet'!C13=0%),0,Calculateur!CY3)</f>
        <v>465.51503238626822</v>
      </c>
      <c r="D10" s="154">
        <f>IF(OR('Données projet'!B13="",'Données projet'!C13="",'Données projet'!C13=0%),0,Calculateur!CZ3)</f>
        <v>205.55320107663496</v>
      </c>
      <c r="E10" s="154">
        <f t="shared" ca="1" si="0"/>
        <v>205.55320107663496</v>
      </c>
      <c r="F10" s="154">
        <f t="shared" ca="1" si="1"/>
        <v>45.221704236859701</v>
      </c>
      <c r="G10" s="154">
        <f ca="1">F10*(100%-'Données projet'!$C$24)*(100%-'Données projet'!$C$25)*(100%-'Données projet'!$C$26)*(100%-'Données projet'!$C$27)</f>
        <v>34.594603741197666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34.594603741197666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Micocoulier de Provence</v>
      </c>
      <c r="B11" s="161">
        <f>'Données projet'!D14</f>
        <v>0.15400000000000003</v>
      </c>
      <c r="C11" s="154">
        <f ca="1">IF(OR('Données projet'!B14="",'Données projet'!C14="",'Données projet'!C14=0%),0,Calculateur!DT3)</f>
        <v>393.79546872270964</v>
      </c>
      <c r="D11" s="154">
        <f>IF(OR('Données projet'!B14="",'Données projet'!C14="",'Données projet'!C14=0%),0,Calculateur!DU3)</f>
        <v>179.7333990060757</v>
      </c>
      <c r="E11" s="154">
        <f t="shared" ca="1" si="0"/>
        <v>179.7333990060757</v>
      </c>
      <c r="F11" s="154">
        <f t="shared" ca="1" si="1"/>
        <v>27.678943446935662</v>
      </c>
      <c r="G11" s="154">
        <f ca="1">F11*(100%-'Données projet'!$C$24)*(100%-'Données projet'!$C$25)*(100%-'Données projet'!$C$26)*(100%-'Données projet'!$C$27)</f>
        <v>21.174391736905783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ca="1" si="2"/>
        <v>21.174391736905783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403.13848848460276</v>
      </c>
      <c r="G16" s="173">
        <f t="shared" ca="1" si="3"/>
        <v>308.40094369072114</v>
      </c>
      <c r="H16" s="174">
        <f t="shared" si="3"/>
        <v>0</v>
      </c>
      <c r="I16" s="174">
        <f t="shared" si="3"/>
        <v>0</v>
      </c>
      <c r="J16" s="175">
        <f t="shared" si="3"/>
        <v>1.6141125000000003</v>
      </c>
      <c r="K16" s="175">
        <f t="shared" si="3"/>
        <v>1.2347960625000003</v>
      </c>
      <c r="L16" s="176">
        <f t="shared" ca="1" si="3"/>
        <v>309.63573975322112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Cyprès de Provence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Pin d'Alep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Pin pignon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Cormier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Micocoulier de Provence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282" zoomScale="80" zoomScaleNormal="80" workbookViewId="0">
      <selection activeCell="C304" sqref="C304:C31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177.44491043948898</v>
      </c>
      <c r="U10" s="188">
        <f>'Données projet'!D9</f>
        <v>0.55000000000000004</v>
      </c>
      <c r="V10" s="187">
        <f>U10*T10</f>
        <v>97.594700741718952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Cyprès de Provence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193.96111587406011</v>
      </c>
      <c r="U11" s="188">
        <f>'Données projet'!D10</f>
        <v>0.44000000000000006</v>
      </c>
      <c r="V11" s="187">
        <f t="shared" ref="V11" si="0">U11*T11</f>
        <v>85.342890984586461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d'Alep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409.87498050196842</v>
      </c>
      <c r="U12" s="188">
        <f>'Données projet'!D11</f>
        <v>0.44000000000000006</v>
      </c>
      <c r="V12" s="187">
        <f t="shared" ref="V12:V19" si="1">U12*T12</f>
        <v>180.34499142086614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Pin pignon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95.883132523842107</v>
      </c>
      <c r="U13" s="188">
        <f>'Données projet'!D12</f>
        <v>0.33</v>
      </c>
      <c r="V13" s="187">
        <f t="shared" si="1"/>
        <v>31.641433732867895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Cormier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335.89270855292619</v>
      </c>
      <c r="U14" s="188">
        <f>'Données projet'!D13</f>
        <v>0.22000000000000003</v>
      </c>
      <c r="V14" s="187">
        <f t="shared" si="1"/>
        <v>73.89639588164377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Micocoulier de Provence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335.89270855292619</v>
      </c>
      <c r="U15" s="188">
        <f>'Données projet'!D14</f>
        <v>0.15400000000000003</v>
      </c>
      <c r="V15" s="187">
        <f t="shared" si="1"/>
        <v>51.727477117150642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11083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30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-23862.052110121167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40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150349.36344256799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50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3000</v>
      </c>
      <c r="Q25" s="263"/>
      <c r="R25" s="25"/>
      <c r="S25" s="196" t="s">
        <v>266</v>
      </c>
      <c r="T25" s="339">
        <f ca="1">T23-T24</f>
        <v>-174211.41555268917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60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67</v>
      </c>
      <c r="B27" s="191">
        <f>'Données projet'!D40</f>
        <v>74.123076923076923</v>
      </c>
      <c r="C27" s="204">
        <v>15</v>
      </c>
      <c r="D27" s="192">
        <f t="shared" si="2"/>
        <v>1111.8461538461538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74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82</v>
      </c>
      <c r="B29" s="191">
        <f>'Données projet'!D42</f>
        <v>75.91538461538461</v>
      </c>
      <c r="C29" s="204">
        <v>20</v>
      </c>
      <c r="D29" s="192">
        <f t="shared" si="2"/>
        <v>1518.3076923076922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90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68340.619746621815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99</v>
      </c>
      <c r="B31" s="191">
        <f>'Données projet'!D44</f>
        <v>62.953846153846158</v>
      </c>
      <c r="C31" s="204">
        <v>30</v>
      </c>
      <c r="D31" s="192">
        <f t="shared" si="2"/>
        <v>1888.6153846153848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109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119</v>
      </c>
      <c r="B33" s="191">
        <f>'Données projet'!D46</f>
        <v>59.215384615384615</v>
      </c>
      <c r="C33" s="204">
        <v>40</v>
      </c>
      <c r="D33" s="192">
        <f t="shared" si="2"/>
        <v>2368.6153846153848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3000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126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2870.8133971291868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134</v>
      </c>
      <c r="B35" s="191">
        <f>'Données projet'!D48</f>
        <v>158.87692307692308</v>
      </c>
      <c r="C35" s="204">
        <v>50</v>
      </c>
      <c r="D35" s="192">
        <f t="shared" si="2"/>
        <v>7943.8461538461543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2747.1898537121406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139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2628.889812164728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144</v>
      </c>
      <c r="B37" s="191">
        <f>'Données projet'!D50</f>
        <v>184.23846153846154</v>
      </c>
      <c r="C37" s="204">
        <v>60</v>
      </c>
      <c r="D37" s="192">
        <f t="shared" si="2"/>
        <v>11054.307692307691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2515.6840307796447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2407.3531395020523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2303.6872148345005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2204.4853730473687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2109.5553809065736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2018.7132831641852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1931.7830460901298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1848.5962163541913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Cyprès de Provence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1768.9915945973125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1692.8149230596291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1619.9185866599325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1550.1613269473037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1483.4079683706263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1419.5291563355274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1358.4011065411748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1299.9053651111722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1243.9285790537535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1190.3622766064627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1139.1026570396775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1090.0503895116531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1043.1104205853142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998.19179003379361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955.20745457779321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914.0741192131992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874.71207580210466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837.04504861445412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801.00004652100904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766.50722155120468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733.49973354182305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75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701.91362061418477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80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671.68767522888504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85</v>
      </c>
      <c r="B68" s="191">
        <f>'Données projet'!D76</f>
        <v>0</v>
      </c>
      <c r="C68" s="204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642.76332557788044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90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615.08452208409619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95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588.59762878860886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100</v>
      </c>
      <c r="B71" s="191">
        <f>'Données projet'!D79</f>
        <v>316.5</v>
      </c>
      <c r="C71" s="202">
        <v>50</v>
      </c>
      <c r="D71" s="189">
        <f t="shared" si="4"/>
        <v>15825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563.2513194149368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538.99647790903043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515.7861032622302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493.57521843275623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472.3207831892405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Pin d'Alep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451.98161070740719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432.51828775828443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413.89309833328656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396.06995055816901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379.0143067542287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362.69311651122382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347.07475264231942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332.12894989695644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317.82674631287699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304.14042709366225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291.04347090302605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278.51049847179542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266.51722341798597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36</v>
      </c>
      <c r="B89" s="191">
        <f>'Données projet'!D92</f>
        <v>34.892307692307689</v>
      </c>
      <c r="C89" s="202">
        <v>10</v>
      </c>
      <c r="D89" s="189">
        <f t="shared" si="6"/>
        <v>348.92307692307691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255.04040518467565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44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244.05780400447432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52</v>
      </c>
      <c r="B91" s="191">
        <f>'Données projet'!D94</f>
        <v>77.107692307692304</v>
      </c>
      <c r="C91" s="202">
        <v>15</v>
      </c>
      <c r="D91" s="189">
        <f t="shared" si="6"/>
        <v>1156.6153846153845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233.54813780332478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59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223.49104096011939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66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213.86702484221956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74</v>
      </c>
      <c r="B94" s="191">
        <f>'Données projet'!D97</f>
        <v>114.9153846153846</v>
      </c>
      <c r="C94" s="202">
        <v>20</v>
      </c>
      <c r="D94" s="189">
        <f t="shared" si="6"/>
        <v>2298.3076923076919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204.65744004040144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82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195.84444023004932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89</v>
      </c>
      <c r="B96" s="191">
        <f>'Données projet'!D99</f>
        <v>166.66923076923075</v>
      </c>
      <c r="C96" s="202">
        <v>40</v>
      </c>
      <c r="D96" s="189">
        <f t="shared" si="6"/>
        <v>6666.7692307692305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187.41094758856391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179.34061970197513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4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171.61781789662692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4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164.22757693457126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4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157.15557601394377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4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150.38811101812806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4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143.91206795993114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4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137.71489756931214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4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131.78459097541833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126.10965643580704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120.67909706775794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Pin pignon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115.48238953852436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110.50946367322905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105.75068294088906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101.19682578075509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96.839067732780009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92.66896433758852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88.678434772812011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84.859746194078483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7"/>
        <v>81.205498750314348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>
        <f>IF(O115+1&lt;=MIN('Données projet'!$E$9:$E$18),O115+1,"STOP")</f>
        <v>83</v>
      </c>
      <c r="P116" s="195">
        <f t="shared" si="7"/>
        <v>77.708611244319968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>
        <f>IF(O116+1&lt;=MIN('Données projet'!$E$9:$E$18),O116+1,"STOP")</f>
        <v>84</v>
      </c>
      <c r="P117" s="195">
        <f t="shared" si="7"/>
        <v>74.362307410832514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11.375</v>
      </c>
      <c r="C118" s="202">
        <v>10</v>
      </c>
      <c r="D118" s="189">
        <f t="shared" si="8"/>
        <v>113.75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>
        <f>IF(O117+1&lt;=MIN('Données projet'!$E$9:$E$18),O117+1,"STOP")</f>
        <v>85</v>
      </c>
      <c r="P118" s="195">
        <f t="shared" si="7"/>
        <v>71.160102785485662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40</v>
      </c>
      <c r="B119" s="191">
        <f>'Données projet'!D117</f>
        <v>7.0000000000000009</v>
      </c>
      <c r="C119" s="202">
        <v>10</v>
      </c>
      <c r="D119" s="189">
        <f t="shared" si="8"/>
        <v>70.000000000000014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>
        <f>IF(O118+1&lt;=MIN('Données projet'!$E$9:$E$18),O118+1,"STOP")</f>
        <v>86</v>
      </c>
      <c r="P119" s="195">
        <f t="shared" si="7"/>
        <v>68.095792139220734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50</v>
      </c>
      <c r="B120" s="191">
        <f>'Données projet'!D118</f>
        <v>7.7500000000000009</v>
      </c>
      <c r="C120" s="202">
        <v>10</v>
      </c>
      <c r="D120" s="189">
        <f t="shared" si="8"/>
        <v>77.500000000000014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>
        <f>IF(O119+1&lt;=MIN('Données projet'!$E$9:$E$18),O119+1,"STOP")</f>
        <v>87</v>
      </c>
      <c r="P120" s="195">
        <f t="shared" si="7"/>
        <v>65.163437453799745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60</v>
      </c>
      <c r="B121" s="191">
        <f>'Données projet'!D119</f>
        <v>8.25</v>
      </c>
      <c r="C121" s="202">
        <v>15</v>
      </c>
      <c r="D121" s="189">
        <f t="shared" si="8"/>
        <v>123.75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>
        <f>IF(O120+1&lt;=MIN('Données projet'!$E$9:$E$18),O120+1,"STOP")</f>
        <v>88</v>
      </c>
      <c r="P121" s="195">
        <f t="shared" si="7"/>
        <v>62.357356415119391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70</v>
      </c>
      <c r="B122" s="191">
        <f>'Données projet'!D120</f>
        <v>8.5</v>
      </c>
      <c r="C122" s="202">
        <v>15</v>
      </c>
      <c r="D122" s="189">
        <f t="shared" si="8"/>
        <v>127.5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>
        <f>IF(O121+1&lt;=MIN('Données projet'!$E$9:$E$18),O121+1,"STOP")</f>
        <v>89</v>
      </c>
      <c r="P122" s="195">
        <f t="shared" si="7"/>
        <v>59.672111402028129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80</v>
      </c>
      <c r="B123" s="191">
        <f>'Données projet'!D121</f>
        <v>9.1666666666666679</v>
      </c>
      <c r="C123" s="202">
        <v>20</v>
      </c>
      <c r="D123" s="189">
        <f t="shared" si="8"/>
        <v>183.33333333333337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str">
        <f>IF(O122+1&lt;=MIN('Données projet'!$E$9:$E$18),O122+1,"STOP")</f>
        <v>STOP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90</v>
      </c>
      <c r="B124" s="191">
        <f>'Données projet'!D122</f>
        <v>9.1666666666666679</v>
      </c>
      <c r="C124" s="202">
        <v>25</v>
      </c>
      <c r="D124" s="189">
        <f t="shared" si="8"/>
        <v>229.16666666666669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100</v>
      </c>
      <c r="B125" s="191">
        <f>'Données projet'!D123</f>
        <v>9.125</v>
      </c>
      <c r="C125" s="202">
        <v>30</v>
      </c>
      <c r="D125" s="189">
        <f t="shared" si="8"/>
        <v>273.75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110</v>
      </c>
      <c r="B126" s="191">
        <f>'Données projet'!D124</f>
        <v>9.0416666666666661</v>
      </c>
      <c r="C126" s="202">
        <v>35</v>
      </c>
      <c r="D126" s="189">
        <f t="shared" si="8"/>
        <v>316.45833333333331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120</v>
      </c>
      <c r="B127" s="191">
        <f>'Données projet'!D125</f>
        <v>8.875</v>
      </c>
      <c r="C127" s="202">
        <v>40</v>
      </c>
      <c r="D127" s="189">
        <f t="shared" si="8"/>
        <v>355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130</v>
      </c>
      <c r="B128" s="191">
        <f>'Données projet'!D126</f>
        <v>8.7083333333333339</v>
      </c>
      <c r="C128" s="202">
        <v>45</v>
      </c>
      <c r="D128" s="189">
        <f t="shared" si="8"/>
        <v>391.875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140</v>
      </c>
      <c r="B129" s="191">
        <f>'Données projet'!D127</f>
        <v>8.5416666666666679</v>
      </c>
      <c r="C129" s="202">
        <v>50</v>
      </c>
      <c r="D129" s="189">
        <f t="shared" si="8"/>
        <v>427.08333333333337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150</v>
      </c>
      <c r="B130" s="191">
        <f>'Données projet'!D128</f>
        <v>130.21250000000001</v>
      </c>
      <c r="C130" s="202">
        <v>60</v>
      </c>
      <c r="D130" s="189">
        <f t="shared" si="8"/>
        <v>7812.75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4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4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4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4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4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Cormier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5">
        <f>'Données projet'!D142</f>
        <v>13</v>
      </c>
      <c r="C149" s="202">
        <v>10</v>
      </c>
      <c r="D149" s="192">
        <f t="shared" si="10"/>
        <v>130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5">
        <f>'Données projet'!D144</f>
        <v>28</v>
      </c>
      <c r="C151" s="202">
        <v>15</v>
      </c>
      <c r="D151" s="192">
        <f t="shared" si="10"/>
        <v>420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5">
        <f>'Données projet'!D146</f>
        <v>28</v>
      </c>
      <c r="C153" s="202">
        <v>20</v>
      </c>
      <c r="D153" s="192">
        <f t="shared" si="10"/>
        <v>560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5">
        <f>'Données projet'!D148</f>
        <v>28</v>
      </c>
      <c r="C155" s="202">
        <v>30</v>
      </c>
      <c r="D155" s="192">
        <f t="shared" si="10"/>
        <v>840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5">
        <f>'Données projet'!D150</f>
        <v>28</v>
      </c>
      <c r="C157" s="202">
        <v>40</v>
      </c>
      <c r="D157" s="192">
        <f t="shared" si="10"/>
        <v>1120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5">
        <f>'Données projet'!D152</f>
        <v>28</v>
      </c>
      <c r="C159" s="202">
        <v>50</v>
      </c>
      <c r="D159" s="192">
        <f t="shared" si="10"/>
        <v>1400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42</v>
      </c>
      <c r="C161" s="204">
        <v>60</v>
      </c>
      <c r="D161" s="192">
        <f t="shared" si="10"/>
        <v>2520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52</v>
      </c>
      <c r="C163" s="202">
        <v>70</v>
      </c>
      <c r="D163" s="192">
        <f t="shared" si="10"/>
        <v>3640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262</v>
      </c>
      <c r="C166" s="202">
        <v>80</v>
      </c>
      <c r="D166" s="192">
        <f t="shared" si="10"/>
        <v>20960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Micocoulier de Provence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30</v>
      </c>
      <c r="B179" s="191">
        <f>'Données projet'!D167</f>
        <v>0</v>
      </c>
      <c r="C179" s="202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35</v>
      </c>
      <c r="B180" s="191">
        <f>'Données projet'!D168</f>
        <v>13</v>
      </c>
      <c r="C180" s="202">
        <v>10</v>
      </c>
      <c r="D180" s="189">
        <f t="shared" si="11"/>
        <v>130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40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45</v>
      </c>
      <c r="B182" s="191">
        <f>'Données projet'!D170</f>
        <v>28</v>
      </c>
      <c r="C182" s="202">
        <v>15</v>
      </c>
      <c r="D182" s="189">
        <f t="shared" si="11"/>
        <v>420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50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55</v>
      </c>
      <c r="B184" s="191">
        <f>'Données projet'!D172</f>
        <v>28</v>
      </c>
      <c r="C184" s="202">
        <v>20</v>
      </c>
      <c r="D184" s="189">
        <f t="shared" si="11"/>
        <v>560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60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65</v>
      </c>
      <c r="B186" s="191">
        <f>'Données projet'!D174</f>
        <v>28</v>
      </c>
      <c r="C186" s="202">
        <v>30</v>
      </c>
      <c r="D186" s="189">
        <f t="shared" si="11"/>
        <v>840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70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75</v>
      </c>
      <c r="B188" s="191">
        <f>'Données projet'!D176</f>
        <v>28</v>
      </c>
      <c r="C188" s="202">
        <v>40</v>
      </c>
      <c r="D188" s="189">
        <f t="shared" si="11"/>
        <v>1120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80</v>
      </c>
      <c r="B189" s="191">
        <f>'Données projet'!D177</f>
        <v>0</v>
      </c>
      <c r="C189" s="202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85</v>
      </c>
      <c r="B190" s="191">
        <f>'Données projet'!D178</f>
        <v>28</v>
      </c>
      <c r="C190" s="202">
        <v>50</v>
      </c>
      <c r="D190" s="189">
        <f t="shared" si="11"/>
        <v>1400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90</v>
      </c>
      <c r="B191" s="191">
        <f>'Données projet'!D179</f>
        <v>0</v>
      </c>
      <c r="C191" s="202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100</v>
      </c>
      <c r="B192" s="191">
        <f>'Données projet'!D180</f>
        <v>42</v>
      </c>
      <c r="C192" s="204">
        <v>60</v>
      </c>
      <c r="D192" s="189">
        <f t="shared" si="11"/>
        <v>2520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110</v>
      </c>
      <c r="B193" s="191">
        <f>'Données projet'!D181</f>
        <v>0</v>
      </c>
      <c r="C193" s="202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120</v>
      </c>
      <c r="B194" s="191">
        <f>'Données projet'!D182</f>
        <v>52</v>
      </c>
      <c r="C194" s="202">
        <v>70</v>
      </c>
      <c r="D194" s="189">
        <f t="shared" si="11"/>
        <v>3640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130</v>
      </c>
      <c r="B195" s="191">
        <f>'Données projet'!D183</f>
        <v>0</v>
      </c>
      <c r="C195" s="202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140</v>
      </c>
      <c r="B196" s="191">
        <f>'Données projet'!D184</f>
        <v>0</v>
      </c>
      <c r="C196" s="202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150</v>
      </c>
      <c r="B197" s="191">
        <f>'Données projet'!D185</f>
        <v>262</v>
      </c>
      <c r="C197" s="202">
        <v>80</v>
      </c>
      <c r="D197" s="189">
        <f t="shared" si="11"/>
        <v>20960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2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2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2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2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2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2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2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2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2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2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2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2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2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2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2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2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2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2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2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2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2024-04-02T06:39:26Z</dcterms:modified>
</cp:coreProperties>
</file>