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Jean_JACQUES_DUPRE-(Sambin_9)/LBC/"/>
    </mc:Choice>
  </mc:AlternateContent>
  <xr:revisionPtr revIDLastSave="220" documentId="8_{1086D636-4F82-4C1C-A9F8-E5EDC870AC9F}" xr6:coauthVersionLast="47" xr6:coauthVersionMax="47" xr10:uidLastSave="{C811887E-1E84-42D9-B75A-561B9A0335E4}"/>
  <bookViews>
    <workbookView xWindow="-120" yWindow="-120" windowWidth="29040" windowHeight="16440" tabRatio="866" firstSheet="1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FR4" i="2"/>
  <c r="BQ4" i="2"/>
  <c r="EC4" i="2"/>
  <c r="BR4" i="2"/>
  <c r="GL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EX7" i="2"/>
  <c r="EA7" i="2"/>
  <c r="HI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G14" i="2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HG18" i="2"/>
  <c r="FS18" i="2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EW22" i="2"/>
  <c r="EA22" i="2"/>
  <c r="EB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H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FS28" i="2"/>
  <c r="EC28" i="2"/>
  <c r="HG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HH33" i="2"/>
  <c r="EB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HI38" i="2"/>
  <c r="EA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HI50" i="2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V57" i="2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HH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FS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EW113" i="2"/>
  <c r="HG113" i="2"/>
  <c r="FS113" i="2"/>
  <c r="EX113" i="2"/>
  <c r="HI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EX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HH120" i="2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FS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EX124" i="2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X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HH130" i="2"/>
  <c r="EB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A139" i="2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G140" i="2"/>
  <c r="FR140" i="2"/>
  <c r="HH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A144" i="2"/>
  <c r="EB144" i="2"/>
  <c r="HG144" i="2"/>
  <c r="FR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B145" i="2"/>
  <c r="EA145" i="2"/>
  <c r="HH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I146" i="2"/>
  <c r="FS146" i="2"/>
  <c r="HG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C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HG154" i="2"/>
  <c r="AB154" i="2"/>
  <c r="HH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HG155" i="2"/>
  <c r="AC154" i="2"/>
  <c r="EW155" i="2"/>
  <c r="EA155" i="2"/>
  <c r="DI154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HI156" i="2"/>
  <c r="AB156" i="2"/>
  <c r="FS156" i="2"/>
  <c r="EB156" i="2"/>
  <c r="EX156" i="2"/>
  <c r="DH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CN156" i="2"/>
  <c r="EA157" i="2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W158" i="2"/>
  <c r="ED157" i="2"/>
  <c r="EC158" i="2"/>
  <c r="EV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ED158" i="2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C160" i="2"/>
  <c r="FS160" i="2"/>
  <c r="DG160" i="2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ED160" i="2"/>
  <c r="EB161" i="2"/>
  <c r="EX161" i="2"/>
  <c r="AB161" i="2"/>
  <c r="EA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HH162" i="2"/>
  <c r="EW162" i="2"/>
  <c r="EY161" i="2"/>
  <c r="DI161" i="2"/>
  <c r="EC162" i="2"/>
  <c r="EB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A163" i="2" l="1"/>
  <c r="EB163" i="2"/>
  <c r="ED162" i="2"/>
  <c r="HI163" i="2"/>
  <c r="EV163" i="2"/>
  <c r="FS163" i="2"/>
  <c r="EC163" i="2"/>
  <c r="EX163" i="2"/>
  <c r="DH163" i="2"/>
  <c r="EW163" i="2"/>
  <c r="EY163" i="2" s="1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DI163" i="2" l="1"/>
  <c r="EX164" i="2"/>
  <c r="DH164" i="2"/>
  <c r="FR164" i="2"/>
  <c r="HH164" i="2"/>
  <c r="HG164" i="2"/>
  <c r="EA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HG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EA167" i="2"/>
  <c r="EB167" i="2"/>
  <c r="HI167" i="2"/>
  <c r="FR167" i="2"/>
  <c r="DG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G168" i="2"/>
  <c r="DI167" i="2"/>
  <c r="HI168" i="2"/>
  <c r="EW168" i="2"/>
  <c r="HH168" i="2"/>
  <c r="EV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Y168" i="2"/>
  <c r="EA169" i="2"/>
  <c r="FS169" i="2"/>
  <c r="HH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HG172" i="2"/>
  <c r="EV172" i="2"/>
  <c r="EA172" i="2"/>
  <c r="EW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EB175" i="2"/>
  <c r="AA175" i="2"/>
  <c r="FS175" i="2"/>
  <c r="EA175" i="2"/>
  <c r="EW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HG178" i="2"/>
  <c r="EB178" i="2"/>
  <c r="ED177" i="2"/>
  <c r="EA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B179" i="2"/>
  <c r="HH179" i="2"/>
  <c r="EV179" i="2"/>
  <c r="HI179" i="2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FS183" i="2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HG186" i="2"/>
  <c r="ED185" i="2"/>
  <c r="FR186" i="2"/>
  <c r="EB186" i="2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EV189" i="2"/>
  <c r="HH189" i="2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EY189" i="2" s="1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W190" i="2"/>
  <c r="EB190" i="2"/>
  <c r="HH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EY192" i="2" s="1"/>
  <c r="EA192" i="2"/>
  <c r="EB192" i="2"/>
  <c r="EW192" i="2"/>
  <c r="HI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A193" i="2"/>
  <c r="EB193" i="2"/>
  <c r="DI192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CN193" i="2"/>
  <c r="HG194" i="2"/>
  <c r="FQ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HG195" i="2"/>
  <c r="ED194" i="2"/>
  <c r="EY194" i="2"/>
  <c r="HI195" i="2"/>
  <c r="AA195" i="2"/>
  <c r="DH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EY196" i="2"/>
  <c r="AA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Y198" i="2" s="1"/>
  <c r="EW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HG199" i="2"/>
  <c r="EB199" i="2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A201" i="2" l="1"/>
  <c r="ED200" i="2"/>
  <c r="DI200" i="2"/>
  <c r="FS201" i="2"/>
  <c r="HH201" i="2"/>
  <c r="EB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FS202" i="2" l="1"/>
  <c r="EY201" i="2"/>
  <c r="HH202" i="2"/>
  <c r="FZ6" i="2"/>
  <c r="FR202" i="2"/>
  <c r="HI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EI195" i="2" a="1"/>
  <c r="EI195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31" i="2" a="1"/>
  <c r="DN31" i="2" s="1"/>
  <c r="DN6" i="2" a="1"/>
  <c r="DN6" i="2" s="1"/>
  <c r="DO6" i="2" s="1"/>
  <c r="FD82" i="2" a="1"/>
  <c r="FD82" i="2" s="1"/>
  <c r="HJ202" i="2"/>
  <c r="AX200" i="2"/>
  <c r="BC151" i="2" l="1" a="1"/>
  <c r="BC151" i="2" s="1"/>
  <c r="DN66" i="2" a="1"/>
  <c r="DN66" i="2" s="1"/>
  <c r="CS24" i="2" a="1"/>
  <c r="CS24" i="2" s="1"/>
  <c r="BC32" i="2" a="1"/>
  <c r="BC32" i="2" s="1"/>
  <c r="BC192" i="2" a="1"/>
  <c r="BC192" i="2" s="1"/>
  <c r="BC117" i="2" a="1"/>
  <c r="BC117" i="2" s="1"/>
  <c r="BC18" i="2" a="1"/>
  <c r="BC18" i="2" s="1"/>
  <c r="BC55" i="2" a="1"/>
  <c r="BC55" i="2" s="1"/>
  <c r="BC181" i="2" a="1"/>
  <c r="BC181" i="2" s="1"/>
  <c r="BC164" i="2" a="1"/>
  <c r="BC164" i="2" s="1"/>
  <c r="BC38" i="2" a="1"/>
  <c r="BC38" i="2" s="1"/>
  <c r="BC130" i="2" a="1"/>
  <c r="BC130" i="2" s="1"/>
  <c r="BC65" i="2" a="1"/>
  <c r="BC65" i="2" s="1"/>
  <c r="BC83" i="2" a="1"/>
  <c r="BC83" i="2" s="1"/>
  <c r="BC47" i="2" a="1"/>
  <c r="BC47" i="2" s="1"/>
  <c r="AH151" i="2" a="1"/>
  <c r="AH151" i="2" s="1"/>
  <c r="BC34" i="2" a="1"/>
  <c r="BC34" i="2" s="1"/>
  <c r="BC114" i="2" a="1"/>
  <c r="BC114" i="2" s="1"/>
  <c r="BC126" i="2" a="1"/>
  <c r="BC126" i="2" s="1"/>
  <c r="BC82" i="2" a="1"/>
  <c r="BC82" i="2" s="1"/>
  <c r="BC58" i="2" a="1"/>
  <c r="BC58" i="2" s="1"/>
  <c r="CS38" i="2" a="1"/>
  <c r="CS38" i="2" s="1"/>
  <c r="CS77" i="2" a="1"/>
  <c r="CS77" i="2" s="1"/>
  <c r="AH19" i="2" a="1"/>
  <c r="AH19" i="2" s="1"/>
  <c r="AH90" i="2" a="1"/>
  <c r="AH90" i="2" s="1"/>
  <c r="BP203" i="2"/>
  <c r="DN16" i="2" a="1"/>
  <c r="DN16" i="2" s="1"/>
  <c r="FY173" i="2" a="1"/>
  <c r="FY173" i="2" s="1"/>
  <c r="DN43" i="2" a="1"/>
  <c r="DN43" i="2" s="1"/>
  <c r="FY188" i="2" a="1"/>
  <c r="FY188" i="2" s="1"/>
  <c r="DN49" i="2" a="1"/>
  <c r="DN49" i="2" s="1"/>
  <c r="DN186" i="2" a="1"/>
  <c r="DN186" i="2" s="1"/>
  <c r="FY28" i="2" a="1"/>
  <c r="FY28" i="2" s="1"/>
  <c r="FY121" i="2" a="1"/>
  <c r="FY121" i="2" s="1"/>
  <c r="FY35" i="2" a="1"/>
  <c r="FY35" i="2" s="1"/>
  <c r="DN190" i="2" a="1"/>
  <c r="DN190" i="2" s="1"/>
  <c r="DN170" i="2" a="1"/>
  <c r="DN170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DN132" i="2" a="1"/>
  <c r="DN132" i="2" s="1"/>
  <c r="DN188" i="2" a="1"/>
  <c r="DN188" i="2" s="1"/>
  <c r="FY115" i="2" a="1"/>
  <c r="FY115" i="2" s="1"/>
  <c r="FY133" i="2" a="1"/>
  <c r="FY133" i="2" s="1"/>
  <c r="DN162" i="2" a="1"/>
  <c r="DN162" i="2" s="1"/>
  <c r="DN177" i="2" a="1"/>
  <c r="DN177" i="2" s="1"/>
  <c r="FY164" i="2" a="1"/>
  <c r="FY164" i="2" s="1"/>
  <c r="FY29" i="2" a="1"/>
  <c r="FY29" i="2" s="1"/>
  <c r="DN135" i="2" a="1"/>
  <c r="DN135" i="2" s="1"/>
  <c r="CS129" i="2" a="1"/>
  <c r="CS129" i="2" s="1"/>
  <c r="FY124" i="2" a="1"/>
  <c r="FY124" i="2" s="1"/>
  <c r="BX107" i="2" a="1"/>
  <c r="BX107" i="2" s="1"/>
  <c r="DN65" i="2" a="1"/>
  <c r="DN65" i="2" s="1"/>
  <c r="CS114" i="2" a="1"/>
  <c r="CS114" i="2" s="1"/>
  <c r="CS120" i="2" a="1"/>
  <c r="CS120" i="2" s="1"/>
  <c r="FY80" i="2" a="1"/>
  <c r="FY80" i="2" s="1"/>
  <c r="AH163" i="2" a="1"/>
  <c r="AH163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41" i="2" a="1"/>
  <c r="DN41" i="2" s="1"/>
  <c r="FY126" i="2" a="1"/>
  <c r="FY126" i="2" s="1"/>
  <c r="DN46" i="2" a="1"/>
  <c r="DN46" i="2" s="1"/>
  <c r="FY140" i="2" a="1"/>
  <c r="FY140" i="2" s="1"/>
  <c r="FY58" i="2" a="1"/>
  <c r="FY58" i="2" s="1"/>
  <c r="FY47" i="2" a="1"/>
  <c r="FY47" i="2" s="1"/>
  <c r="DN176" i="2" a="1"/>
  <c r="DN176" i="2" s="1"/>
  <c r="DN153" i="2" a="1"/>
  <c r="DN153" i="2" s="1"/>
  <c r="FY24" i="2" a="1"/>
  <c r="FY24" i="2" s="1"/>
  <c r="FY167" i="2" a="1"/>
  <c r="FY167" i="2" s="1"/>
  <c r="FY174" i="2" a="1"/>
  <c r="FY174" i="2" s="1"/>
  <c r="DN38" i="2" a="1"/>
  <c r="DN38" i="2" s="1"/>
  <c r="DN70" i="2" a="1"/>
  <c r="DN70" i="2" s="1"/>
  <c r="CS56" i="2" a="1"/>
  <c r="CS56" i="2" s="1"/>
  <c r="DN63" i="2" a="1"/>
  <c r="DN63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30" i="2" a="1"/>
  <c r="DN30" i="2" s="1"/>
  <c r="DN86" i="2" a="1"/>
  <c r="DN86" i="2" s="1"/>
  <c r="FY34" i="2" a="1"/>
  <c r="FY34" i="2" s="1"/>
  <c r="DN114" i="2" a="1"/>
  <c r="DN114" i="2" s="1"/>
  <c r="FY79" i="2" a="1"/>
  <c r="FY79" i="2" s="1"/>
  <c r="DN103" i="2" a="1"/>
  <c r="DN103" i="2" s="1"/>
  <c r="FY143" i="2" a="1"/>
  <c r="FY143" i="2" s="1"/>
  <c r="DN164" i="2" a="1"/>
  <c r="DN164" i="2" s="1"/>
  <c r="DN137" i="2" a="1"/>
  <c r="DN137" i="2" s="1"/>
  <c r="FY78" i="2" a="1"/>
  <c r="FY78" i="2" s="1"/>
  <c r="CS105" i="2" a="1"/>
  <c r="CS105" i="2" s="1"/>
  <c r="FY110" i="2" a="1"/>
  <c r="FY110" i="2" s="1"/>
  <c r="DN133" i="2" a="1"/>
  <c r="DN133" i="2" s="1"/>
  <c r="DN45" i="2" a="1"/>
  <c r="DN45" i="2" s="1"/>
  <c r="DN55" i="2" a="1"/>
  <c r="DN55" i="2" s="1"/>
  <c r="DN80" i="2" a="1"/>
  <c r="DN80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67" i="2" a="1"/>
  <c r="DN167" i="2" s="1"/>
  <c r="DN29" i="2" a="1"/>
  <c r="DN29" i="2" s="1"/>
  <c r="FY109" i="2" a="1"/>
  <c r="FY109" i="2" s="1"/>
  <c r="FY86" i="2" a="1"/>
  <c r="FY86" i="2" s="1"/>
  <c r="FY159" i="2" a="1"/>
  <c r="FY159" i="2" s="1"/>
  <c r="DN115" i="2" a="1"/>
  <c r="DN115" i="2" s="1"/>
  <c r="FY149" i="2" a="1"/>
  <c r="FY149" i="2" s="1"/>
  <c r="FY191" i="2" a="1"/>
  <c r="FY191" i="2" s="1"/>
  <c r="DN187" i="2" a="1"/>
  <c r="DN187" i="2" s="1"/>
  <c r="CS137" i="2" a="1"/>
  <c r="CS137" i="2" s="1"/>
  <c r="FY165" i="2" a="1"/>
  <c r="FY165" i="2" s="1"/>
  <c r="CS72" i="2" a="1"/>
  <c r="CS72" i="2" s="1"/>
  <c r="CS134" i="2" a="1"/>
  <c r="CS134" i="2" s="1"/>
  <c r="DN110" i="2" a="1"/>
  <c r="DN110" i="2" s="1"/>
  <c r="CS185" i="2" a="1"/>
  <c r="CS185" i="2" s="1"/>
  <c r="FY196" i="2" a="1"/>
  <c r="FY196" i="2" s="1"/>
  <c r="AH166" i="2" a="1"/>
  <c r="AH166" i="2" s="1"/>
  <c r="DN192" i="2" a="1"/>
  <c r="DN192" i="2" s="1"/>
  <c r="DN184" i="2" a="1"/>
  <c r="DN184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EY203" i="2" s="1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6" i="2" l="1"/>
  <c r="CY200" i="2"/>
  <c r="CY103" i="2"/>
  <c r="CY134" i="2"/>
  <c r="CY138" i="2"/>
  <c r="CY196" i="2"/>
  <c r="CY175" i="2"/>
  <c r="CY80" i="2"/>
  <c r="CY33" i="2"/>
  <c r="CY24" i="2"/>
  <c r="CY43" i="2"/>
  <c r="CY168" i="2"/>
  <c r="CY157" i="2"/>
  <c r="CY56" i="2"/>
  <c r="CY77" i="2"/>
  <c r="CY37" i="2"/>
  <c r="CY201" i="2"/>
  <c r="CY83" i="2"/>
  <c r="CY9" i="2"/>
  <c r="CY113" i="2"/>
  <c r="CY172" i="2"/>
  <c r="CY93" i="2"/>
  <c r="CY42" i="2"/>
  <c r="CY132" i="2"/>
  <c r="CY174" i="2"/>
  <c r="CY102" i="2"/>
  <c r="CY116" i="2"/>
  <c r="CY59" i="2"/>
  <c r="CY96" i="2"/>
  <c r="CY82" i="2"/>
  <c r="CY111" i="2"/>
  <c r="CY66" i="2"/>
  <c r="CY112" i="2"/>
  <c r="CY192" i="2"/>
  <c r="CY39" i="2"/>
  <c r="CY25" i="2"/>
  <c r="CY73" i="2"/>
  <c r="CY117" i="2"/>
  <c r="CY29" i="2"/>
  <c r="CY28" i="2"/>
  <c r="CY166" i="2"/>
  <c r="CY182" i="2"/>
  <c r="CY203" i="2"/>
  <c r="CY190" i="2"/>
  <c r="CY162" i="2"/>
  <c r="CY16" i="2"/>
  <c r="CY67" i="2"/>
  <c r="CY35" i="2"/>
  <c r="CY199" i="2"/>
  <c r="CY131" i="2"/>
  <c r="CY104" i="2"/>
  <c r="CY20" i="2"/>
  <c r="CY150" i="2"/>
  <c r="CY15" i="2"/>
  <c r="CY194" i="2"/>
  <c r="CY119" i="2"/>
  <c r="CY158" i="2"/>
  <c r="CY109" i="2"/>
  <c r="CY145" i="2"/>
  <c r="CY198" i="2"/>
  <c r="CY3" i="2"/>
  <c r="C10" i="4" s="1"/>
  <c r="E10" i="4" s="1"/>
  <c r="F10" i="4" s="1"/>
  <c r="G10" i="4" s="1"/>
  <c r="L10" i="4" s="1"/>
  <c r="CY141" i="2"/>
  <c r="CY19" i="2"/>
  <c r="CY95" i="2"/>
  <c r="CY151" i="2"/>
  <c r="CY161" i="2"/>
  <c r="CY62" i="2"/>
  <c r="CY92" i="2"/>
  <c r="CY41" i="2"/>
  <c r="CY110" i="2"/>
  <c r="CY143" i="2"/>
  <c r="CY127" i="2"/>
  <c r="CY101" i="2"/>
  <c r="CY123" i="2"/>
  <c r="CY6" i="2"/>
  <c r="CY125" i="2"/>
  <c r="CY90" i="2"/>
  <c r="CY34" i="2"/>
  <c r="CY27" i="2"/>
  <c r="CY142" i="2"/>
  <c r="CY23" i="2"/>
  <c r="CY167" i="2"/>
  <c r="CY49" i="2"/>
  <c r="CY137" i="2"/>
  <c r="CY165" i="2"/>
  <c r="CY52" i="2"/>
  <c r="CY7" i="2"/>
  <c r="CY191" i="2"/>
  <c r="CY193" i="2"/>
  <c r="CY14" i="2"/>
  <c r="CY164" i="2"/>
  <c r="CY176" i="2"/>
  <c r="CY78" i="2"/>
  <c r="CY169" i="2"/>
  <c r="CY108" i="2"/>
  <c r="CY121" i="2"/>
  <c r="CY10" i="2"/>
  <c r="CY181" i="2"/>
  <c r="CY155" i="2"/>
  <c r="CY76" i="2"/>
  <c r="CY118" i="2"/>
  <c r="CY195" i="2"/>
  <c r="CY30" i="2"/>
  <c r="CY183" i="2"/>
  <c r="CY64" i="2"/>
  <c r="CY152" i="2"/>
  <c r="CY130" i="2"/>
  <c r="CY72" i="2"/>
  <c r="CY105" i="2"/>
  <c r="CY32" i="2"/>
  <c r="CY84" i="2"/>
  <c r="CY13" i="2"/>
  <c r="CY11" i="2"/>
  <c r="CY51" i="2"/>
  <c r="CY188" i="2"/>
  <c r="CY139" i="2"/>
  <c r="CY122" i="2"/>
  <c r="CY71" i="2"/>
  <c r="CY88" i="2"/>
  <c r="CY48" i="2"/>
  <c r="CY47" i="2"/>
  <c r="CY8" i="2"/>
  <c r="CY60" i="2"/>
  <c r="CY180" i="2"/>
  <c r="CY187" i="2"/>
  <c r="CY128" i="2"/>
  <c r="CY5" i="2"/>
  <c r="CY106" i="2"/>
  <c r="CY100" i="2"/>
  <c r="CY75" i="2"/>
  <c r="CY153" i="2"/>
  <c r="CY115" i="2"/>
  <c r="CY63" i="2"/>
  <c r="CY154" i="2"/>
  <c r="CY185" i="2"/>
  <c r="CY18" i="2"/>
  <c r="CY85" i="2"/>
  <c r="CY44" i="2"/>
  <c r="CY148" i="2"/>
  <c r="CY140" i="2"/>
  <c r="CY135" i="2"/>
  <c r="CY136" i="2"/>
  <c r="CY87" i="2"/>
  <c r="CY156" i="2"/>
  <c r="CY186" i="2"/>
  <c r="CY98" i="2"/>
  <c r="CY65" i="2"/>
  <c r="CY120" i="2"/>
  <c r="CY86" i="2"/>
  <c r="CY146" i="2"/>
  <c r="CY189" i="2"/>
  <c r="CY70" i="2"/>
  <c r="CY163" i="2"/>
  <c r="CY126" i="2"/>
  <c r="CY159" i="2"/>
  <c r="CY97" i="2"/>
  <c r="CY177" i="2"/>
  <c r="CY147" i="2"/>
  <c r="CY57" i="2"/>
  <c r="CY89" i="2"/>
  <c r="CY133" i="2"/>
  <c r="CY45" i="2"/>
  <c r="CY36" i="2"/>
  <c r="CY129" i="2"/>
  <c r="CY17" i="2"/>
  <c r="CY171" i="2"/>
  <c r="CY40" i="2"/>
  <c r="CY178" i="2"/>
  <c r="CY58" i="2"/>
  <c r="CY114" i="2"/>
  <c r="CY170" i="2"/>
  <c r="CY22" i="2"/>
  <c r="CY61" i="2"/>
  <c r="CY38" i="2"/>
  <c r="CY31" i="2"/>
  <c r="CY173" i="2"/>
  <c r="CY21" i="2"/>
  <c r="CY94" i="2"/>
  <c r="CY184" i="2"/>
  <c r="CY12" i="2"/>
  <c r="CY124" i="2"/>
  <c r="CY179" i="2"/>
  <c r="CY160" i="2"/>
  <c r="CY69" i="2"/>
  <c r="CY4" i="2"/>
  <c r="CY74" i="2"/>
  <c r="CY53" i="2"/>
  <c r="CY50" i="2"/>
  <c r="CY79" i="2"/>
  <c r="CY149" i="2"/>
  <c r="CY54" i="2"/>
  <c r="CY91" i="2"/>
  <c r="CY197" i="2"/>
  <c r="CY99" i="2"/>
  <c r="CY46" i="2"/>
  <c r="CY202" i="2"/>
  <c r="CY107" i="2"/>
  <c r="CY81" i="2"/>
  <c r="CY68" i="2"/>
  <c r="CY55" i="2"/>
  <c r="CY144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CD167" i="2" l="1"/>
  <c r="CD73" i="2"/>
  <c r="CD136" i="2"/>
  <c r="CD84" i="2"/>
  <c r="CD182" i="2"/>
  <c r="CD147" i="2"/>
  <c r="CD102" i="2"/>
  <c r="CD116" i="2"/>
  <c r="CD164" i="2"/>
  <c r="CD67" i="2"/>
  <c r="CD6" i="2"/>
  <c r="CD120" i="2"/>
  <c r="CD192" i="2"/>
  <c r="CD96" i="2"/>
  <c r="CD137" i="2"/>
  <c r="CD66" i="2"/>
  <c r="CD83" i="2"/>
  <c r="CD189" i="2"/>
  <c r="CD128" i="2"/>
  <c r="CD31" i="2"/>
  <c r="CD176" i="2"/>
  <c r="CD195" i="2"/>
  <c r="CD125" i="2"/>
  <c r="CD23" i="2"/>
  <c r="CD174" i="2"/>
  <c r="CD141" i="2"/>
  <c r="CD191" i="2"/>
  <c r="CD34" i="2"/>
  <c r="CD95" i="2"/>
  <c r="CD151" i="2"/>
  <c r="CD158" i="2"/>
  <c r="CD111" i="2"/>
  <c r="CD37" i="2"/>
  <c r="CD22" i="2"/>
  <c r="CD196" i="2"/>
  <c r="CD178" i="2"/>
  <c r="CD180" i="2"/>
  <c r="CD162" i="2"/>
  <c r="CD155" i="2"/>
  <c r="CD163" i="2"/>
  <c r="CD190" i="2"/>
  <c r="CD29" i="2"/>
  <c r="CD170" i="2"/>
  <c r="CD154" i="2"/>
  <c r="CD44" i="2"/>
  <c r="CD71" i="2"/>
  <c r="CD70" i="2"/>
  <c r="CD181" i="2"/>
  <c r="CD193" i="2"/>
  <c r="CD68" i="2"/>
  <c r="CD156" i="2"/>
  <c r="CD160" i="2"/>
  <c r="CD63" i="2"/>
  <c r="CD90" i="2"/>
  <c r="CD50" i="2"/>
  <c r="CD47" i="2"/>
  <c r="CD60" i="2"/>
  <c r="CD112" i="2"/>
  <c r="CD146" i="2"/>
  <c r="CD173" i="2"/>
  <c r="CD108" i="2"/>
  <c r="CD13" i="2"/>
  <c r="CD169" i="2"/>
  <c r="CD35" i="2"/>
  <c r="CD76" i="2"/>
  <c r="CD177" i="2"/>
  <c r="CD82" i="2"/>
  <c r="CD92" i="2"/>
  <c r="CD74" i="2"/>
  <c r="CD148" i="2"/>
  <c r="CD143" i="2"/>
  <c r="CD139" i="2"/>
  <c r="CD20" i="2"/>
  <c r="CD149" i="2"/>
  <c r="CD200" i="2"/>
  <c r="CD121" i="2"/>
  <c r="CD52" i="2"/>
  <c r="CD86" i="2"/>
  <c r="CD80" i="2"/>
  <c r="CD186" i="2"/>
  <c r="CD115" i="2"/>
  <c r="CD85" i="2"/>
  <c r="CD117" i="2"/>
  <c r="CD14" i="2"/>
  <c r="CD144" i="2"/>
  <c r="CD21" i="2"/>
  <c r="CD107" i="2"/>
  <c r="CD39" i="2"/>
  <c r="CD49" i="2"/>
  <c r="CD30" i="2"/>
  <c r="CD40" i="2"/>
  <c r="CD203" i="2"/>
  <c r="CD113" i="2"/>
  <c r="CD11" i="2"/>
  <c r="CD36" i="2"/>
  <c r="CD104" i="2"/>
  <c r="CD38" i="2"/>
  <c r="CD130" i="2"/>
  <c r="CD16" i="2"/>
  <c r="CD123" i="2"/>
  <c r="CD201" i="2"/>
  <c r="CD109" i="2"/>
  <c r="CD87" i="2"/>
  <c r="CD69" i="2"/>
  <c r="CD33" i="2"/>
  <c r="CD175" i="2"/>
  <c r="CD5" i="2"/>
  <c r="CD122" i="2"/>
  <c r="CD129" i="2"/>
  <c r="CD98" i="2"/>
  <c r="CD8" i="2"/>
  <c r="CD27" i="2"/>
  <c r="CD48" i="2"/>
  <c r="CD78" i="2"/>
  <c r="CD42" i="2"/>
  <c r="CD56" i="2"/>
  <c r="CD187" i="2"/>
  <c r="CD165" i="2"/>
  <c r="CD75" i="2"/>
  <c r="CD7" i="2"/>
  <c r="CD197" i="2"/>
  <c r="CD105" i="2"/>
  <c r="CD10" i="2"/>
  <c r="CD64" i="2"/>
  <c r="CD15" i="2"/>
  <c r="CD18" i="2"/>
  <c r="CD198" i="2"/>
  <c r="CD72" i="2"/>
  <c r="CD12" i="2"/>
  <c r="CD131" i="2"/>
  <c r="CD54" i="2"/>
  <c r="CD168" i="2"/>
  <c r="CD89" i="2"/>
  <c r="CD100" i="2"/>
  <c r="CD81" i="2"/>
  <c r="CD99" i="2"/>
  <c r="CD45" i="2"/>
  <c r="CD61" i="2"/>
  <c r="CD26" i="2"/>
  <c r="CD97" i="2"/>
  <c r="CD124" i="2"/>
  <c r="CD183" i="2"/>
  <c r="CD161" i="2"/>
  <c r="CD65" i="2"/>
  <c r="CD62" i="2"/>
  <c r="CD101" i="2"/>
  <c r="CD24" i="2"/>
  <c r="CD135" i="2"/>
  <c r="CD127" i="2"/>
  <c r="CD77" i="2"/>
  <c r="CD46" i="2"/>
  <c r="CD88" i="2"/>
  <c r="CD28" i="2"/>
  <c r="CD110" i="2"/>
  <c r="CD172" i="2"/>
  <c r="CD55" i="2"/>
  <c r="CD157" i="2"/>
  <c r="CD199" i="2"/>
  <c r="CD93" i="2"/>
  <c r="CD171" i="2"/>
  <c r="CD9" i="2"/>
  <c r="CD25" i="2"/>
  <c r="CD150" i="2"/>
  <c r="CD185" i="2"/>
  <c r="CD3" i="2"/>
  <c r="C9" i="4" s="1"/>
  <c r="E9" i="4" s="1"/>
  <c r="F9" i="4" s="1"/>
  <c r="G9" i="4" s="1"/>
  <c r="L9" i="4" s="1"/>
  <c r="CD53" i="2"/>
  <c r="CD4" i="2"/>
  <c r="CD133" i="2"/>
  <c r="CD202" i="2"/>
  <c r="CD94" i="2"/>
  <c r="CD118" i="2"/>
  <c r="CD166" i="2"/>
  <c r="CD153" i="2"/>
  <c r="CD106" i="2"/>
  <c r="CD188" i="2"/>
  <c r="CD19" i="2"/>
  <c r="CD184" i="2"/>
  <c r="CD119" i="2"/>
  <c r="CD59" i="2"/>
  <c r="CD126" i="2"/>
  <c r="CD142" i="2"/>
  <c r="CD152" i="2"/>
  <c r="CD159" i="2"/>
  <c r="CD57" i="2"/>
  <c r="CD138" i="2"/>
  <c r="CD51" i="2"/>
  <c r="CD134" i="2"/>
  <c r="CD140" i="2"/>
  <c r="CD79" i="2"/>
  <c r="CD179" i="2"/>
  <c r="CD114" i="2"/>
  <c r="CD58" i="2"/>
  <c r="CD43" i="2"/>
  <c r="CD103" i="2"/>
  <c r="CD145" i="2"/>
  <c r="CD91" i="2"/>
  <c r="CD41" i="2"/>
  <c r="CD132" i="2"/>
  <c r="CD32" i="2"/>
  <c r="CD17" i="2"/>
  <c r="CD194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BI152" i="2" l="1"/>
  <c r="BI47" i="2"/>
  <c r="BI117" i="2"/>
  <c r="BI26" i="2"/>
  <c r="BI79" i="2"/>
  <c r="BI129" i="2"/>
  <c r="BI149" i="2"/>
  <c r="BI94" i="2"/>
  <c r="BI130" i="2"/>
  <c r="BI48" i="2"/>
  <c r="BI39" i="2"/>
  <c r="BI4" i="2"/>
  <c r="BI52" i="2"/>
  <c r="BI10" i="2"/>
  <c r="BI68" i="2"/>
  <c r="BI179" i="2"/>
  <c r="BI16" i="2"/>
  <c r="BI96" i="2"/>
  <c r="BI21" i="2"/>
  <c r="BI61" i="2"/>
  <c r="BI132" i="2"/>
  <c r="BI137" i="2"/>
  <c r="BI193" i="2"/>
  <c r="BI164" i="2"/>
  <c r="BI33" i="2"/>
  <c r="BI106" i="2"/>
  <c r="BI97" i="2"/>
  <c r="BI17" i="2"/>
  <c r="BI41" i="2"/>
  <c r="BI20" i="2"/>
  <c r="BI135" i="2"/>
  <c r="BI189" i="2"/>
  <c r="BI98" i="2"/>
  <c r="BI29" i="2"/>
  <c r="BI172" i="2"/>
  <c r="BI157" i="2"/>
  <c r="BI196" i="2"/>
  <c r="BI30" i="2"/>
  <c r="BI168" i="2"/>
  <c r="BI84" i="2"/>
  <c r="BI44" i="2"/>
  <c r="BI11" i="2"/>
  <c r="BI201" i="2"/>
  <c r="BI86" i="2"/>
  <c r="BI191" i="2"/>
  <c r="BI113" i="2"/>
  <c r="BI105" i="2"/>
  <c r="BI7" i="2"/>
  <c r="BI58" i="2"/>
  <c r="BI159" i="2"/>
  <c r="BI199" i="2"/>
  <c r="BI74" i="2"/>
  <c r="BI12" i="2"/>
  <c r="BI144" i="2"/>
  <c r="BI112" i="2"/>
  <c r="BI76" i="2"/>
  <c r="BI146" i="2"/>
  <c r="BI77" i="2"/>
  <c r="BI64" i="2"/>
  <c r="BI120" i="2"/>
  <c r="BI162" i="2"/>
  <c r="BI114" i="2"/>
  <c r="BI100" i="2"/>
  <c r="BI192" i="2"/>
  <c r="BI131" i="2"/>
  <c r="BI69" i="2"/>
  <c r="BI177" i="2"/>
  <c r="BI56" i="2"/>
  <c r="BI103" i="2"/>
  <c r="BI90" i="2"/>
  <c r="BI82" i="2"/>
  <c r="BI141" i="2"/>
  <c r="BI136" i="2"/>
  <c r="BI62" i="2"/>
  <c r="BI99" i="2"/>
  <c r="BI154" i="2"/>
  <c r="BI87" i="2"/>
  <c r="BI125" i="2"/>
  <c r="BI50" i="2"/>
  <c r="BI88" i="2"/>
  <c r="BI151" i="2"/>
  <c r="BI63" i="2"/>
  <c r="BI186" i="2"/>
  <c r="BI53" i="2"/>
  <c r="BI147" i="2"/>
  <c r="BI36" i="2"/>
  <c r="BI134" i="2"/>
  <c r="BI161" i="2"/>
  <c r="BI95" i="2"/>
  <c r="BI167" i="2"/>
  <c r="BI37" i="2"/>
  <c r="BI163" i="2"/>
  <c r="BI23" i="2"/>
  <c r="BI59" i="2"/>
  <c r="BI57" i="2"/>
  <c r="BI116" i="2"/>
  <c r="BI34" i="2"/>
  <c r="BI109" i="2"/>
  <c r="BI73" i="2"/>
  <c r="BI170" i="2"/>
  <c r="BI123" i="2"/>
  <c r="BI35" i="2"/>
  <c r="BI9" i="2"/>
  <c r="BI72" i="2"/>
  <c r="BI181" i="2"/>
  <c r="BI15" i="2"/>
  <c r="BI38" i="2"/>
  <c r="BI128" i="2"/>
  <c r="BI85" i="2"/>
  <c r="BI5" i="2"/>
  <c r="BI71" i="2"/>
  <c r="BI176" i="2"/>
  <c r="BI175" i="2"/>
  <c r="BI127" i="2"/>
  <c r="BI27" i="2"/>
  <c r="BI45" i="2"/>
  <c r="BI115" i="2"/>
  <c r="BI32" i="2"/>
  <c r="BI158" i="2"/>
  <c r="BI160" i="2"/>
  <c r="BI18" i="2"/>
  <c r="BI178" i="2"/>
  <c r="BI200" i="2"/>
  <c r="BI124" i="2"/>
  <c r="BI133" i="2"/>
  <c r="BI55" i="2"/>
  <c r="BI150" i="2"/>
  <c r="BI143" i="2"/>
  <c r="BI183" i="2"/>
  <c r="BI111" i="2"/>
  <c r="BI51" i="2"/>
  <c r="BI54" i="2"/>
  <c r="BI70" i="2"/>
  <c r="BI42" i="2"/>
  <c r="BI198" i="2"/>
  <c r="BI166" i="2"/>
  <c r="BI108" i="2"/>
  <c r="BI140" i="2"/>
  <c r="BI43" i="2"/>
  <c r="BI155" i="2"/>
  <c r="BI65" i="2"/>
  <c r="BI139" i="2"/>
  <c r="BI22" i="2"/>
  <c r="BI122" i="2"/>
  <c r="BI121" i="2"/>
  <c r="BI46" i="2"/>
  <c r="BI107" i="2"/>
  <c r="BI92" i="2"/>
  <c r="BI142" i="2"/>
  <c r="BI3" i="2"/>
  <c r="C8" i="4" s="1"/>
  <c r="E8" i="4" s="1"/>
  <c r="F8" i="4" s="1"/>
  <c r="G8" i="4" s="1"/>
  <c r="L8" i="4" s="1"/>
  <c r="BI180" i="2"/>
  <c r="BI40" i="2"/>
  <c r="BI93" i="2"/>
  <c r="BI156" i="2"/>
  <c r="BI197" i="2"/>
  <c r="BI66" i="2"/>
  <c r="BI14" i="2"/>
  <c r="BI110" i="2"/>
  <c r="BI148" i="2"/>
  <c r="BI126" i="2"/>
  <c r="BI101" i="2"/>
  <c r="BI67" i="2"/>
  <c r="BI104" i="2"/>
  <c r="BI145" i="2"/>
  <c r="BI190" i="2"/>
  <c r="BI202" i="2"/>
  <c r="BI25" i="2"/>
  <c r="BI182" i="2"/>
  <c r="BI195" i="2"/>
  <c r="BI171" i="2"/>
  <c r="BI91" i="2"/>
  <c r="BI169" i="2"/>
  <c r="BI118" i="2"/>
  <c r="BI203" i="2"/>
  <c r="BI31" i="2"/>
  <c r="BI6" i="2"/>
  <c r="BI24" i="2"/>
  <c r="BI75" i="2"/>
  <c r="BI28" i="2"/>
  <c r="BI187" i="2"/>
  <c r="BI19" i="2"/>
  <c r="BI188" i="2"/>
  <c r="BI13" i="2"/>
  <c r="BI8" i="2"/>
  <c r="BI185" i="2"/>
  <c r="BI165" i="2"/>
  <c r="BI174" i="2"/>
  <c r="BI173" i="2"/>
  <c r="BI49" i="2"/>
  <c r="BI83" i="2"/>
  <c r="BI78" i="2"/>
  <c r="BI194" i="2"/>
  <c r="BI153" i="2"/>
  <c r="BI81" i="2"/>
  <c r="BI119" i="2"/>
  <c r="BI102" i="2"/>
  <c r="BI138" i="2"/>
  <c r="BI184" i="2"/>
  <c r="BI60" i="2"/>
  <c r="BI89" i="2"/>
  <c r="BI80" i="2"/>
  <c r="FE202" i="2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<sst xmlns="http://schemas.openxmlformats.org/spreadsheetml/2006/main" count="1196" uniqueCount="338">
  <si>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</si>
  <si>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</si>
  <si>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</si>
  <si>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</si>
  <si>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</si>
  <si>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</si>
  <si>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</si>
  <si>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</si>
  <si>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</si>
  <si>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</si>
  <si>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</si>
  <si>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</si>
  <si>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</si>
  <si>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</si>
  <si>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</si>
  <si>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</si>
  <si>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laricio</t>
  </si>
  <si>
    <t>NB : La durée de révolution doit être identique à la dernière année indiquée dans la table de production renseignée en dessous</t>
  </si>
  <si>
    <t>Essence 2</t>
  </si>
  <si>
    <t>Cèdre de l'Atlas</t>
  </si>
  <si>
    <t>Essence 3</t>
  </si>
  <si>
    <t>Peuplier Blanc du Poitou</t>
  </si>
  <si>
    <t>Essence 4</t>
  </si>
  <si>
    <t>Chêne sessile</t>
  </si>
  <si>
    <t>Essence 5</t>
  </si>
  <si>
    <t>Sapin de Nordmann</t>
  </si>
  <si>
    <t>Essence 6</t>
  </si>
  <si>
    <t>Chêne rouge d'Amérique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</si>
  <si>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</si>
  <si>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</si>
  <si>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</si>
  <si>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</si>
  <si>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</si>
  <si>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</si>
  <si>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</si>
  <si>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</si>
  <si>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</si>
  <si>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</si>
  <si>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</si>
  <si>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</si>
  <si>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</si>
  <si>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</si>
  <si>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</si>
  <si>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</si>
  <si>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</si>
  <si>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</si>
  <si>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</si>
  <si>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</si>
  <si>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</si>
  <si>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</si>
  <si>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</si>
  <si>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</si>
  <si>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</si>
  <si>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</si>
  <si>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</si>
  <si>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</si>
  <si>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</si>
  <si>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</si>
  <si>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</si>
  <si>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na</t>
  </si>
  <si>
    <t>CR</t>
  </si>
  <si>
    <t>54</t>
  </si>
  <si>
    <t>26</t>
  </si>
  <si>
    <t>27</t>
  </si>
  <si>
    <t>24</t>
  </si>
  <si>
    <t>23</t>
  </si>
  <si>
    <t>21</t>
  </si>
  <si>
    <t>20</t>
  </si>
  <si>
    <t>18</t>
  </si>
  <si>
    <t>16</t>
  </si>
  <si>
    <t>15</t>
  </si>
  <si>
    <t>14</t>
  </si>
  <si>
    <t>12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</si>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</sst>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54" xfId="0" applyFont="1" applyFill="1" applyBorder="1" applyAlignment="1" applyProtection="1">
      <alignment horizontal="center"/>
      <protection locked="0" hidden="1"/>
    </xf>
    <xf numFmtId="0" fontId="9" fillId="21" borderId="54" xfId="0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/>
      <protection locked="0" hidden="1"/>
    </xf>
    <xf numFmtId="9" fontId="9" fillId="21" borderId="54" xfId="1" applyFont="1" applyFill="1" applyBorder="1" applyAlignment="1" applyProtection="1">
      <alignment horizontal="center" vertical="center"/>
      <protection locked="0" hidden="1"/>
    </xf>
    <xf numFmtId="0" fontId="9" fillId="21" borderId="54" xfId="0" applyFont="1" applyFill="1" applyBorder="1" applyAlignment="1" applyProtection="1">
      <alignment horizontal="center" vertical="center"/>
      <protection locked="0" hidden="1"/>
    </xf>
    <xf numFmtId="9" fontId="9" fillId="21" borderId="54" xfId="1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 vertical="center"/>
      <protection locked="0"/>
    </xf>
    <xf numFmtId="0" fontId="9" fillId="21" borderId="54" xfId="0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1.9830898414103215</c:v>
                </c:pt>
                <c:pt idx="2">
                  <c:v>2.5358897943469625</c:v>
                </c:pt>
                <c:pt idx="3">
                  <c:v>3.2434053902640243</c:v>
                </c:pt>
                <c:pt idx="4">
                  <c:v>4.1491013676910162</c:v>
                </c:pt>
                <c:pt idx="5">
                  <c:v>5.3086961638054051</c:v>
                </c:pt>
                <c:pt idx="6">
                  <c:v>6.7936277869358754</c:v>
                </c:pt>
                <c:pt idx="7">
                  <c:v>8.6955029321760176</c:v>
                </c:pt>
                <c:pt idx="8">
                  <c:v>11.131809045990428</c:v>
                </c:pt>
                <c:pt idx="9">
                  <c:v>14.253248813468183</c:v>
                </c:pt>
                <c:pt idx="10">
                  <c:v>18.25315910971409</c:v>
                </c:pt>
                <c:pt idx="11">
                  <c:v>23.379608355026718</c:v>
                </c:pt>
                <c:pt idx="12">
                  <c:v>29.950935846041833</c:v>
                </c:pt>
                <c:pt idx="13">
                  <c:v>38.375714818299656</c:v>
                </c:pt>
                <c:pt idx="14">
                  <c:v>49.178401651990221</c:v>
                </c:pt>
                <c:pt idx="15">
                  <c:v>63.032294683329155</c:v>
                </c:pt>
                <c:pt idx="16">
                  <c:v>80.801890600111236</c:v>
                </c:pt>
                <c:pt idx="17">
                  <c:v>103.59732408398916</c:v>
                </c:pt>
                <c:pt idx="18">
                  <c:v>132.84434545688146</c:v>
                </c:pt>
                <c:pt idx="19">
                  <c:v>170.37428083713976</c:v>
                </c:pt>
                <c:pt idx="20">
                  <c:v>130.23960136812613</c:v>
                </c:pt>
                <c:pt idx="21">
                  <c:v>150.70436577575032</c:v>
                </c:pt>
                <c:pt idx="22">
                  <c:v>171.10283409899691</c:v>
                </c:pt>
                <c:pt idx="23">
                  <c:v>191.44402986530886</c:v>
                </c:pt>
                <c:pt idx="24">
                  <c:v>211.73489744686097</c:v>
                </c:pt>
                <c:pt idx="25">
                  <c:v>180.18542436067958</c:v>
                </c:pt>
                <c:pt idx="26">
                  <c:v>200.91767589861334</c:v>
                </c:pt>
                <c:pt idx="27">
                  <c:v>221.60034952388301</c:v>
                </c:pt>
                <c:pt idx="28">
                  <c:v>242.23872370500536</c:v>
                </c:pt>
                <c:pt idx="29">
                  <c:v>262.83710312637839</c:v>
                </c:pt>
                <c:pt idx="30">
                  <c:v>283.39906225257022</c:v>
                </c:pt>
                <c:pt idx="31">
                  <c:v>231.49394879910827</c:v>
                </c:pt>
                <c:pt idx="32">
                  <c:v>251.42218658177271</c:v>
                </c:pt>
                <c:pt idx="33">
                  <c:v>271.31463054978218</c:v>
                </c:pt>
                <c:pt idx="34">
                  <c:v>291.17427356157549</c:v>
                </c:pt>
                <c:pt idx="35">
                  <c:v>311.00366679642457</c:v>
                </c:pt>
                <c:pt idx="36">
                  <c:v>330.80500953824486</c:v>
                </c:pt>
                <c:pt idx="37">
                  <c:v>350.58021631475617</c:v>
                </c:pt>
                <c:pt idx="38">
                  <c:v>314.46887739606865</c:v>
                </c:pt>
                <c:pt idx="39">
                  <c:v>334.11294094960175</c:v>
                </c:pt>
                <c:pt idx="40">
                  <c:v>353.73156195241717</c:v>
                </c:pt>
                <c:pt idx="41">
                  <c:v>373.32634935906952</c:v>
                </c:pt>
                <c:pt idx="42">
                  <c:v>392.89872949433806</c:v>
                </c:pt>
                <c:pt idx="43">
                  <c:v>412.44997503614445</c:v>
                </c:pt>
                <c:pt idx="44">
                  <c:v>431.98122821530256</c:v>
                </c:pt>
                <c:pt idx="45">
                  <c:v>451.49351960053679</c:v>
                </c:pt>
                <c:pt idx="46">
                  <c:v>470.98778346710793</c:v>
                </c:pt>
                <c:pt idx="47">
                  <c:v>396.32168925579339</c:v>
                </c:pt>
                <c:pt idx="48">
                  <c:v>413.87245457205836</c:v>
                </c:pt>
                <c:pt idx="49">
                  <c:v>431.40717003189997</c:v>
                </c:pt>
                <c:pt idx="50">
                  <c:v>448.92657952752438</c:v>
                </c:pt>
                <c:pt idx="51">
                  <c:v>466.43136417869431</c:v>
                </c:pt>
                <c:pt idx="52">
                  <c:v>483.92214983519551</c:v>
                </c:pt>
                <c:pt idx="53">
                  <c:v>501.39951343839198</c:v>
                </c:pt>
                <c:pt idx="54">
                  <c:v>518.86398844987571</c:v>
                </c:pt>
                <c:pt idx="55">
                  <c:v>536.3160695114376</c:v>
                </c:pt>
                <c:pt idx="56">
                  <c:v>553.75621646716343</c:v>
                </c:pt>
                <c:pt idx="57">
                  <c:v>492.9675371004887</c:v>
                </c:pt>
                <c:pt idx="58">
                  <c:v>508.23604628992302</c:v>
                </c:pt>
                <c:pt idx="59">
                  <c:v>523.49486391950961</c:v>
                </c:pt>
                <c:pt idx="60">
                  <c:v>538.7443121486084</c:v>
                </c:pt>
                <c:pt idx="61">
                  <c:v>553.98469341960538</c:v>
                </c:pt>
                <c:pt idx="62">
                  <c:v>569.21629218509656</c:v>
                </c:pt>
                <c:pt idx="63">
                  <c:v>584.43937644066193</c:v>
                </c:pt>
                <c:pt idx="64">
                  <c:v>599.65419908970955</c:v>
                </c:pt>
                <c:pt idx="65">
                  <c:v>614.86099916266949</c:v>
                </c:pt>
                <c:pt idx="66">
                  <c:v>630.06000290936356</c:v>
                </c:pt>
                <c:pt idx="67">
                  <c:v>556.63682628095387</c:v>
                </c:pt>
                <c:pt idx="68">
                  <c:v>569.23572590689196</c:v>
                </c:pt>
                <c:pt idx="69">
                  <c:v>581.8287999403052</c:v>
                </c:pt>
                <c:pt idx="70">
                  <c:v>594.41619219958932</c:v>
                </c:pt>
                <c:pt idx="71">
                  <c:v>606.99803991747683</c:v>
                </c:pt>
                <c:pt idx="72">
                  <c:v>619.57447417572041</c:v>
                </c:pt>
                <c:pt idx="73">
                  <c:v>632.14562030266472</c:v>
                </c:pt>
                <c:pt idx="74">
                  <c:v>644.71159823756022</c:v>
                </c:pt>
                <c:pt idx="75">
                  <c:v>657.27252286501243</c:v>
                </c:pt>
                <c:pt idx="76">
                  <c:v>669.82850432254793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1.4217567752663396</c:v>
                </c:pt>
                <c:pt idx="2">
                  <c:v>1.6496387760333995</c:v>
                </c:pt>
                <c:pt idx="3">
                  <c:v>1.9141825094116696</c:v>
                </c:pt>
                <c:pt idx="4">
                  <c:v>2.2213069404908978</c:v>
                </c:pt>
                <c:pt idx="5">
                  <c:v>2.5778898048880068</c:v>
                </c:pt>
                <c:pt idx="6">
                  <c:v>2.9919233927322302</c:v>
                </c:pt>
                <c:pt idx="7">
                  <c:v>3.472695717358198</c:v>
                </c:pt>
                <c:pt idx="8">
                  <c:v>4.0310012160061346</c:v>
                </c:pt>
                <c:pt idx="9">
                  <c:v>4.6793858090430804</c:v>
                </c:pt>
                <c:pt idx="10">
                  <c:v>5.432431934915944</c:v>
                </c:pt>
                <c:pt idx="11">
                  <c:v>6.3070900985608995</c:v>
                </c:pt>
                <c:pt idx="12">
                  <c:v>7.3230645426796004</c:v>
                </c:pt>
                <c:pt idx="13">
                  <c:v>8.5032618990257713</c:v>
                </c:pt>
                <c:pt idx="14">
                  <c:v>9.8743131296009761</c:v>
                </c:pt>
                <c:pt idx="15">
                  <c:v>11.467180759188034</c:v>
                </c:pt>
                <c:pt idx="16">
                  <c:v>13.31786537027314</c:v>
                </c:pt>
                <c:pt idx="17">
                  <c:v>15.468227624926827</c:v>
                </c:pt>
                <c:pt idx="18">
                  <c:v>17.96694474899018</c:v>
                </c:pt>
                <c:pt idx="19">
                  <c:v>20.870623524111782</c:v>
                </c:pt>
                <c:pt idx="20">
                  <c:v>24.245095455229389</c:v>
                </c:pt>
                <c:pt idx="21">
                  <c:v>28.166923999370677</c:v>
                </c:pt>
                <c:pt idx="22">
                  <c:v>32.725158654475884</c:v>
                </c:pt>
                <c:pt idx="23">
                  <c:v>38.023376428874322</c:v>
                </c:pt>
                <c:pt idx="24">
                  <c:v>44.182057876552157</c:v>
                </c:pt>
                <c:pt idx="25">
                  <c:v>51.341352645956526</c:v>
                </c:pt>
                <c:pt idx="26">
                  <c:v>59.664298532021071</c:v>
                </c:pt>
                <c:pt idx="27">
                  <c:v>69.340568553547996</c:v>
                </c:pt>
                <c:pt idx="28">
                  <c:v>80.590832847134777</c:v>
                </c:pt>
                <c:pt idx="29">
                  <c:v>93.671836461268967</c:v>
                </c:pt>
                <c:pt idx="30">
                  <c:v>108.88231078423301</c:v>
                </c:pt>
                <c:pt idx="31">
                  <c:v>119.55269284122029</c:v>
                </c:pt>
                <c:pt idx="32">
                  <c:v>130.19985837355313</c:v>
                </c:pt>
                <c:pt idx="33">
                  <c:v>140.82597594357108</c:v>
                </c:pt>
                <c:pt idx="34">
                  <c:v>151.43285943489818</c:v>
                </c:pt>
                <c:pt idx="35">
                  <c:v>162.02204740767968</c:v>
                </c:pt>
                <c:pt idx="36">
                  <c:v>172.59486055735832</c:v>
                </c:pt>
                <c:pt idx="37">
                  <c:v>183.15244431920306</c:v>
                </c:pt>
                <c:pt idx="38">
                  <c:v>193.69580111200079</c:v>
                </c:pt>
                <c:pt idx="39">
                  <c:v>204.22581517936158</c:v>
                </c:pt>
                <c:pt idx="40">
                  <c:v>214.74327203018319</c:v>
                </c:pt>
                <c:pt idx="41">
                  <c:v>225.2488738650726</c:v>
                </c:pt>
                <c:pt idx="42">
                  <c:v>235.74325197003046</c:v>
                </c:pt>
                <c:pt idx="43">
                  <c:v>246.22697678490542</c:v>
                </c:pt>
                <c:pt idx="44">
                  <c:v>256.70056616536107</c:v>
                </c:pt>
                <c:pt idx="45">
                  <c:v>267.16449222449438</c:v>
                </c:pt>
                <c:pt idx="46">
                  <c:v>277.6191870455084</c:v>
                </c:pt>
                <c:pt idx="47">
                  <c:v>288.06504748811147</c:v>
                </c:pt>
                <c:pt idx="48">
                  <c:v>298.50243926074967</c:v>
                </c:pt>
                <c:pt idx="49">
                  <c:v>308.93170039309683</c:v>
                </c:pt>
                <c:pt idx="50">
                  <c:v>319.3531442148153</c:v>
                </c:pt>
                <c:pt idx="51">
                  <c:v>329.76706192494242</c:v>
                </c:pt>
                <c:pt idx="52">
                  <c:v>239.89963130204032</c:v>
                </c:pt>
                <c:pt idx="53">
                  <c:v>250.73733022777768</c:v>
                </c:pt>
                <c:pt idx="54">
                  <c:v>261.56441168915899</c:v>
                </c:pt>
                <c:pt idx="55">
                  <c:v>272.38137740343666</c:v>
                </c:pt>
                <c:pt idx="56">
                  <c:v>283.18868595745323</c:v>
                </c:pt>
                <c:pt idx="57">
                  <c:v>293.98675805542308</c:v>
                </c:pt>
                <c:pt idx="58">
                  <c:v>304.77598095482739</c:v>
                </c:pt>
                <c:pt idx="59">
                  <c:v>315.55671224092112</c:v>
                </c:pt>
                <c:pt idx="60">
                  <c:v>326.32928305815631</c:v>
                </c:pt>
                <c:pt idx="61">
                  <c:v>337.09400089238392</c:v>
                </c:pt>
                <c:pt idx="62">
                  <c:v>347.85115197892782</c:v>
                </c:pt>
                <c:pt idx="63">
                  <c:v>358.60100339709646</c:v>
                </c:pt>
                <c:pt idx="64">
                  <c:v>260.16574342755524</c:v>
                </c:pt>
                <c:pt idx="65">
                  <c:v>270.03856838682231</c:v>
                </c:pt>
                <c:pt idx="66">
                  <c:v>279.90327150057988</c:v>
                </c:pt>
                <c:pt idx="67">
                  <c:v>289.76017957093472</c:v>
                </c:pt>
                <c:pt idx="68">
                  <c:v>299.60959533432202</c:v>
                </c:pt>
                <c:pt idx="69">
                  <c:v>309.4517999837621</c:v>
                </c:pt>
                <c:pt idx="70">
                  <c:v>319.28705535324553</c:v>
                </c:pt>
                <c:pt idx="71">
                  <c:v>329.1156058187384</c:v>
                </c:pt>
                <c:pt idx="72">
                  <c:v>338.93767996010916</c:v>
                </c:pt>
                <c:pt idx="73">
                  <c:v>348.75349202024881</c:v>
                </c:pt>
                <c:pt idx="74">
                  <c:v>358.56324319126111</c:v>
                </c:pt>
                <c:pt idx="75">
                  <c:v>368.367122752488</c:v>
                </c:pt>
                <c:pt idx="76">
                  <c:v>291.98679373574424</c:v>
                </c:pt>
                <c:pt idx="77">
                  <c:v>301.01220487244694</c:v>
                </c:pt>
                <c:pt idx="78">
                  <c:v>310.031591827932</c:v>
                </c:pt>
                <c:pt idx="79">
                  <c:v>319.04515470328221</c:v>
                </c:pt>
                <c:pt idx="80">
                  <c:v>328.0530813618015</c:v>
                </c:pt>
                <c:pt idx="81">
                  <c:v>337.05554850027073</c:v>
                </c:pt>
                <c:pt idx="82">
                  <c:v>346.05272259970707</c:v>
                </c:pt>
                <c:pt idx="83">
                  <c:v>355.04476077203134</c:v>
                </c:pt>
                <c:pt idx="84">
                  <c:v>364.03181151643639</c:v>
                </c:pt>
                <c:pt idx="85">
                  <c:v>373.0140153971318</c:v>
                </c:pt>
                <c:pt idx="86">
                  <c:v>381.99150565236943</c:v>
                </c:pt>
                <c:pt idx="87">
                  <c:v>390.96440874320461</c:v>
                </c:pt>
                <c:pt idx="88">
                  <c:v>316.25819110098661</c:v>
                </c:pt>
                <c:pt idx="89">
                  <c:v>324.4045219570105</c:v>
                </c:pt>
                <c:pt idx="90">
                  <c:v>332.54633237194383</c:v>
                </c:pt>
                <c:pt idx="91">
                  <c:v>340.68374872160194</c:v>
                </c:pt>
                <c:pt idx="92">
                  <c:v>348.81689084712229</c:v>
                </c:pt>
                <c:pt idx="93">
                  <c:v>356.94587254069387</c:v>
                </c:pt>
                <c:pt idx="94">
                  <c:v>365.07080198470561</c:v>
                </c:pt>
                <c:pt idx="95">
                  <c:v>373.19178214973607</c:v>
                </c:pt>
                <c:pt idx="96">
                  <c:v>381.30891115607625</c:v>
                </c:pt>
                <c:pt idx="97">
                  <c:v>389.4222826028456</c:v>
                </c:pt>
                <c:pt idx="98">
                  <c:v>397.53198586823692</c:v>
                </c:pt>
                <c:pt idx="99">
                  <c:v>405.6381063839724</c:v>
                </c:pt>
                <c:pt idx="100">
                  <c:v>212.56848233940431</c:v>
                </c:pt>
                <c:pt idx="101">
                  <c:v>218.27904148126387</c:v>
                </c:pt>
                <c:pt idx="102">
                  <c:v>223.98616720918039</c:v>
                </c:pt>
                <c:pt idx="103">
                  <c:v>229.68995950268229</c:v>
                </c:pt>
                <c:pt idx="104">
                  <c:v>235.39051296187952</c:v>
                </c:pt>
                <c:pt idx="105">
                  <c:v>241.08791722313939</c:v>
                </c:pt>
                <c:pt idx="106">
                  <c:v>246.78225733335694</c:v>
                </c:pt>
                <c:pt idx="107">
                  <c:v>252.47361408782808</c:v>
                </c:pt>
                <c:pt idx="108">
                  <c:v>258.16206433602196</c:v>
                </c:pt>
                <c:pt idx="109">
                  <c:v>263.8476812589596</c:v>
                </c:pt>
                <c:pt idx="110">
                  <c:v>6.0761376450252565E-12</c:v>
                </c:pt>
                <c:pt idx="111">
                  <c:v>6.0761376450252565E-12</c:v>
                </c:pt>
                <c:pt idx="112">
                  <c:v>6.0761376450252565E-12</c:v>
                </c:pt>
                <c:pt idx="113">
                  <c:v>6.0761376450252565E-12</c:v>
                </c:pt>
                <c:pt idx="114">
                  <c:v>6.0761376450252565E-12</c:v>
                </c:pt>
                <c:pt idx="115">
                  <c:v>6.0761376450252565E-12</c:v>
                </c:pt>
                <c:pt idx="116">
                  <c:v>6.0761376450252565E-12</c:v>
                </c:pt>
                <c:pt idx="117">
                  <c:v>6.0761376450252565E-12</c:v>
                </c:pt>
                <c:pt idx="118">
                  <c:v>6.0761376450252565E-12</c:v>
                </c:pt>
                <c:pt idx="119">
                  <c:v>6.0761376450252565E-12</c:v>
                </c:pt>
                <c:pt idx="120">
                  <c:v>6.0761376450252565E-12</c:v>
                </c:pt>
                <c:pt idx="121">
                  <c:v>6.0761376450252565E-12</c:v>
                </c:pt>
                <c:pt idx="122">
                  <c:v>6.0761376450252565E-12</c:v>
                </c:pt>
                <c:pt idx="123">
                  <c:v>6.0761376450252565E-12</c:v>
                </c:pt>
                <c:pt idx="124">
                  <c:v>6.0761376450252565E-12</c:v>
                </c:pt>
                <c:pt idx="125">
                  <c:v>6.0761376450252565E-12</c:v>
                </c:pt>
                <c:pt idx="126">
                  <c:v>6.0761376450252565E-12</c:v>
                </c:pt>
                <c:pt idx="127">
                  <c:v>6.0761376450252565E-12</c:v>
                </c:pt>
                <c:pt idx="128">
                  <c:v>6.0761376450252565E-12</c:v>
                </c:pt>
                <c:pt idx="129">
                  <c:v>6.0761376450252565E-12</c:v>
                </c:pt>
                <c:pt idx="130">
                  <c:v>6.0761376450252565E-12</c:v>
                </c:pt>
                <c:pt idx="131">
                  <c:v>6.0761376450252565E-12</c:v>
                </c:pt>
                <c:pt idx="132">
                  <c:v>6.0761376450252565E-12</c:v>
                </c:pt>
                <c:pt idx="133">
                  <c:v>6.0761376450252565E-12</c:v>
                </c:pt>
                <c:pt idx="134">
                  <c:v>6.0761376450252565E-12</c:v>
                </c:pt>
                <c:pt idx="135">
                  <c:v>6.0761376450252565E-12</c:v>
                </c:pt>
                <c:pt idx="136">
                  <c:v>6.0761376450252565E-12</c:v>
                </c:pt>
                <c:pt idx="137">
                  <c:v>6.0761376450252565E-12</c:v>
                </c:pt>
                <c:pt idx="138">
                  <c:v>6.0761376450252565E-12</c:v>
                </c:pt>
                <c:pt idx="139">
                  <c:v>6.0761376450252565E-12</c:v>
                </c:pt>
                <c:pt idx="140">
                  <c:v>6.0761376450252565E-12</c:v>
                </c:pt>
                <c:pt idx="141">
                  <c:v>6.0761376450252565E-12</c:v>
                </c:pt>
                <c:pt idx="142">
                  <c:v>6.0761376450252565E-12</c:v>
                </c:pt>
                <c:pt idx="143">
                  <c:v>6.0761376450252565E-12</c:v>
                </c:pt>
                <c:pt idx="144">
                  <c:v>6.0761376450252565E-12</c:v>
                </c:pt>
                <c:pt idx="145">
                  <c:v>6.0761376450252565E-12</c:v>
                </c:pt>
                <c:pt idx="146">
                  <c:v>6.0761376450252565E-12</c:v>
                </c:pt>
                <c:pt idx="147">
                  <c:v>6.0761376450252565E-12</c:v>
                </c:pt>
                <c:pt idx="148">
                  <c:v>6.0761376450252565E-12</c:v>
                </c:pt>
                <c:pt idx="149">
                  <c:v>6.0761376450252565E-12</c:v>
                </c:pt>
                <c:pt idx="150">
                  <c:v>6.0761376450252565E-12</c:v>
                </c:pt>
                <c:pt idx="151">
                  <c:v>6.0761376450252565E-12</c:v>
                </c:pt>
                <c:pt idx="152">
                  <c:v>6.0761376450252565E-12</c:v>
                </c:pt>
                <c:pt idx="153">
                  <c:v>6.0761376450252565E-12</c:v>
                </c:pt>
                <c:pt idx="154">
                  <c:v>6.0761376450252565E-12</c:v>
                </c:pt>
                <c:pt idx="155">
                  <c:v>6.0761376450252565E-12</c:v>
                </c:pt>
                <c:pt idx="156">
                  <c:v>6.0761376450252565E-12</c:v>
                </c:pt>
                <c:pt idx="157">
                  <c:v>6.0761376450252565E-12</c:v>
                </c:pt>
                <c:pt idx="158">
                  <c:v>6.0761376450252565E-12</c:v>
                </c:pt>
                <c:pt idx="159">
                  <c:v>6.0761376450252565E-12</c:v>
                </c:pt>
                <c:pt idx="160">
                  <c:v>6.0761376450252565E-12</c:v>
                </c:pt>
                <c:pt idx="161">
                  <c:v>6.0761376450252565E-12</c:v>
                </c:pt>
                <c:pt idx="162">
                  <c:v>6.0761376450252565E-12</c:v>
                </c:pt>
                <c:pt idx="163">
                  <c:v>6.0761376450252565E-12</c:v>
                </c:pt>
                <c:pt idx="164">
                  <c:v>6.0761376450252565E-12</c:v>
                </c:pt>
                <c:pt idx="165">
                  <c:v>6.0761376450252565E-12</c:v>
                </c:pt>
                <c:pt idx="166">
                  <c:v>6.0761376450252565E-12</c:v>
                </c:pt>
                <c:pt idx="167">
                  <c:v>6.0761376450252565E-12</c:v>
                </c:pt>
                <c:pt idx="168">
                  <c:v>6.0761376450252565E-12</c:v>
                </c:pt>
                <c:pt idx="169">
                  <c:v>6.0761376450252565E-12</c:v>
                </c:pt>
                <c:pt idx="170">
                  <c:v>6.0761376450252565E-12</c:v>
                </c:pt>
                <c:pt idx="171">
                  <c:v>6.0761376450252565E-12</c:v>
                </c:pt>
                <c:pt idx="172">
                  <c:v>6.0761376450252565E-12</c:v>
                </c:pt>
                <c:pt idx="173">
                  <c:v>6.0761376450252565E-12</c:v>
                </c:pt>
                <c:pt idx="174">
                  <c:v>6.0761376450252565E-12</c:v>
                </c:pt>
                <c:pt idx="175">
                  <c:v>6.0761376450252565E-12</c:v>
                </c:pt>
                <c:pt idx="176">
                  <c:v>6.0761376450252565E-12</c:v>
                </c:pt>
                <c:pt idx="177">
                  <c:v>6.0761376450252565E-12</c:v>
                </c:pt>
                <c:pt idx="178">
                  <c:v>6.0761376450252565E-12</c:v>
                </c:pt>
                <c:pt idx="179">
                  <c:v>6.0761376450252565E-12</c:v>
                </c:pt>
                <c:pt idx="180">
                  <c:v>6.0761376450252565E-12</c:v>
                </c:pt>
                <c:pt idx="181">
                  <c:v>6.0761376450252565E-12</c:v>
                </c:pt>
                <c:pt idx="182">
                  <c:v>6.0761376450252565E-12</c:v>
                </c:pt>
                <c:pt idx="183">
                  <c:v>6.0761376450252565E-12</c:v>
                </c:pt>
                <c:pt idx="184">
                  <c:v>6.0761376450252565E-12</c:v>
                </c:pt>
                <c:pt idx="185">
                  <c:v>6.0761376450252565E-12</c:v>
                </c:pt>
                <c:pt idx="186">
                  <c:v>6.0761376450252565E-12</c:v>
                </c:pt>
                <c:pt idx="187">
                  <c:v>6.0761376450252565E-12</c:v>
                </c:pt>
                <c:pt idx="188">
                  <c:v>6.0761376450252565E-12</c:v>
                </c:pt>
                <c:pt idx="189">
                  <c:v>6.0761376450252565E-12</c:v>
                </c:pt>
                <c:pt idx="190">
                  <c:v>6.0761376450252565E-12</c:v>
                </c:pt>
                <c:pt idx="191">
                  <c:v>6.0761376450252565E-12</c:v>
                </c:pt>
                <c:pt idx="192">
                  <c:v>6.0761376450252565E-12</c:v>
                </c:pt>
                <c:pt idx="193">
                  <c:v>6.0761376450252565E-12</c:v>
                </c:pt>
                <c:pt idx="194">
                  <c:v>6.0761376450252565E-12</c:v>
                </c:pt>
                <c:pt idx="195">
                  <c:v>6.0761376450252565E-12</c:v>
                </c:pt>
                <c:pt idx="196">
                  <c:v>6.0761376450252565E-12</c:v>
                </c:pt>
                <c:pt idx="197">
                  <c:v>6.0761376450252565E-12</c:v>
                </c:pt>
                <c:pt idx="198">
                  <c:v>6.0761376450252565E-12</c:v>
                </c:pt>
                <c:pt idx="199">
                  <c:v>6.0761376450252565E-12</c:v>
                </c:pt>
                <c:pt idx="200">
                  <c:v>6.0761376450252565E-12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1.6440180319856834</c:v>
                </c:pt>
                <c:pt idx="2">
                  <c:v>2.1310025368625376</c:v>
                </c:pt>
                <c:pt idx="3">
                  <c:v>2.7628317506673983</c:v>
                </c:pt>
                <c:pt idx="4">
                  <c:v>3.5827534828204688</c:v>
                </c:pt>
                <c:pt idx="5">
                  <c:v>9.0318249732510782</c:v>
                </c:pt>
                <c:pt idx="6">
                  <c:v>16.050164888215399</c:v>
                </c:pt>
                <c:pt idx="7">
                  <c:v>24.518189786773672</c:v>
                </c:pt>
                <c:pt idx="8">
                  <c:v>34.317166943133714</c:v>
                </c:pt>
                <c:pt idx="9">
                  <c:v>45.331008717454175</c:v>
                </c:pt>
                <c:pt idx="10">
                  <c:v>57.445958207875528</c:v>
                </c:pt>
                <c:pt idx="11">
                  <c:v>70.550137434575348</c:v>
                </c:pt>
                <c:pt idx="12">
                  <c:v>84.533173172745606</c:v>
                </c:pt>
                <c:pt idx="13">
                  <c:v>99.285908582769068</c:v>
                </c:pt>
                <c:pt idx="14">
                  <c:v>114.70018196149935</c:v>
                </c:pt>
                <c:pt idx="15">
                  <c:v>130.66865484818763</c:v>
                </c:pt>
                <c:pt idx="16">
                  <c:v>147.08467614292741</c:v>
                </c:pt>
                <c:pt idx="17">
                  <c:v>163.84217270427979</c:v>
                </c:pt>
                <c:pt idx="18">
                  <c:v>180.83555964847494</c:v>
                </c:pt>
                <c:pt idx="19">
                  <c:v>197.95966548353047</c:v>
                </c:pt>
                <c:pt idx="20">
                  <c:v>215.10966852814713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2.667909617466746</c:v>
                </c:pt>
                <c:pt idx="2">
                  <c:v>3.080688929443518</c:v>
                </c:pt>
                <c:pt idx="3">
                  <c:v>3.5575634779865912</c:v>
                </c:pt>
                <c:pt idx="4">
                  <c:v>4.1085195390527138</c:v>
                </c:pt>
                <c:pt idx="5">
                  <c:v>4.7451042210269661</c:v>
                </c:pt>
                <c:pt idx="6">
                  <c:v>5.4806701381868947</c:v>
                </c:pt>
                <c:pt idx="7">
                  <c:v>6.3306585431839606</c:v>
                </c:pt>
                <c:pt idx="8">
                  <c:v>7.3129269788479538</c:v>
                </c:pt>
                <c:pt idx="9">
                  <c:v>8.4481284667766943</c:v>
                </c:pt>
                <c:pt idx="10">
                  <c:v>9.7601503588166789</c:v>
                </c:pt>
                <c:pt idx="11">
                  <c:v>11.276622261690939</c:v>
                </c:pt>
                <c:pt idx="12">
                  <c:v>13.029503932524534</c:v>
                </c:pt>
                <c:pt idx="13">
                  <c:v>15.05576576611359</c:v>
                </c:pt>
                <c:pt idx="14">
                  <c:v>17.398176490865293</c:v>
                </c:pt>
                <c:pt idx="15">
                  <c:v>20.106215002729332</c:v>
                </c:pt>
                <c:pt idx="16">
                  <c:v>23.237125945359207</c:v>
                </c:pt>
                <c:pt idx="17">
                  <c:v>26.857141748381519</c:v>
                </c:pt>
                <c:pt idx="18">
                  <c:v>31.042897431465445</c:v>
                </c:pt>
                <c:pt idx="19">
                  <c:v>35.883068648053175</c:v>
                </c:pt>
                <c:pt idx="20">
                  <c:v>41.480268269754895</c:v>
                </c:pt>
                <c:pt idx="21">
                  <c:v>47.953242405567302</c:v>
                </c:pt>
                <c:pt idx="22">
                  <c:v>55.43941323099606</c:v>
                </c:pt>
                <c:pt idx="23">
                  <c:v>64.097823511988949</c:v>
                </c:pt>
                <c:pt idx="24">
                  <c:v>74.112546410920089</c:v>
                </c:pt>
                <c:pt idx="25">
                  <c:v>85.696634246367395</c:v>
                </c:pt>
                <c:pt idx="26">
                  <c:v>99.096691564956032</c:v>
                </c:pt>
                <c:pt idx="27">
                  <c:v>114.59817142698819</c:v>
                </c:pt>
                <c:pt idx="28">
                  <c:v>132.53150950343473</c:v>
                </c:pt>
                <c:pt idx="29">
                  <c:v>153.27922877270862</c:v>
                </c:pt>
                <c:pt idx="30">
                  <c:v>177.28416868864713</c:v>
                </c:pt>
                <c:pt idx="31">
                  <c:v>186.85852241007805</c:v>
                </c:pt>
                <c:pt idx="32">
                  <c:v>196.42143018780357</c:v>
                </c:pt>
                <c:pt idx="33">
                  <c:v>205.97352841335029</c:v>
                </c:pt>
                <c:pt idx="34">
                  <c:v>215.51538956058735</c:v>
                </c:pt>
                <c:pt idx="35">
                  <c:v>225.04753121341301</c:v>
                </c:pt>
                <c:pt idx="36">
                  <c:v>234.5704234817772</c:v>
                </c:pt>
                <c:pt idx="37">
                  <c:v>140.20798228144534</c:v>
                </c:pt>
                <c:pt idx="38">
                  <c:v>152.15463419355333</c:v>
                </c:pt>
                <c:pt idx="39">
                  <c:v>164.07895379586694</c:v>
                </c:pt>
                <c:pt idx="40">
                  <c:v>175.98279413312909</c:v>
                </c:pt>
                <c:pt idx="41">
                  <c:v>187.86773672687903</c:v>
                </c:pt>
                <c:pt idx="42">
                  <c:v>199.73514640263386</c:v>
                </c:pt>
                <c:pt idx="43">
                  <c:v>211.58621237553257</c:v>
                </c:pt>
                <c:pt idx="44">
                  <c:v>223.42197963160461</c:v>
                </c:pt>
                <c:pt idx="45">
                  <c:v>184.40636898489313</c:v>
                </c:pt>
                <c:pt idx="46">
                  <c:v>197.0297206989153</c:v>
                </c:pt>
                <c:pt idx="47">
                  <c:v>209.63430102979467</c:v>
                </c:pt>
                <c:pt idx="48">
                  <c:v>222.22139825585066</c:v>
                </c:pt>
                <c:pt idx="49">
                  <c:v>234.79214266880146</c:v>
                </c:pt>
                <c:pt idx="50">
                  <c:v>247.34753355287896</c:v>
                </c:pt>
                <c:pt idx="51">
                  <c:v>259.88846039210085</c:v>
                </c:pt>
                <c:pt idx="52">
                  <c:v>272.41571976522204</c:v>
                </c:pt>
                <c:pt idx="53">
                  <c:v>227.74160382906027</c:v>
                </c:pt>
                <c:pt idx="54">
                  <c:v>240.51460522330777</c:v>
                </c:pt>
                <c:pt idx="55">
                  <c:v>253.27216895572658</c:v>
                </c:pt>
                <c:pt idx="56">
                  <c:v>266.01518249139929</c:v>
                </c:pt>
                <c:pt idx="57">
                  <c:v>278.74444128096769</c:v>
                </c:pt>
                <c:pt idx="58">
                  <c:v>291.46066215719679</c:v>
                </c:pt>
                <c:pt idx="59">
                  <c:v>304.16449426946457</c:v>
                </c:pt>
                <c:pt idx="60">
                  <c:v>316.85652809470906</c:v>
                </c:pt>
                <c:pt idx="61">
                  <c:v>265.8485855780346</c:v>
                </c:pt>
                <c:pt idx="62">
                  <c:v>278.29338643124032</c:v>
                </c:pt>
                <c:pt idx="63">
                  <c:v>290.72570331660137</c:v>
                </c:pt>
                <c:pt idx="64">
                  <c:v>303.14614548648473</c:v>
                </c:pt>
                <c:pt idx="65">
                  <c:v>315.55526817287597</c:v>
                </c:pt>
                <c:pt idx="66">
                  <c:v>327.95357935848665</c:v>
                </c:pt>
                <c:pt idx="67">
                  <c:v>340.3415454699022</c:v>
                </c:pt>
                <c:pt idx="68">
                  <c:v>352.71959619817363</c:v>
                </c:pt>
                <c:pt idx="69">
                  <c:v>300.51671422101811</c:v>
                </c:pt>
                <c:pt idx="70">
                  <c:v>312.65732651861669</c:v>
                </c:pt>
                <c:pt idx="71">
                  <c:v>324.78748460712211</c:v>
                </c:pt>
                <c:pt idx="72">
                  <c:v>336.90763406458399</c:v>
                </c:pt>
                <c:pt idx="73">
                  <c:v>349.01818578301283</c:v>
                </c:pt>
                <c:pt idx="74">
                  <c:v>361.11951980403455</c:v>
                </c:pt>
                <c:pt idx="75">
                  <c:v>373.2119886133853</c:v>
                </c:pt>
                <c:pt idx="76">
                  <c:v>385.2959199860166</c:v>
                </c:pt>
                <c:pt idx="77">
                  <c:v>397.37161945556909</c:v>
                </c:pt>
                <c:pt idx="78">
                  <c:v>409.43937246794985</c:v>
                </c:pt>
                <c:pt idx="79">
                  <c:v>357.87168268401024</c:v>
                </c:pt>
                <c:pt idx="80">
                  <c:v>369.70064972373711</c:v>
                </c:pt>
                <c:pt idx="81">
                  <c:v>381.52136195278405</c:v>
                </c:pt>
                <c:pt idx="82">
                  <c:v>393.33411122618918</c:v>
                </c:pt>
                <c:pt idx="83">
                  <c:v>405.13917043503761</c:v>
                </c:pt>
                <c:pt idx="84">
                  <c:v>416.93679526711207</c:v>
                </c:pt>
                <c:pt idx="85">
                  <c:v>428.72722575785019</c:v>
                </c:pt>
                <c:pt idx="86">
                  <c:v>440.51068766177576</c:v>
                </c:pt>
                <c:pt idx="87">
                  <c:v>452.28739366953391</c:v>
                </c:pt>
                <c:pt idx="88">
                  <c:v>464.0575444915591</c:v>
                </c:pt>
                <c:pt idx="89">
                  <c:v>404.3925501997644</c:v>
                </c:pt>
                <c:pt idx="90">
                  <c:v>416.01426946017654</c:v>
                </c:pt>
                <c:pt idx="91">
                  <c:v>427.62899026370133</c:v>
                </c:pt>
                <c:pt idx="92">
                  <c:v>439.23692950595841</c:v>
                </c:pt>
                <c:pt idx="93">
                  <c:v>450.8382916821879</c:v>
                </c:pt>
                <c:pt idx="94">
                  <c:v>462.43326990384003</c:v>
                </c:pt>
                <c:pt idx="95">
                  <c:v>474.02204680789083</c:v>
                </c:pt>
                <c:pt idx="96">
                  <c:v>485.60479537260682</c:v>
                </c:pt>
                <c:pt idx="97">
                  <c:v>497.18167965142658</c:v>
                </c:pt>
                <c:pt idx="98">
                  <c:v>508.75285543493686</c:v>
                </c:pt>
                <c:pt idx="99">
                  <c:v>450.81366716904267</c:v>
                </c:pt>
                <c:pt idx="100">
                  <c:v>462.3102138436621</c:v>
                </c:pt>
                <c:pt idx="101">
                  <c:v>473.80066224221554</c:v>
                </c:pt>
                <c:pt idx="102">
                  <c:v>485.28518110618802</c:v>
                </c:pt>
                <c:pt idx="103">
                  <c:v>496.76393053889871</c:v>
                </c:pt>
                <c:pt idx="104">
                  <c:v>508.23706264132232</c:v>
                </c:pt>
                <c:pt idx="105">
                  <c:v>519.70472208751232</c:v>
                </c:pt>
                <c:pt idx="106">
                  <c:v>531.16704664660199</c:v>
                </c:pt>
                <c:pt idx="107">
                  <c:v>542.62416765740488</c:v>
                </c:pt>
                <c:pt idx="108">
                  <c:v>554.07621046085785</c:v>
                </c:pt>
                <c:pt idx="109">
                  <c:v>484.39638407882239</c:v>
                </c:pt>
                <c:pt idx="110">
                  <c:v>495.83502641582726</c:v>
                </c:pt>
                <c:pt idx="111">
                  <c:v>507.26807910803069</c:v>
                </c:pt>
                <c:pt idx="112">
                  <c:v>518.69568588846607</c:v>
                </c:pt>
                <c:pt idx="113">
                  <c:v>530.11798364077822</c:v>
                </c:pt>
                <c:pt idx="114">
                  <c:v>541.53510286929748</c:v>
                </c:pt>
                <c:pt idx="115">
                  <c:v>552.94716812741399</c:v>
                </c:pt>
                <c:pt idx="116">
                  <c:v>564.3542984087552</c:v>
                </c:pt>
                <c:pt idx="117">
                  <c:v>575.7566075050994</c:v>
                </c:pt>
                <c:pt idx="118">
                  <c:v>587.15420433446661</c:v>
                </c:pt>
                <c:pt idx="119">
                  <c:v>516.97335443180975</c:v>
                </c:pt>
                <c:pt idx="120">
                  <c:v>528.44307314004163</c:v>
                </c:pt>
                <c:pt idx="121">
                  <c:v>539.9075520351862</c:v>
                </c:pt>
                <c:pt idx="122">
                  <c:v>551.36691804880411</c:v>
                </c:pt>
                <c:pt idx="123">
                  <c:v>562.82129240675158</c:v>
                </c:pt>
                <c:pt idx="124">
                  <c:v>574.27079099901403</c:v>
                </c:pt>
                <c:pt idx="125">
                  <c:v>585.7155247185184</c:v>
                </c:pt>
                <c:pt idx="126">
                  <c:v>597.15559977209432</c:v>
                </c:pt>
                <c:pt idx="127">
                  <c:v>608.59111796637501</c:v>
                </c:pt>
                <c:pt idx="128">
                  <c:v>620.02217697109677</c:v>
                </c:pt>
                <c:pt idx="129">
                  <c:v>552.79883215814709</c:v>
                </c:pt>
                <c:pt idx="130">
                  <c:v>564.36655230211579</c:v>
                </c:pt>
                <c:pt idx="131">
                  <c:v>575.92931469659425</c:v>
                </c:pt>
                <c:pt idx="132">
                  <c:v>587.48723288504732</c:v>
                </c:pt>
                <c:pt idx="133">
                  <c:v>599.04041558006236</c:v>
                </c:pt>
                <c:pt idx="134">
                  <c:v>610.58896696005604</c:v>
                </c:pt>
                <c:pt idx="135">
                  <c:v>622.1329869423729</c:v>
                </c:pt>
                <c:pt idx="136">
                  <c:v>633.67257143507038</c:v>
                </c:pt>
                <c:pt idx="137">
                  <c:v>645.20781256941393</c:v>
                </c:pt>
                <c:pt idx="138">
                  <c:v>656.73879891488866</c:v>
                </c:pt>
                <c:pt idx="139">
                  <c:v>588.32958166967569</c:v>
                </c:pt>
                <c:pt idx="140">
                  <c:v>600.03173023013994</c:v>
                </c:pt>
                <c:pt idx="141">
                  <c:v>611.72913592526493</c:v>
                </c:pt>
                <c:pt idx="142">
                  <c:v>623.42190220309976</c:v>
                </c:pt>
                <c:pt idx="143">
                  <c:v>635.1101283160001</c:v>
                </c:pt>
                <c:pt idx="144">
                  <c:v>646.79390956650707</c:v>
                </c:pt>
                <c:pt idx="145">
                  <c:v>658.47333753454348</c:v>
                </c:pt>
                <c:pt idx="146">
                  <c:v>670.14850028766034</c:v>
                </c:pt>
                <c:pt idx="147">
                  <c:v>681.81948257587521</c:v>
                </c:pt>
                <c:pt idx="148">
                  <c:v>693.486366012487</c:v>
                </c:pt>
                <c:pt idx="149">
                  <c:v>624.18128468742691</c:v>
                </c:pt>
                <c:pt idx="150">
                  <c:v>636.10268785288213</c:v>
                </c:pt>
                <c:pt idx="151">
                  <c:v>648.0194750000278</c:v>
                </c:pt>
                <c:pt idx="152">
                  <c:v>659.93174294622747</c:v>
                </c:pt>
                <c:pt idx="153">
                  <c:v>671.83958473002122</c:v>
                </c:pt>
                <c:pt idx="154">
                  <c:v>683.74308982438276</c:v>
                </c:pt>
                <c:pt idx="155">
                  <c:v>695.64234433436002</c:v>
                </c:pt>
                <c:pt idx="156">
                  <c:v>707.53743118049772</c:v>
                </c:pt>
                <c:pt idx="157">
                  <c:v>719.42843026929188</c:v>
                </c:pt>
                <c:pt idx="158">
                  <c:v>731.31541865179406</c:v>
                </c:pt>
                <c:pt idx="159">
                  <c:v>658.79946913693959</c:v>
                </c:pt>
                <c:pt idx="160">
                  <c:v>670.84936468806131</c:v>
                </c:pt>
                <c:pt idx="161">
                  <c:v>682.89481226323733</c:v>
                </c:pt>
                <c:pt idx="162">
                  <c:v>694.93590134028398</c:v>
                </c:pt>
                <c:pt idx="163">
                  <c:v>706.97271804495767</c:v>
                </c:pt>
                <c:pt idx="164">
                  <c:v>719.00534533265954</c:v>
                </c:pt>
                <c:pt idx="165">
                  <c:v>731.03386315735133</c:v>
                </c:pt>
                <c:pt idx="166">
                  <c:v>743.05834862878112</c:v>
                </c:pt>
                <c:pt idx="167">
                  <c:v>755.07887615901245</c:v>
                </c:pt>
                <c:pt idx="168">
                  <c:v>767.09551759914109</c:v>
                </c:pt>
                <c:pt idx="169">
                  <c:v>696.81971668065637</c:v>
                </c:pt>
                <c:pt idx="170">
                  <c:v>709.00832539126907</c:v>
                </c:pt>
                <c:pt idx="171">
                  <c:v>721.19265193963463</c:v>
                </c:pt>
                <c:pt idx="172">
                  <c:v>733.3727788277655</c:v>
                </c:pt>
                <c:pt idx="173">
                  <c:v>745.5487855953503</c:v>
                </c:pt>
                <c:pt idx="174">
                  <c:v>757.72074897377036</c:v>
                </c:pt>
                <c:pt idx="175">
                  <c:v>769.88874302971362</c:v>
                </c:pt>
                <c:pt idx="176">
                  <c:v>782.0528392992419</c:v>
                </c:pt>
                <c:pt idx="177">
                  <c:v>794.21310691309156</c:v>
                </c:pt>
                <c:pt idx="178">
                  <c:v>806.36961271390646</c:v>
                </c:pt>
                <c:pt idx="179">
                  <c:v>503.32009949363936</c:v>
                </c:pt>
                <c:pt idx="180">
                  <c:v>511.22523271676738</c:v>
                </c:pt>
                <c:pt idx="181">
                  <c:v>519.12778431275603</c:v>
                </c:pt>
                <c:pt idx="182">
                  <c:v>351.5436555562344</c:v>
                </c:pt>
                <c:pt idx="183">
                  <c:v>356.24690375363463</c:v>
                </c:pt>
                <c:pt idx="184">
                  <c:v>360.94879233245456</c:v>
                </c:pt>
                <c:pt idx="185">
                  <c:v>242.08750148093193</c:v>
                </c:pt>
                <c:pt idx="186">
                  <c:v>244.99549989575189</c:v>
                </c:pt>
                <c:pt idx="187">
                  <c:v>247.9027138856045</c:v>
                </c:pt>
                <c:pt idx="188">
                  <c:v>1.3084001504496114E-11</c:v>
                </c:pt>
                <c:pt idx="189">
                  <c:v>1.3084001504496114E-11</c:v>
                </c:pt>
                <c:pt idx="190">
                  <c:v>1.3084001504496114E-11</c:v>
                </c:pt>
                <c:pt idx="191">
                  <c:v>1.3084001504496114E-11</c:v>
                </c:pt>
                <c:pt idx="192">
                  <c:v>1.3084001504496114E-11</c:v>
                </c:pt>
                <c:pt idx="193">
                  <c:v>1.3084001504496114E-11</c:v>
                </c:pt>
                <c:pt idx="194">
                  <c:v>1.3084001504496114E-11</c:v>
                </c:pt>
                <c:pt idx="195">
                  <c:v>1.3084001504496114E-11</c:v>
                </c:pt>
                <c:pt idx="196">
                  <c:v>1.3084001504496114E-11</c:v>
                </c:pt>
                <c:pt idx="197">
                  <c:v>1.3084001504496114E-11</c:v>
                </c:pt>
                <c:pt idx="198">
                  <c:v>1.3084001504496114E-11</c:v>
                </c:pt>
                <c:pt idx="199">
                  <c:v>1.3084001504496114E-11</c:v>
                </c:pt>
                <c:pt idx="200">
                  <c:v>1.3084001504496114E-11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1.4344280819118154</c:v>
                </c:pt>
                <c:pt idx="2">
                  <c:v>1.635509168908633</c:v>
                </c:pt>
                <c:pt idx="3">
                  <c:v>1.8648817015607106</c:v>
                </c:pt>
                <c:pt idx="4">
                  <c:v>2.1265400133711103</c:v>
                </c:pt>
                <c:pt idx="5">
                  <c:v>2.4250442176110933</c:v>
                </c:pt>
                <c:pt idx="6">
                  <c:v>2.7656005913881203</c:v>
                </c:pt>
                <c:pt idx="7">
                  <c:v>3.1541534126395638</c:v>
                </c:pt>
                <c:pt idx="8">
                  <c:v>3.5974898860840256</c:v>
                </c:pt>
                <c:pt idx="9">
                  <c:v>4.1033600284246967</c:v>
                </c:pt>
                <c:pt idx="10">
                  <c:v>4.6806136509788203</c:v>
                </c:pt>
                <c:pt idx="11">
                  <c:v>5.3393568842377315</c:v>
                </c:pt>
                <c:pt idx="12">
                  <c:v>6.0911310391729288</c:v>
                </c:pt>
                <c:pt idx="13">
                  <c:v>6.9491170007220333</c:v>
                </c:pt>
                <c:pt idx="14">
                  <c:v>7.9283688070524923</c:v>
                </c:pt>
                <c:pt idx="15">
                  <c:v>9.0460805921921725</c:v>
                </c:pt>
                <c:pt idx="16">
                  <c:v>10.321891668909979</c:v>
                </c:pt>
                <c:pt idx="17">
                  <c:v>11.778235214168097</c:v>
                </c:pt>
                <c:pt idx="18">
                  <c:v>13.440736803455726</c:v>
                </c:pt>
                <c:pt idx="19">
                  <c:v>15.338669937046612</c:v>
                </c:pt>
                <c:pt idx="20">
                  <c:v>17.505476726942195</c:v>
                </c:pt>
                <c:pt idx="21">
                  <c:v>19.979363086554496</c:v>
                </c:pt>
                <c:pt idx="22">
                  <c:v>22.803979107317129</c:v>
                </c:pt>
                <c:pt idx="23">
                  <c:v>26.029196841727085</c:v>
                </c:pt>
                <c:pt idx="24">
                  <c:v>29.711999468667369</c:v>
                </c:pt>
                <c:pt idx="25">
                  <c:v>33.917497826115287</c:v>
                </c:pt>
                <c:pt idx="26">
                  <c:v>38.720092594981189</c:v>
                </c:pt>
                <c:pt idx="27">
                  <c:v>44.204803047594538</c:v>
                </c:pt>
                <c:pt idx="28">
                  <c:v>50.468786283037424</c:v>
                </c:pt>
                <c:pt idx="29">
                  <c:v>57.623074313801531</c:v>
                </c:pt>
                <c:pt idx="30">
                  <c:v>65.794560306698017</c:v>
                </c:pt>
                <c:pt idx="31">
                  <c:v>81.245603300347639</c:v>
                </c:pt>
                <c:pt idx="32">
                  <c:v>96.622048432429665</c:v>
                </c:pt>
                <c:pt idx="33">
                  <c:v>111.93748820279177</c:v>
                </c:pt>
                <c:pt idx="34">
                  <c:v>127.20146624098764</c:v>
                </c:pt>
                <c:pt idx="35">
                  <c:v>142.42103781430157</c:v>
                </c:pt>
                <c:pt idx="36">
                  <c:v>157.60162200385943</c:v>
                </c:pt>
                <c:pt idx="37">
                  <c:v>172.74750603177799</c:v>
                </c:pt>
                <c:pt idx="38">
                  <c:v>187.86216250138452</c:v>
                </c:pt>
                <c:pt idx="39">
                  <c:v>202.94845876559441</c:v>
                </c:pt>
                <c:pt idx="40">
                  <c:v>218.00880057349465</c:v>
                </c:pt>
                <c:pt idx="41">
                  <c:v>233.04523383907238</c:v>
                </c:pt>
                <c:pt idx="42">
                  <c:v>248.05951871283665</c:v>
                </c:pt>
                <c:pt idx="43">
                  <c:v>263.05318474975155</c:v>
                </c:pt>
                <c:pt idx="44">
                  <c:v>278.02757282279634</c:v>
                </c:pt>
                <c:pt idx="45">
                  <c:v>292.98386752368179</c:v>
                </c:pt>
                <c:pt idx="46">
                  <c:v>307.9231225951508</c:v>
                </c:pt>
                <c:pt idx="47">
                  <c:v>322.84628116582888</c:v>
                </c:pt>
                <c:pt idx="48">
                  <c:v>337.75419204582755</c:v>
                </c:pt>
                <c:pt idx="49">
                  <c:v>352.64762299352554</c:v>
                </c:pt>
                <c:pt idx="50">
                  <c:v>367.52727162321406</c:v>
                </c:pt>
                <c:pt idx="51">
                  <c:v>276.15485155170444</c:v>
                </c:pt>
                <c:pt idx="52">
                  <c:v>292.37691037533898</c:v>
                </c:pt>
                <c:pt idx="53">
                  <c:v>308.57887773144245</c:v>
                </c:pt>
                <c:pt idx="54">
                  <c:v>324.76195692512039</c:v>
                </c:pt>
                <c:pt idx="55">
                  <c:v>340.92722154371285</c:v>
                </c:pt>
                <c:pt idx="56">
                  <c:v>357.075635057076</c:v>
                </c:pt>
                <c:pt idx="57">
                  <c:v>373.2080666855972</c:v>
                </c:pt>
                <c:pt idx="58">
                  <c:v>389.32530438048843</c:v>
                </c:pt>
                <c:pt idx="59">
                  <c:v>405.42806554206476</c:v>
                </c:pt>
                <c:pt idx="60">
                  <c:v>421.51700594617961</c:v>
                </c:pt>
                <c:pt idx="61">
                  <c:v>297.65662088897426</c:v>
                </c:pt>
                <c:pt idx="62">
                  <c:v>310.46835672683778</c:v>
                </c:pt>
                <c:pt idx="63">
                  <c:v>323.26836052544974</c:v>
                </c:pt>
                <c:pt idx="64">
                  <c:v>336.05716237315636</c:v>
                </c:pt>
                <c:pt idx="65">
                  <c:v>348.8352487093664</c:v>
                </c:pt>
                <c:pt idx="66">
                  <c:v>361.60306741989416</c:v>
                </c:pt>
                <c:pt idx="67">
                  <c:v>374.36103217484953</c:v>
                </c:pt>
                <c:pt idx="68">
                  <c:v>387.10952614417732</c:v>
                </c:pt>
                <c:pt idx="69">
                  <c:v>399.84890519810352</c:v>
                </c:pt>
                <c:pt idx="70">
                  <c:v>412.57950067836936</c:v>
                </c:pt>
                <c:pt idx="71">
                  <c:v>313.85310194562578</c:v>
                </c:pt>
                <c:pt idx="72">
                  <c:v>323.64177390266542</c:v>
                </c:pt>
                <c:pt idx="73">
                  <c:v>333.42390246092475</c:v>
                </c:pt>
                <c:pt idx="74">
                  <c:v>343.19970677112991</c:v>
                </c:pt>
                <c:pt idx="75">
                  <c:v>352.96939247320825</c:v>
                </c:pt>
                <c:pt idx="76">
                  <c:v>362.73315288824142</c:v>
                </c:pt>
                <c:pt idx="77">
                  <c:v>372.49117007532504</c:v>
                </c:pt>
                <c:pt idx="78">
                  <c:v>382.24361577186119</c:v>
                </c:pt>
                <c:pt idx="79">
                  <c:v>391.99065223284441</c:v>
                </c:pt>
                <c:pt idx="80">
                  <c:v>401.73243298228925</c:v>
                </c:pt>
                <c:pt idx="81">
                  <c:v>327.45526842200405</c:v>
                </c:pt>
                <c:pt idx="82">
                  <c:v>335.96230652747829</c:v>
                </c:pt>
                <c:pt idx="83">
                  <c:v>344.46460115293775</c:v>
                </c:pt>
                <c:pt idx="84">
                  <c:v>352.96228597747785</c:v>
                </c:pt>
                <c:pt idx="85">
                  <c:v>361.45548771357238</c:v>
                </c:pt>
                <c:pt idx="86">
                  <c:v>369.94432662888192</c:v>
                </c:pt>
                <c:pt idx="87">
                  <c:v>378.42891701764466</c:v>
                </c:pt>
                <c:pt idx="88">
                  <c:v>386.90936762756422</c:v>
                </c:pt>
                <c:pt idx="89">
                  <c:v>395.38578204730271</c:v>
                </c:pt>
                <c:pt idx="90">
                  <c:v>403.85825905899588</c:v>
                </c:pt>
                <c:pt idx="91">
                  <c:v>350.92654034119988</c:v>
                </c:pt>
                <c:pt idx="92">
                  <c:v>358.26760123714956</c:v>
                </c:pt>
                <c:pt idx="93">
                  <c:v>365.60537066430243</c:v>
                </c:pt>
                <c:pt idx="94">
                  <c:v>372.93992405664744</c:v>
                </c:pt>
                <c:pt idx="95">
                  <c:v>380.27133363654866</c:v>
                </c:pt>
                <c:pt idx="96">
                  <c:v>387.59966861213098</c:v>
                </c:pt>
                <c:pt idx="97">
                  <c:v>394.92499535894984</c:v>
                </c:pt>
                <c:pt idx="98">
                  <c:v>402.24737758747284</c:v>
                </c:pt>
                <c:pt idx="99">
                  <c:v>409.56687649772266</c:v>
                </c:pt>
                <c:pt idx="100">
                  <c:v>416.88355092228471</c:v>
                </c:pt>
                <c:pt idx="101">
                  <c:v>238.62378479665486</c:v>
                </c:pt>
                <c:pt idx="102">
                  <c:v>243.48879310045461</c:v>
                </c:pt>
                <c:pt idx="103">
                  <c:v>248.35159128072669</c:v>
                </c:pt>
                <c:pt idx="104">
                  <c:v>253.21222879823233</c:v>
                </c:pt>
                <c:pt idx="105">
                  <c:v>258.07075305647055</c:v>
                </c:pt>
                <c:pt idx="106">
                  <c:v>262.92720952525798</c:v>
                </c:pt>
                <c:pt idx="107">
                  <c:v>267.78164185468796</c:v>
                </c:pt>
                <c:pt idx="108">
                  <c:v>272.63409198038227</c:v>
                </c:pt>
                <c:pt idx="109">
                  <c:v>277.48460022084879</c:v>
                </c:pt>
                <c:pt idx="110">
                  <c:v>282.33320536766581</c:v>
                </c:pt>
                <c:pt idx="111">
                  <c:v>151.17471940810276</c:v>
                </c:pt>
                <c:pt idx="112">
                  <c:v>154.41672736947618</c:v>
                </c:pt>
                <c:pt idx="113">
                  <c:v>157.65711675206384</c:v>
                </c:pt>
                <c:pt idx="114">
                  <c:v>160.89592561749049</c:v>
                </c:pt>
                <c:pt idx="115">
                  <c:v>164.13319036551903</c:v>
                </c:pt>
                <c:pt idx="116">
                  <c:v>167.36894583874331</c:v>
                </c:pt>
                <c:pt idx="117">
                  <c:v>170.60322541874154</c:v>
                </c:pt>
                <c:pt idx="118">
                  <c:v>173.83606111453909</c:v>
                </c:pt>
                <c:pt idx="119">
                  <c:v>177.06748364412996</c:v>
                </c:pt>
                <c:pt idx="120">
                  <c:v>180.29752250972319</c:v>
                </c:pt>
                <c:pt idx="121">
                  <c:v>6.5339158457064384E-12</c:v>
                </c:pt>
                <c:pt idx="122">
                  <c:v>6.5339158457064384E-12</c:v>
                </c:pt>
                <c:pt idx="123">
                  <c:v>6.5339158457064384E-12</c:v>
                </c:pt>
                <c:pt idx="124">
                  <c:v>6.5339158457064384E-12</c:v>
                </c:pt>
                <c:pt idx="125">
                  <c:v>6.5339158457064384E-12</c:v>
                </c:pt>
                <c:pt idx="126">
                  <c:v>6.5339158457064384E-12</c:v>
                </c:pt>
                <c:pt idx="127">
                  <c:v>6.5339158457064384E-12</c:v>
                </c:pt>
                <c:pt idx="128">
                  <c:v>6.5339158457064384E-12</c:v>
                </c:pt>
                <c:pt idx="129">
                  <c:v>6.5339158457064384E-12</c:v>
                </c:pt>
                <c:pt idx="130">
                  <c:v>6.5339158457064384E-12</c:v>
                </c:pt>
                <c:pt idx="131">
                  <c:v>6.5339158457064384E-12</c:v>
                </c:pt>
                <c:pt idx="132">
                  <c:v>6.5339158457064384E-12</c:v>
                </c:pt>
                <c:pt idx="133">
                  <c:v>6.5339158457064384E-12</c:v>
                </c:pt>
                <c:pt idx="134">
                  <c:v>6.5339158457064384E-12</c:v>
                </c:pt>
                <c:pt idx="135">
                  <c:v>6.5339158457064384E-12</c:v>
                </c:pt>
                <c:pt idx="136">
                  <c:v>6.5339158457064384E-12</c:v>
                </c:pt>
                <c:pt idx="137">
                  <c:v>6.5339158457064384E-12</c:v>
                </c:pt>
                <c:pt idx="138">
                  <c:v>6.5339158457064384E-12</c:v>
                </c:pt>
                <c:pt idx="139">
                  <c:v>6.5339158457064384E-12</c:v>
                </c:pt>
                <c:pt idx="140">
                  <c:v>6.5339158457064384E-12</c:v>
                </c:pt>
                <c:pt idx="141">
                  <c:v>6.5339158457064384E-12</c:v>
                </c:pt>
                <c:pt idx="142">
                  <c:v>6.5339158457064384E-12</c:v>
                </c:pt>
                <c:pt idx="143">
                  <c:v>6.5339158457064384E-12</c:v>
                </c:pt>
                <c:pt idx="144">
                  <c:v>6.5339158457064384E-12</c:v>
                </c:pt>
                <c:pt idx="145">
                  <c:v>6.5339158457064384E-12</c:v>
                </c:pt>
                <c:pt idx="146">
                  <c:v>6.5339158457064384E-12</c:v>
                </c:pt>
                <c:pt idx="147">
                  <c:v>6.5339158457064384E-12</c:v>
                </c:pt>
                <c:pt idx="148">
                  <c:v>6.5339158457064384E-12</c:v>
                </c:pt>
                <c:pt idx="149">
                  <c:v>6.5339158457064384E-12</c:v>
                </c:pt>
                <c:pt idx="150">
                  <c:v>6.5339158457064384E-12</c:v>
                </c:pt>
                <c:pt idx="151">
                  <c:v>6.5339158457064384E-12</c:v>
                </c:pt>
                <c:pt idx="152">
                  <c:v>6.5339158457064384E-12</c:v>
                </c:pt>
                <c:pt idx="153">
                  <c:v>6.5339158457064384E-12</c:v>
                </c:pt>
                <c:pt idx="154">
                  <c:v>6.5339158457064384E-12</c:v>
                </c:pt>
                <c:pt idx="155">
                  <c:v>6.5339158457064384E-12</c:v>
                </c:pt>
                <c:pt idx="156">
                  <c:v>6.5339158457064384E-12</c:v>
                </c:pt>
                <c:pt idx="157">
                  <c:v>6.5339158457064384E-12</c:v>
                </c:pt>
                <c:pt idx="158">
                  <c:v>6.5339158457064384E-12</c:v>
                </c:pt>
                <c:pt idx="159">
                  <c:v>6.5339158457064384E-12</c:v>
                </c:pt>
                <c:pt idx="160">
                  <c:v>6.5339158457064384E-12</c:v>
                </c:pt>
                <c:pt idx="161">
                  <c:v>6.5339158457064384E-12</c:v>
                </c:pt>
                <c:pt idx="162">
                  <c:v>6.5339158457064384E-12</c:v>
                </c:pt>
                <c:pt idx="163">
                  <c:v>6.5339158457064384E-12</c:v>
                </c:pt>
                <c:pt idx="164">
                  <c:v>6.5339158457064384E-12</c:v>
                </c:pt>
                <c:pt idx="165">
                  <c:v>6.5339158457064384E-12</c:v>
                </c:pt>
                <c:pt idx="166">
                  <c:v>6.5339158457064384E-12</c:v>
                </c:pt>
                <c:pt idx="167">
                  <c:v>6.5339158457064384E-12</c:v>
                </c:pt>
                <c:pt idx="168">
                  <c:v>6.5339158457064384E-12</c:v>
                </c:pt>
                <c:pt idx="169">
                  <c:v>6.5339158457064384E-12</c:v>
                </c:pt>
                <c:pt idx="170">
                  <c:v>6.5339158457064384E-12</c:v>
                </c:pt>
                <c:pt idx="171">
                  <c:v>6.5339158457064384E-12</c:v>
                </c:pt>
                <c:pt idx="172">
                  <c:v>6.5339158457064384E-12</c:v>
                </c:pt>
                <c:pt idx="173">
                  <c:v>6.5339158457064384E-12</c:v>
                </c:pt>
                <c:pt idx="174">
                  <c:v>6.5339158457064384E-12</c:v>
                </c:pt>
                <c:pt idx="175">
                  <c:v>6.5339158457064384E-12</c:v>
                </c:pt>
                <c:pt idx="176">
                  <c:v>6.5339158457064384E-12</c:v>
                </c:pt>
                <c:pt idx="177">
                  <c:v>6.5339158457064384E-12</c:v>
                </c:pt>
                <c:pt idx="178">
                  <c:v>6.5339158457064384E-12</c:v>
                </c:pt>
                <c:pt idx="179">
                  <c:v>6.5339158457064384E-12</c:v>
                </c:pt>
                <c:pt idx="180">
                  <c:v>6.5339158457064384E-12</c:v>
                </c:pt>
                <c:pt idx="181">
                  <c:v>6.5339158457064384E-12</c:v>
                </c:pt>
                <c:pt idx="182">
                  <c:v>6.5339158457064384E-12</c:v>
                </c:pt>
                <c:pt idx="183">
                  <c:v>6.5339158457064384E-12</c:v>
                </c:pt>
                <c:pt idx="184">
                  <c:v>6.5339158457064384E-12</c:v>
                </c:pt>
                <c:pt idx="185">
                  <c:v>6.5339158457064384E-12</c:v>
                </c:pt>
                <c:pt idx="186">
                  <c:v>6.5339158457064384E-12</c:v>
                </c:pt>
                <c:pt idx="187">
                  <c:v>6.5339158457064384E-12</c:v>
                </c:pt>
                <c:pt idx="188">
                  <c:v>6.5339158457064384E-12</c:v>
                </c:pt>
                <c:pt idx="189">
                  <c:v>6.5339158457064384E-12</c:v>
                </c:pt>
                <c:pt idx="190">
                  <c:v>6.5339158457064384E-12</c:v>
                </c:pt>
                <c:pt idx="191">
                  <c:v>6.5339158457064384E-12</c:v>
                </c:pt>
                <c:pt idx="192">
                  <c:v>6.5339158457064384E-12</c:v>
                </c:pt>
                <c:pt idx="193">
                  <c:v>6.5339158457064384E-12</c:v>
                </c:pt>
                <c:pt idx="194">
                  <c:v>6.5339158457064384E-12</c:v>
                </c:pt>
                <c:pt idx="195">
                  <c:v>6.5339158457064384E-12</c:v>
                </c:pt>
                <c:pt idx="196">
                  <c:v>6.5339158457064384E-12</c:v>
                </c:pt>
                <c:pt idx="197">
                  <c:v>6.5339158457064384E-12</c:v>
                </c:pt>
                <c:pt idx="198">
                  <c:v>6.5339158457064384E-12</c:v>
                </c:pt>
                <c:pt idx="199">
                  <c:v>6.5339158457064384E-12</c:v>
                </c:pt>
                <c:pt idx="200">
                  <c:v>6.5339158457064384E-12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3.0898083550192936</c:v>
                </c:pt>
                <c:pt idx="2">
                  <c:v>4.2752189748172169</c:v>
                </c:pt>
                <c:pt idx="3">
                  <c:v>5.9173307660267902</c:v>
                </c:pt>
                <c:pt idx="4">
                  <c:v>8.1927891834051447</c:v>
                </c:pt>
                <c:pt idx="5">
                  <c:v>11.346813146958874</c:v>
                </c:pt>
                <c:pt idx="6">
                  <c:v>15.71990465372509</c:v>
                </c:pt>
                <c:pt idx="7">
                  <c:v>21.784993869357283</c:v>
                </c:pt>
                <c:pt idx="8">
                  <c:v>30.199108249502064</c:v>
                </c:pt>
                <c:pt idx="9">
                  <c:v>41.875260153244504</c:v>
                </c:pt>
                <c:pt idx="10">
                  <c:v>58.082485530805059</c:v>
                </c:pt>
                <c:pt idx="11">
                  <c:v>75.154841693095705</c:v>
                </c:pt>
                <c:pt idx="12">
                  <c:v>92.127784973737278</c:v>
                </c:pt>
                <c:pt idx="13">
                  <c:v>109.02232487304228</c:v>
                </c:pt>
                <c:pt idx="14">
                  <c:v>125.85236526427531</c:v>
                </c:pt>
                <c:pt idx="15">
                  <c:v>142.62776454340624</c:v>
                </c:pt>
                <c:pt idx="16">
                  <c:v>163.91063857007143</c:v>
                </c:pt>
                <c:pt idx="17">
                  <c:v>185.12813798476131</c:v>
                </c:pt>
                <c:pt idx="18">
                  <c:v>206.2888147034578</c:v>
                </c:pt>
                <c:pt idx="19">
                  <c:v>227.39931901765999</c:v>
                </c:pt>
                <c:pt idx="20">
                  <c:v>248.46496383915087</c:v>
                </c:pt>
                <c:pt idx="21">
                  <c:v>165.80757333279712</c:v>
                </c:pt>
                <c:pt idx="22">
                  <c:v>185.12813798476131</c:v>
                </c:pt>
                <c:pt idx="23">
                  <c:v>204.40159586063612</c:v>
                </c:pt>
                <c:pt idx="24">
                  <c:v>223.63301478908227</c:v>
                </c:pt>
                <c:pt idx="25">
                  <c:v>242.8265187332286</c:v>
                </c:pt>
                <c:pt idx="26">
                  <c:v>212.32525328046404</c:v>
                </c:pt>
                <c:pt idx="27">
                  <c:v>230.78777111964939</c:v>
                </c:pt>
                <c:pt idx="28">
                  <c:v>249.2165355146897</c:v>
                </c:pt>
                <c:pt idx="29">
                  <c:v>267.61439341566057</c:v>
                </c:pt>
                <c:pt idx="30">
                  <c:v>285.98376820295522</c:v>
                </c:pt>
                <c:pt idx="31">
                  <c:v>252.59797413681915</c:v>
                </c:pt>
                <c:pt idx="32">
                  <c:v>269.8651901159887</c:v>
                </c:pt>
                <c:pt idx="33">
                  <c:v>287.10754659858628</c:v>
                </c:pt>
                <c:pt idx="34">
                  <c:v>304.32674644619152</c:v>
                </c:pt>
                <c:pt idx="35">
                  <c:v>321.52428406625785</c:v>
                </c:pt>
                <c:pt idx="36">
                  <c:v>287.48211750444801</c:v>
                </c:pt>
                <c:pt idx="37">
                  <c:v>303.95265143464229</c:v>
                </c:pt>
                <c:pt idx="38">
                  <c:v>320.40333904330788</c:v>
                </c:pt>
                <c:pt idx="39">
                  <c:v>336.83534260693523</c:v>
                </c:pt>
                <c:pt idx="40">
                  <c:v>353.24970174806907</c:v>
                </c:pt>
                <c:pt idx="41">
                  <c:v>317.78746245668032</c:v>
                </c:pt>
                <c:pt idx="42">
                  <c:v>332.72903457884462</c:v>
                </c:pt>
                <c:pt idx="43">
                  <c:v>347.65581965898076</c:v>
                </c:pt>
                <c:pt idx="44">
                  <c:v>362.56854195764805</c:v>
                </c:pt>
                <c:pt idx="45">
                  <c:v>377.46786129486031</c:v>
                </c:pt>
                <c:pt idx="46">
                  <c:v>342.80619071488076</c:v>
                </c:pt>
                <c:pt idx="47">
                  <c:v>356.60509700107536</c:v>
                </c:pt>
                <c:pt idx="48">
                  <c:v>370.39231631024131</c:v>
                </c:pt>
                <c:pt idx="49">
                  <c:v>384.16834495549665</c:v>
                </c:pt>
                <c:pt idx="50">
                  <c:v>397.93364074958509</c:v>
                </c:pt>
                <c:pt idx="51">
                  <c:v>365.5494579858867</c:v>
                </c:pt>
                <c:pt idx="52">
                  <c:v>377.84017788163425</c:v>
                </c:pt>
                <c:pt idx="53">
                  <c:v>390.12219684408689</c:v>
                </c:pt>
                <c:pt idx="54">
                  <c:v>402.39582743654279</c:v>
                </c:pt>
                <c:pt idx="55">
                  <c:v>414.66136159701699</c:v>
                </c:pt>
                <c:pt idx="56">
                  <c:v>383.05177541071225</c:v>
                </c:pt>
                <c:pt idx="57">
                  <c:v>394.21432426135453</c:v>
                </c:pt>
                <c:pt idx="58">
                  <c:v>405.37002304691242</c:v>
                </c:pt>
                <c:pt idx="59">
                  <c:v>416.51908689232141</c:v>
                </c:pt>
                <c:pt idx="60">
                  <c:v>427.66171846396492</c:v>
                </c:pt>
                <c:pt idx="61">
                  <c:v>399.04928851891128</c:v>
                </c:pt>
                <c:pt idx="62">
                  <c:v>409.45877253580028</c:v>
                </c:pt>
                <c:pt idx="63">
                  <c:v>419.86254283875809</c:v>
                </c:pt>
                <c:pt idx="64">
                  <c:v>430.26076100517804</c:v>
                </c:pt>
                <c:pt idx="65">
                  <c:v>440.653580163588</c:v>
                </c:pt>
                <c:pt idx="66">
                  <c:v>412.8034567379907</c:v>
                </c:pt>
                <c:pt idx="67">
                  <c:v>422.09119450330417</c:v>
                </c:pt>
                <c:pt idx="68">
                  <c:v>431.37453295867743</c:v>
                </c:pt>
                <c:pt idx="69">
                  <c:v>440.653580163588</c:v>
                </c:pt>
                <c:pt idx="70">
                  <c:v>449.92843925372944</c:v>
                </c:pt>
                <c:pt idx="71">
                  <c:v>424.69096797933258</c:v>
                </c:pt>
                <c:pt idx="72">
                  <c:v>432.85946614650538</c:v>
                </c:pt>
                <c:pt idx="73">
                  <c:v>441.02465426855332</c:v>
                </c:pt>
                <c:pt idx="74">
                  <c:v>449.18660230031583</c:v>
                </c:pt>
                <c:pt idx="75">
                  <c:v>457.34537744583628</c:v>
                </c:pt>
                <c:pt idx="76">
                  <c:v>435.08666090841854</c:v>
                </c:pt>
                <c:pt idx="77">
                  <c:v>442.50888381337427</c:v>
                </c:pt>
                <c:pt idx="78">
                  <c:v>449.92843925372944</c:v>
                </c:pt>
                <c:pt idx="79">
                  <c:v>457.34537744583628</c:v>
                </c:pt>
                <c:pt idx="80">
                  <c:v>464.75974684356009</c:v>
                </c:pt>
                <c:pt idx="81">
                  <c:v>443.62198593261041</c:v>
                </c:pt>
                <c:pt idx="82">
                  <c:v>450.29934791321972</c:v>
                </c:pt>
                <c:pt idx="83">
                  <c:v>456.97459194094728</c:v>
                </c:pt>
                <c:pt idx="84">
                  <c:v>463.6477533371106</c:v>
                </c:pt>
                <c:pt idx="85">
                  <c:v>470.3188663227283</c:v>
                </c:pt>
                <c:pt idx="86">
                  <c:v>449.92843925372944</c:v>
                </c:pt>
                <c:pt idx="87">
                  <c:v>455.49138558575538</c:v>
                </c:pt>
                <c:pt idx="88">
                  <c:v>461.05288028198476</c:v>
                </c:pt>
                <c:pt idx="89">
                  <c:v>466.61294333655422</c:v>
                </c:pt>
                <c:pt idx="90">
                  <c:v>472.17159422788433</c:v>
                </c:pt>
                <c:pt idx="91">
                  <c:v>455.49138558575538</c:v>
                </c:pt>
                <c:pt idx="92">
                  <c:v>461.05288028198476</c:v>
                </c:pt>
                <c:pt idx="93">
                  <c:v>466.61294333655422</c:v>
                </c:pt>
                <c:pt idx="94">
                  <c:v>472.17159422788433</c:v>
                </c:pt>
                <c:pt idx="95">
                  <c:v>477.72885193803222</c:v>
                </c:pt>
                <c:pt idx="96">
                  <c:v>461.05288028198476</c:v>
                </c:pt>
                <c:pt idx="97">
                  <c:v>466.61294333655422</c:v>
                </c:pt>
                <c:pt idx="98">
                  <c:v>472.17159422788433</c:v>
                </c:pt>
                <c:pt idx="99">
                  <c:v>477.72885193803222</c:v>
                </c:pt>
                <c:pt idx="100">
                  <c:v>483.28473497109491</c:v>
                </c:pt>
                <c:pt idx="101">
                  <c:v>461.05288028198476</c:v>
                </c:pt>
                <c:pt idx="102">
                  <c:v>461.05288028198476</c:v>
                </c:pt>
                <c:pt idx="103">
                  <c:v>461.05288028198476</c:v>
                </c:pt>
                <c:pt idx="104">
                  <c:v>461.05288028198476</c:v>
                </c:pt>
                <c:pt idx="105">
                  <c:v>461.05288028198476</c:v>
                </c:pt>
                <c:pt idx="106">
                  <c:v>461.05288028198476</c:v>
                </c:pt>
                <c:pt idx="107">
                  <c:v>461.05288028198476</c:v>
                </c:pt>
                <c:pt idx="108">
                  <c:v>461.05288028198476</c:v>
                </c:pt>
                <c:pt idx="109">
                  <c:v>461.05288028198476</c:v>
                </c:pt>
                <c:pt idx="110">
                  <c:v>461.05288028198476</c:v>
                </c:pt>
                <c:pt idx="111">
                  <c:v>461.05288028198476</c:v>
                </c:pt>
                <c:pt idx="112">
                  <c:v>461.05288028198476</c:v>
                </c:pt>
                <c:pt idx="113">
                  <c:v>461.05288028198476</c:v>
                </c:pt>
                <c:pt idx="114">
                  <c:v>461.05288028198476</c:v>
                </c:pt>
                <c:pt idx="115">
                  <c:v>461.05288028198476</c:v>
                </c:pt>
                <c:pt idx="116">
                  <c:v>461.05288028198476</c:v>
                </c:pt>
                <c:pt idx="117">
                  <c:v>461.05288028198476</c:v>
                </c:pt>
                <c:pt idx="118">
                  <c:v>461.05288028198476</c:v>
                </c:pt>
                <c:pt idx="119">
                  <c:v>461.05288028198476</c:v>
                </c:pt>
                <c:pt idx="120">
                  <c:v>461.05288028198476</c:v>
                </c:pt>
                <c:pt idx="121">
                  <c:v>461.05288028198476</c:v>
                </c:pt>
                <c:pt idx="122">
                  <c:v>461.05288028198476</c:v>
                </c:pt>
                <c:pt idx="123">
                  <c:v>461.05288028198476</c:v>
                </c:pt>
                <c:pt idx="124">
                  <c:v>461.05288028198476</c:v>
                </c:pt>
                <c:pt idx="125">
                  <c:v>461.05288028198476</c:v>
                </c:pt>
                <c:pt idx="126">
                  <c:v>461.05288028198476</c:v>
                </c:pt>
                <c:pt idx="127">
                  <c:v>461.05288028198476</c:v>
                </c:pt>
                <c:pt idx="128">
                  <c:v>461.05288028198476</c:v>
                </c:pt>
                <c:pt idx="129">
                  <c:v>461.05288028198476</c:v>
                </c:pt>
                <c:pt idx="130">
                  <c:v>461.05288028198476</c:v>
                </c:pt>
                <c:pt idx="131">
                  <c:v>461.05288028198476</c:v>
                </c:pt>
                <c:pt idx="132">
                  <c:v>461.05288028198476</c:v>
                </c:pt>
                <c:pt idx="133">
                  <c:v>461.05288028198476</c:v>
                </c:pt>
                <c:pt idx="134">
                  <c:v>461.05288028198476</c:v>
                </c:pt>
                <c:pt idx="135">
                  <c:v>461.05288028198476</c:v>
                </c:pt>
                <c:pt idx="136">
                  <c:v>461.05288028198476</c:v>
                </c:pt>
                <c:pt idx="137">
                  <c:v>461.05288028198476</c:v>
                </c:pt>
                <c:pt idx="138">
                  <c:v>461.05288028198476</c:v>
                </c:pt>
                <c:pt idx="139">
                  <c:v>461.05288028198476</c:v>
                </c:pt>
                <c:pt idx="140">
                  <c:v>461.05288028198476</c:v>
                </c:pt>
                <c:pt idx="141">
                  <c:v>461.05288028198476</c:v>
                </c:pt>
                <c:pt idx="142">
                  <c:v>461.05288028198476</c:v>
                </c:pt>
                <c:pt idx="143">
                  <c:v>461.05288028198476</c:v>
                </c:pt>
                <c:pt idx="144">
                  <c:v>461.05288028198476</c:v>
                </c:pt>
                <c:pt idx="145">
                  <c:v>461.05288028198476</c:v>
                </c:pt>
                <c:pt idx="146">
                  <c:v>461.05288028198476</c:v>
                </c:pt>
                <c:pt idx="147">
                  <c:v>461.05288028198476</c:v>
                </c:pt>
                <c:pt idx="148">
                  <c:v>461.05288028198476</c:v>
                </c:pt>
                <c:pt idx="149">
                  <c:v>461.05288028198476</c:v>
                </c:pt>
                <c:pt idx="150">
                  <c:v>461.05288028198476</c:v>
                </c:pt>
                <c:pt idx="151">
                  <c:v>461.05288028198476</c:v>
                </c:pt>
                <c:pt idx="152">
                  <c:v>461.05288028198476</c:v>
                </c:pt>
                <c:pt idx="153">
                  <c:v>461.05288028198476</c:v>
                </c:pt>
                <c:pt idx="154">
                  <c:v>461.05288028198476</c:v>
                </c:pt>
                <c:pt idx="155">
                  <c:v>461.05288028198476</c:v>
                </c:pt>
                <c:pt idx="156">
                  <c:v>461.05288028198476</c:v>
                </c:pt>
                <c:pt idx="157">
                  <c:v>461.05288028198476</c:v>
                </c:pt>
                <c:pt idx="158">
                  <c:v>461.05288028198476</c:v>
                </c:pt>
                <c:pt idx="159">
                  <c:v>461.05288028198476</c:v>
                </c:pt>
                <c:pt idx="160">
                  <c:v>461.05288028198476</c:v>
                </c:pt>
                <c:pt idx="161">
                  <c:v>461.05288028198476</c:v>
                </c:pt>
                <c:pt idx="162">
                  <c:v>461.05288028198476</c:v>
                </c:pt>
                <c:pt idx="163">
                  <c:v>461.05288028198476</c:v>
                </c:pt>
                <c:pt idx="164">
                  <c:v>461.05288028198476</c:v>
                </c:pt>
                <c:pt idx="165">
                  <c:v>461.05288028198476</c:v>
                </c:pt>
                <c:pt idx="166">
                  <c:v>461.05288028198476</c:v>
                </c:pt>
                <c:pt idx="167">
                  <c:v>461.05288028198476</c:v>
                </c:pt>
                <c:pt idx="168">
                  <c:v>461.05288028198476</c:v>
                </c:pt>
                <c:pt idx="169">
                  <c:v>461.05288028198476</c:v>
                </c:pt>
                <c:pt idx="170">
                  <c:v>461.05288028198476</c:v>
                </c:pt>
                <c:pt idx="171">
                  <c:v>461.05288028198476</c:v>
                </c:pt>
                <c:pt idx="172">
                  <c:v>461.05288028198476</c:v>
                </c:pt>
                <c:pt idx="173">
                  <c:v>461.05288028198476</c:v>
                </c:pt>
                <c:pt idx="174">
                  <c:v>461.05288028198476</c:v>
                </c:pt>
                <c:pt idx="175">
                  <c:v>461.05288028198476</c:v>
                </c:pt>
                <c:pt idx="176">
                  <c:v>461.05288028198476</c:v>
                </c:pt>
                <c:pt idx="177">
                  <c:v>461.05288028198476</c:v>
                </c:pt>
                <c:pt idx="178">
                  <c:v>461.05288028198476</c:v>
                </c:pt>
                <c:pt idx="179">
                  <c:v>461.05288028198476</c:v>
                </c:pt>
                <c:pt idx="180">
                  <c:v>461.05288028198476</c:v>
                </c:pt>
                <c:pt idx="181">
                  <c:v>461.05288028198476</c:v>
                </c:pt>
                <c:pt idx="182">
                  <c:v>461.05288028198476</c:v>
                </c:pt>
                <c:pt idx="183">
                  <c:v>461.05288028198476</c:v>
                </c:pt>
                <c:pt idx="184">
                  <c:v>461.05288028198476</c:v>
                </c:pt>
                <c:pt idx="185">
                  <c:v>461.05288028198476</c:v>
                </c:pt>
                <c:pt idx="186">
                  <c:v>461.05288028198476</c:v>
                </c:pt>
                <c:pt idx="187">
                  <c:v>461.05288028198476</c:v>
                </c:pt>
                <c:pt idx="188">
                  <c:v>461.05288028198476</c:v>
                </c:pt>
                <c:pt idx="189">
                  <c:v>461.05288028198476</c:v>
                </c:pt>
                <c:pt idx="190">
                  <c:v>461.05288028198476</c:v>
                </c:pt>
                <c:pt idx="191">
                  <c:v>461.05288028198476</c:v>
                </c:pt>
                <c:pt idx="192">
                  <c:v>461.05288028198476</c:v>
                </c:pt>
                <c:pt idx="193">
                  <c:v>461.05288028198476</c:v>
                </c:pt>
                <c:pt idx="194">
                  <c:v>461.05288028198476</c:v>
                </c:pt>
                <c:pt idx="195">
                  <c:v>461.05288028198476</c:v>
                </c:pt>
                <c:pt idx="196">
                  <c:v>461.05288028198476</c:v>
                </c:pt>
                <c:pt idx="197">
                  <c:v>461.05288028198476</c:v>
                </c:pt>
                <c:pt idx="198">
                  <c:v>461.05288028198476</c:v>
                </c:pt>
                <c:pt idx="199">
                  <c:v>461.05288028198476</c:v>
                </c:pt>
                <c:pt idx="200">
                  <c:v>461.05288028198476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I6" sqref="I6"/>
    </sheetView>
  </sheetViews>
  <sheetFormatPr baseColWidth="10" defaultColWidth="11.42578125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65" t="s">
        <v>0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</row>
    <row r="13" spans="2:13" ht="15" customHeight="1" x14ac:dyDescent="0.25"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</row>
    <row r="14" spans="2:13" ht="15" customHeight="1" x14ac:dyDescent="0.25"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</row>
    <row r="15" spans="2:13" ht="18.75" customHeight="1" x14ac:dyDescent="0.25"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</row>
    <row r="16" spans="2:13" ht="18.75" customHeight="1" x14ac:dyDescent="0.25"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</row>
    <row r="18" spans="2:13" ht="12" customHeight="1" x14ac:dyDescent="0.25">
      <c r="B18" s="265" t="s">
        <v>1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</row>
    <row r="19" spans="2:13" ht="12" customHeight="1" x14ac:dyDescent="0.25"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</row>
    <row r="20" spans="2:13" ht="12" customHeight="1" x14ac:dyDescent="0.25"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</row>
    <row r="21" spans="2:13" ht="12" customHeight="1" x14ac:dyDescent="0.25"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</row>
    <row r="22" spans="2:13" ht="12" customHeight="1" x14ac:dyDescent="0.25"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</row>
    <row r="23" spans="2:13" ht="12" customHeight="1" x14ac:dyDescent="0.25"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</row>
    <row r="24" spans="2:13" ht="12" customHeight="1" x14ac:dyDescent="0.25"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</row>
    <row r="25" spans="2:13" ht="12" customHeight="1" x14ac:dyDescent="0.25"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2:13" ht="12" customHeight="1" x14ac:dyDescent="0.25"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</row>
    <row r="27" spans="2:13" ht="12" customHeight="1" x14ac:dyDescent="0.25"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2:13" ht="12" customHeight="1" x14ac:dyDescent="0.25"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2:13" ht="12" customHeight="1" x14ac:dyDescent="0.25"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</row>
    <row r="30" spans="2:13" ht="12" customHeight="1" x14ac:dyDescent="0.25"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</row>
    <row r="31" spans="2:13" ht="12" customHeight="1" x14ac:dyDescent="0.25"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F18" sqref="F18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6" t="s">
        <v>2</v>
      </c>
      <c r="D1" s="266"/>
      <c r="E1" s="26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71" t="s">
        <v>4</v>
      </c>
      <c r="C3" s="272"/>
      <c r="D3" s="272"/>
      <c r="E3" s="272"/>
      <c r="F3" s="273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76" t="s">
        <v>7</v>
      </c>
      <c r="B5" s="276"/>
      <c r="C5" s="24">
        <v>7.7</v>
      </c>
      <c r="D5" s="277" t="s">
        <v>8</v>
      </c>
      <c r="E5" s="278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75" t="s">
        <v>9</v>
      </c>
      <c r="B7" s="275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15</v>
      </c>
      <c r="B9" s="31" t="s">
        <v>16</v>
      </c>
      <c r="C9" s="32">
        <v>0.28000000000000003</v>
      </c>
      <c r="D9" s="33">
        <f t="shared" ref="D9:D18" si="0">C9*$C$5</f>
        <v>2.1560000000000001</v>
      </c>
      <c r="E9" s="34">
        <v>76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18</v>
      </c>
      <c r="B10" s="31" t="s">
        <v>19</v>
      </c>
      <c r="C10" s="32">
        <v>0.16</v>
      </c>
      <c r="D10" s="33">
        <f t="shared" si="0"/>
        <v>1.232</v>
      </c>
      <c r="E10" s="34">
        <v>109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20</v>
      </c>
      <c r="B11" s="31" t="s">
        <v>21</v>
      </c>
      <c r="C11" s="32">
        <v>0.23</v>
      </c>
      <c r="D11" s="33">
        <f t="shared" si="0"/>
        <v>1.7710000000000001</v>
      </c>
      <c r="E11" s="34">
        <v>20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22</v>
      </c>
      <c r="B12" s="31" t="s">
        <v>23</v>
      </c>
      <c r="C12" s="32">
        <v>0.11</v>
      </c>
      <c r="D12" s="33">
        <f t="shared" si="0"/>
        <v>0.84699999999999998</v>
      </c>
      <c r="E12" s="34">
        <v>187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24</v>
      </c>
      <c r="B13" s="31" t="s">
        <v>25</v>
      </c>
      <c r="C13" s="32">
        <v>0.11</v>
      </c>
      <c r="D13" s="33">
        <f t="shared" si="0"/>
        <v>0.84699999999999998</v>
      </c>
      <c r="E13" s="34">
        <v>120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26</v>
      </c>
      <c r="B14" s="31" t="s">
        <v>27</v>
      </c>
      <c r="C14" s="32">
        <v>0.11</v>
      </c>
      <c r="D14" s="33">
        <f t="shared" si="0"/>
        <v>0.84699999999999998</v>
      </c>
      <c r="E14" s="34">
        <v>100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28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29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30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31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32</v>
      </c>
      <c r="C19" s="37">
        <f>SUM(C9:C18)</f>
        <v>1</v>
      </c>
      <c r="D19" s="38">
        <f>SUM(D9:D18)</f>
        <v>7.6999999999999993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74" t="s">
        <v>33</v>
      </c>
      <c r="B22" s="27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34</v>
      </c>
      <c r="B24" s="42" t="s">
        <v>35</v>
      </c>
      <c r="C24" s="43">
        <v>0</v>
      </c>
      <c r="D24" s="44" t="s">
        <v>36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37</v>
      </c>
      <c r="B25" s="42" t="s">
        <v>38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39</v>
      </c>
      <c r="B26" s="42" t="s">
        <v>40</v>
      </c>
      <c r="C26" s="43">
        <v>0.05</v>
      </c>
      <c r="D26" s="44" t="s">
        <v>41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42</v>
      </c>
      <c r="B27" s="42" t="s">
        <v>43</v>
      </c>
      <c r="C27" s="43">
        <v>0</v>
      </c>
      <c r="D27" s="44" t="s">
        <v>44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75" t="s">
        <v>45</v>
      </c>
      <c r="B30" s="275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15</v>
      </c>
      <c r="B32" s="47" t="str">
        <f>IF(B9="","",B9)</f>
        <v>Pin laricio</v>
      </c>
      <c r="D32" s="229" t="s">
        <v>46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47</v>
      </c>
      <c r="C34" s="267" t="s">
        <v>48</v>
      </c>
      <c r="D34" s="267"/>
      <c r="E34" s="268" t="s">
        <v>49</v>
      </c>
      <c r="F34" s="269"/>
      <c r="G34" s="269"/>
      <c r="H34" s="270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50</v>
      </c>
      <c r="B35" s="36" t="s">
        <v>51</v>
      </c>
      <c r="C35" s="48" t="s">
        <v>52</v>
      </c>
      <c r="D35" s="48" t="s">
        <v>53</v>
      </c>
      <c r="E35" s="36" t="s">
        <v>54</v>
      </c>
      <c r="F35" s="36" t="s">
        <v>55</v>
      </c>
      <c r="G35" s="36" t="s">
        <v>56</v>
      </c>
      <c r="H35" s="36" t="s">
        <v>57</v>
      </c>
      <c r="I35" s="48" t="s">
        <v>58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19</v>
      </c>
      <c r="B36" s="60">
        <v>127.98461538461538</v>
      </c>
      <c r="C36" s="60">
        <v>1</v>
      </c>
      <c r="D36" s="60">
        <v>46.53846153846154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6.7360323886639675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24</v>
      </c>
      <c r="B37" s="60">
        <v>159.94615384615383</v>
      </c>
      <c r="C37" s="60">
        <v>2</v>
      </c>
      <c r="D37" s="60">
        <v>40.41538461538461</v>
      </c>
      <c r="E37" s="51">
        <v>0.7</v>
      </c>
      <c r="F37" s="51">
        <v>0.16800000000000001</v>
      </c>
      <c r="G37" s="51">
        <v>0.13200000000000001</v>
      </c>
      <c r="H37" s="51">
        <v>0</v>
      </c>
      <c r="I37" s="53">
        <f t="shared" ref="I37:I55" si="1">IF(A37&lt;&gt;0,(B37-(B36-D36))/(A37-A36),"")</f>
        <v>15.7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30</v>
      </c>
      <c r="B38" s="60">
        <v>215.65384615384616</v>
      </c>
      <c r="C38" s="60">
        <v>3</v>
      </c>
      <c r="D38" s="60">
        <v>55.869230769230761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16.020512820512824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37</v>
      </c>
      <c r="B39" s="60">
        <v>268.16923076923075</v>
      </c>
      <c r="C39" s="60">
        <v>4</v>
      </c>
      <c r="D39" s="60">
        <v>43.623076923076923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15.48351648351648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46</v>
      </c>
      <c r="B40" s="60">
        <v>362.82307692307688</v>
      </c>
      <c r="C40" s="60">
        <v>5</v>
      </c>
      <c r="D40" s="60">
        <v>72.561538461538461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15.364102564102561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56</v>
      </c>
      <c r="B41" s="60">
        <v>428.20000000000005</v>
      </c>
      <c r="C41" s="60">
        <v>6</v>
      </c>
      <c r="D41" s="60">
        <v>60.092307692307692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13.793846153846165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66</v>
      </c>
      <c r="B42" s="60">
        <v>488.65384615384613</v>
      </c>
      <c r="C42" s="60">
        <v>7</v>
      </c>
      <c r="D42" s="60">
        <v>68.146153846153851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12.05461538461538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76</v>
      </c>
      <c r="B43" s="60">
        <v>520.22307692307686</v>
      </c>
      <c r="C43" s="60">
        <v>8</v>
      </c>
      <c r="D43" s="60">
        <v>520.22307692307686</v>
      </c>
      <c r="E43" s="51">
        <v>0.7</v>
      </c>
      <c r="F43" s="51">
        <v>0.16800000000000001</v>
      </c>
      <c r="G43" s="51">
        <v>0.13200000000000001</v>
      </c>
      <c r="H43" s="51">
        <v>0</v>
      </c>
      <c r="I43" s="49">
        <f t="shared" si="1"/>
        <v>9.9715384615384544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18</v>
      </c>
      <c r="B58" s="52" t="str">
        <f>IF(B10="","",B10)</f>
        <v>Cèdre de l'Atlas</v>
      </c>
      <c r="D58" s="229" t="s">
        <v>46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47</v>
      </c>
      <c r="C60" s="267" t="s">
        <v>48</v>
      </c>
      <c r="D60" s="267"/>
      <c r="E60" s="268" t="s">
        <v>49</v>
      </c>
      <c r="F60" s="269"/>
      <c r="G60" s="269"/>
      <c r="H60" s="270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50</v>
      </c>
      <c r="B61" s="36" t="s">
        <v>51</v>
      </c>
      <c r="C61" s="48" t="s">
        <v>52</v>
      </c>
      <c r="D61" s="48" t="s">
        <v>53</v>
      </c>
      <c r="E61" s="36" t="s">
        <v>54</v>
      </c>
      <c r="F61" s="36" t="s">
        <v>55</v>
      </c>
      <c r="G61" s="36" t="s">
        <v>56</v>
      </c>
      <c r="H61" s="36" t="s">
        <v>57</v>
      </c>
      <c r="I61" s="48" t="s">
        <v>58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257">
        <v>30</v>
      </c>
      <c r="B62" s="258">
        <v>103.27692307692307</v>
      </c>
      <c r="C62" s="258" t="s">
        <v>59</v>
      </c>
      <c r="D62" s="258">
        <v>0</v>
      </c>
      <c r="E62" s="259">
        <v>0</v>
      </c>
      <c r="F62" s="259">
        <v>0</v>
      </c>
      <c r="G62" s="259">
        <v>0</v>
      </c>
      <c r="H62" s="259">
        <v>0</v>
      </c>
      <c r="I62" s="53">
        <f>IFERROR(B62/A62,"")</f>
        <v>3.4425641025641025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257">
        <v>51</v>
      </c>
      <c r="B63" s="258">
        <v>321.8384615384615</v>
      </c>
      <c r="C63" s="258">
        <v>1</v>
      </c>
      <c r="D63" s="258">
        <v>100.30769230769231</v>
      </c>
      <c r="E63" s="259">
        <v>0</v>
      </c>
      <c r="F63" s="259">
        <v>0.56000000000000005</v>
      </c>
      <c r="G63" s="259">
        <v>0.44</v>
      </c>
      <c r="H63" s="259">
        <v>0</v>
      </c>
      <c r="I63" s="49">
        <f>IF(A63&lt;&gt;0,(B63-(B62-D62))/(A63-A62),"")</f>
        <v>10.407692307692306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257">
        <v>63</v>
      </c>
      <c r="B64" s="258">
        <v>350.69230769230768</v>
      </c>
      <c r="C64" s="258">
        <v>2</v>
      </c>
      <c r="D64" s="258">
        <v>108.08461538461538</v>
      </c>
      <c r="E64" s="259">
        <v>0.7</v>
      </c>
      <c r="F64" s="259">
        <v>0.16800000000000001</v>
      </c>
      <c r="G64" s="259">
        <v>0.13200000000000001</v>
      </c>
      <c r="H64" s="259">
        <v>0</v>
      </c>
      <c r="I64" s="49">
        <f>IF(A64&lt;&gt;0,(B64-(B63-D63))/(A64-A63),"")</f>
        <v>10.763461538461542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257">
        <v>75</v>
      </c>
      <c r="B65" s="258">
        <v>360.47692307692307</v>
      </c>
      <c r="C65" s="258">
        <v>3</v>
      </c>
      <c r="D65" s="258">
        <v>85.361538461538458</v>
      </c>
      <c r="E65" s="259">
        <v>0.7</v>
      </c>
      <c r="F65" s="259">
        <v>0.16800000000000001</v>
      </c>
      <c r="G65" s="259">
        <v>0.13200000000000001</v>
      </c>
      <c r="H65" s="259">
        <v>0</v>
      </c>
      <c r="I65" s="49">
        <f>IF(A65&lt;&gt;0,(B65-(B64-D64))/(A65-A64),"")</f>
        <v>9.8224358974358967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257">
        <v>87</v>
      </c>
      <c r="B66" s="258">
        <v>383.13846153846151</v>
      </c>
      <c r="C66" s="258">
        <v>4</v>
      </c>
      <c r="D66" s="258">
        <v>82.938461538461524</v>
      </c>
      <c r="E66" s="259">
        <v>0.7</v>
      </c>
      <c r="F66" s="259">
        <v>0.16800000000000001</v>
      </c>
      <c r="G66" s="259">
        <v>0.13200000000000001</v>
      </c>
      <c r="H66" s="259">
        <v>0</v>
      </c>
      <c r="I66" s="49">
        <f t="shared" ref="I66:I81" si="2">IF(A66&lt;&gt;0,(B66-(B65-D65))/(A66-A65),"")</f>
        <v>9.001923076923072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257">
        <v>99</v>
      </c>
      <c r="B67" s="258">
        <v>397.8692307692308</v>
      </c>
      <c r="C67" s="258">
        <v>5</v>
      </c>
      <c r="D67" s="258">
        <v>198.32307692307691</v>
      </c>
      <c r="E67" s="260">
        <v>0.7</v>
      </c>
      <c r="F67" s="260">
        <v>0.16800000000000001</v>
      </c>
      <c r="G67" s="260">
        <v>0.13200000000000001</v>
      </c>
      <c r="H67" s="260">
        <v>0</v>
      </c>
      <c r="I67" s="49">
        <f t="shared" si="2"/>
        <v>8.1391025641025667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257">
        <v>109</v>
      </c>
      <c r="B68" s="258">
        <v>256.09230769230771</v>
      </c>
      <c r="C68" s="258">
        <v>6</v>
      </c>
      <c r="D68" s="258">
        <v>256.09230769230771</v>
      </c>
      <c r="E68" s="260">
        <v>0.7</v>
      </c>
      <c r="F68" s="260">
        <v>0.16800000000000001</v>
      </c>
      <c r="G68" s="260">
        <v>0.13200000000000001</v>
      </c>
      <c r="H68" s="260">
        <v>0</v>
      </c>
      <c r="I68" s="49">
        <f t="shared" si="2"/>
        <v>5.6546153846153828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261"/>
      <c r="B69" s="261"/>
      <c r="C69" s="261"/>
      <c r="D69" s="261"/>
      <c r="E69" s="260"/>
      <c r="F69" s="260"/>
      <c r="G69" s="260"/>
      <c r="H69" s="260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261"/>
      <c r="B70" s="261"/>
      <c r="C70" s="261"/>
      <c r="D70" s="261"/>
      <c r="E70" s="260"/>
      <c r="F70" s="260"/>
      <c r="G70" s="260"/>
      <c r="H70" s="260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20</v>
      </c>
      <c r="B84" s="52" t="str">
        <f>IF(B11="","",B11)</f>
        <v>Peuplier Blanc du Poitou</v>
      </c>
      <c r="D84" s="229" t="s">
        <v>46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47</v>
      </c>
      <c r="C86" s="267" t="s">
        <v>48</v>
      </c>
      <c r="D86" s="267"/>
      <c r="E86" s="268" t="s">
        <v>49</v>
      </c>
      <c r="F86" s="269"/>
      <c r="G86" s="269"/>
      <c r="H86" s="27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50</v>
      </c>
      <c r="B87" s="36" t="s">
        <v>51</v>
      </c>
      <c r="C87" s="48" t="s">
        <v>52</v>
      </c>
      <c r="D87" s="48" t="s">
        <v>53</v>
      </c>
      <c r="E87" s="36" t="s">
        <v>54</v>
      </c>
      <c r="F87" s="36" t="s">
        <v>55</v>
      </c>
      <c r="G87" s="36" t="s">
        <v>56</v>
      </c>
      <c r="H87" s="36" t="s">
        <v>57</v>
      </c>
      <c r="I87" s="48" t="s">
        <v>58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257">
        <v>4</v>
      </c>
      <c r="B88" s="258">
        <v>2.94</v>
      </c>
      <c r="C88" s="258">
        <v>0</v>
      </c>
      <c r="D88" s="258">
        <v>0</v>
      </c>
      <c r="E88" s="259">
        <v>0</v>
      </c>
      <c r="F88" s="259">
        <v>0</v>
      </c>
      <c r="G88" s="259">
        <v>0</v>
      </c>
      <c r="H88" s="262">
        <v>0</v>
      </c>
      <c r="I88" s="53">
        <f>IFERROR(B88/A88,"")</f>
        <v>0.73499999999999999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257">
        <v>5</v>
      </c>
      <c r="B89" s="258">
        <v>7.6591666666666711</v>
      </c>
      <c r="C89" s="258">
        <v>0</v>
      </c>
      <c r="D89" s="258">
        <v>0</v>
      </c>
      <c r="E89" s="259">
        <v>0</v>
      </c>
      <c r="F89" s="259">
        <v>0</v>
      </c>
      <c r="G89" s="259">
        <v>0</v>
      </c>
      <c r="H89" s="262">
        <v>0</v>
      </c>
      <c r="I89" s="53">
        <f t="shared" ref="I89:I107" si="3">IF(A89&lt;&gt;0,(B89-(B88-D88))/(A89-A88),"")</f>
        <v>4.7191666666666716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257">
        <v>6</v>
      </c>
      <c r="B90" s="258">
        <v>13.873589743589744</v>
      </c>
      <c r="C90" s="258">
        <v>0</v>
      </c>
      <c r="D90" s="258">
        <v>0</v>
      </c>
      <c r="E90" s="262">
        <v>0</v>
      </c>
      <c r="F90" s="262">
        <v>0</v>
      </c>
      <c r="G90" s="262">
        <v>0</v>
      </c>
      <c r="H90" s="262">
        <v>0</v>
      </c>
      <c r="I90" s="53">
        <f t="shared" si="3"/>
        <v>6.2144230769230724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257">
        <v>7</v>
      </c>
      <c r="B91" s="258">
        <v>21.480576923076921</v>
      </c>
      <c r="C91" s="258">
        <v>0</v>
      </c>
      <c r="D91" s="258">
        <v>0</v>
      </c>
      <c r="E91" s="262">
        <v>0</v>
      </c>
      <c r="F91" s="262">
        <v>0</v>
      </c>
      <c r="G91" s="262">
        <v>0</v>
      </c>
      <c r="H91" s="262">
        <v>0</v>
      </c>
      <c r="I91" s="53">
        <f t="shared" si="3"/>
        <v>7.6069871794871773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257">
        <v>8</v>
      </c>
      <c r="B92" s="258">
        <v>30.377435897435895</v>
      </c>
      <c r="C92" s="258">
        <v>0</v>
      </c>
      <c r="D92" s="258">
        <v>0</v>
      </c>
      <c r="E92" s="262">
        <v>0</v>
      </c>
      <c r="F92" s="262">
        <v>0</v>
      </c>
      <c r="G92" s="262">
        <v>0</v>
      </c>
      <c r="H92" s="262">
        <v>0</v>
      </c>
      <c r="I92" s="53">
        <f t="shared" si="3"/>
        <v>8.8968589743589739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257">
        <v>9</v>
      </c>
      <c r="B93" s="258">
        <v>40.46147435897435</v>
      </c>
      <c r="C93" s="258">
        <v>0</v>
      </c>
      <c r="D93" s="258">
        <v>0</v>
      </c>
      <c r="E93" s="263">
        <v>0</v>
      </c>
      <c r="F93" s="263">
        <v>0</v>
      </c>
      <c r="G93" s="263">
        <v>0</v>
      </c>
      <c r="H93" s="263">
        <v>0</v>
      </c>
      <c r="I93" s="53">
        <f t="shared" si="3"/>
        <v>10.084038461538455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257">
        <v>10</v>
      </c>
      <c r="B94" s="258">
        <v>51.630000000000017</v>
      </c>
      <c r="C94" s="258">
        <v>0</v>
      </c>
      <c r="D94" s="258">
        <v>0</v>
      </c>
      <c r="E94" s="263">
        <v>0</v>
      </c>
      <c r="F94" s="263">
        <v>0</v>
      </c>
      <c r="G94" s="263">
        <v>0</v>
      </c>
      <c r="H94" s="263">
        <v>0</v>
      </c>
      <c r="I94" s="53">
        <f t="shared" si="3"/>
        <v>11.168525641025667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11</v>
      </c>
      <c r="B95" s="60">
        <v>63.780320512820509</v>
      </c>
      <c r="C95" s="60">
        <v>0</v>
      </c>
      <c r="D95" s="60">
        <v>0</v>
      </c>
      <c r="E95" s="87">
        <v>0</v>
      </c>
      <c r="F95" s="87">
        <v>0</v>
      </c>
      <c r="G95" s="87">
        <v>0</v>
      </c>
      <c r="H95" s="87">
        <v>0</v>
      </c>
      <c r="I95" s="53">
        <f t="shared" si="3"/>
        <v>12.150320512820493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12</v>
      </c>
      <c r="B96" s="60">
        <v>76.80974358974359</v>
      </c>
      <c r="C96" s="60">
        <v>0</v>
      </c>
      <c r="D96" s="60">
        <v>0</v>
      </c>
      <c r="E96" s="87">
        <v>0</v>
      </c>
      <c r="F96" s="87">
        <v>0</v>
      </c>
      <c r="G96" s="87">
        <v>0</v>
      </c>
      <c r="H96" s="87">
        <v>0</v>
      </c>
      <c r="I96" s="53">
        <f t="shared" si="3"/>
        <v>13.029423076923081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13</v>
      </c>
      <c r="B97" s="60">
        <v>90.615576923076929</v>
      </c>
      <c r="C97" s="60">
        <v>0</v>
      </c>
      <c r="D97" s="60">
        <v>0</v>
      </c>
      <c r="E97" s="87">
        <v>0</v>
      </c>
      <c r="F97" s="87">
        <v>0</v>
      </c>
      <c r="G97" s="87">
        <v>0</v>
      </c>
      <c r="H97" s="87">
        <v>0</v>
      </c>
      <c r="I97" s="53">
        <f t="shared" si="3"/>
        <v>13.805833333333339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14</v>
      </c>
      <c r="B98" s="60">
        <v>105.09512820512822</v>
      </c>
      <c r="C98" s="60">
        <v>0</v>
      </c>
      <c r="D98" s="60">
        <v>0</v>
      </c>
      <c r="E98" s="87">
        <v>0</v>
      </c>
      <c r="F98" s="87">
        <v>0</v>
      </c>
      <c r="G98" s="87">
        <v>0</v>
      </c>
      <c r="H98" s="87">
        <v>0</v>
      </c>
      <c r="I98" s="53">
        <f t="shared" si="3"/>
        <v>14.47955128205129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>
        <v>15</v>
      </c>
      <c r="B99" s="60">
        <v>120.14570512820511</v>
      </c>
      <c r="C99" s="60">
        <v>0</v>
      </c>
      <c r="D99" s="60">
        <v>0</v>
      </c>
      <c r="E99" s="87">
        <v>0</v>
      </c>
      <c r="F99" s="87">
        <v>0</v>
      </c>
      <c r="G99" s="87">
        <v>0</v>
      </c>
      <c r="H99" s="87">
        <v>0</v>
      </c>
      <c r="I99" s="53">
        <f t="shared" si="3"/>
        <v>15.050576923076889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>
        <v>16</v>
      </c>
      <c r="B100" s="60">
        <v>135.66461538461539</v>
      </c>
      <c r="C100" s="60">
        <v>0</v>
      </c>
      <c r="D100" s="60">
        <v>0</v>
      </c>
      <c r="E100" s="65">
        <v>0</v>
      </c>
      <c r="F100" s="65">
        <v>0</v>
      </c>
      <c r="G100" s="65">
        <v>0</v>
      </c>
      <c r="H100" s="65">
        <v>0</v>
      </c>
      <c r="I100" s="53">
        <f t="shared" si="3"/>
        <v>15.51891025641028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>
        <v>17</v>
      </c>
      <c r="B101" s="60">
        <v>151.54916666666668</v>
      </c>
      <c r="C101" s="60">
        <v>0</v>
      </c>
      <c r="D101" s="60">
        <v>0</v>
      </c>
      <c r="E101" s="65">
        <v>0</v>
      </c>
      <c r="F101" s="65">
        <v>0</v>
      </c>
      <c r="G101" s="65">
        <v>0</v>
      </c>
      <c r="H101" s="65">
        <v>0</v>
      </c>
      <c r="I101" s="53">
        <f t="shared" si="3"/>
        <v>15.884551282051291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>
        <v>18</v>
      </c>
      <c r="B102" s="50">
        <v>167.69666666666663</v>
      </c>
      <c r="C102" s="60">
        <v>0</v>
      </c>
      <c r="D102" s="50">
        <v>0</v>
      </c>
      <c r="E102" s="54">
        <v>0</v>
      </c>
      <c r="F102" s="54">
        <v>0</v>
      </c>
      <c r="G102" s="54">
        <v>0</v>
      </c>
      <c r="H102" s="54">
        <v>0</v>
      </c>
      <c r="I102" s="53">
        <f t="shared" si="3"/>
        <v>16.147499999999951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>
        <v>19</v>
      </c>
      <c r="B103" s="50">
        <v>184.00442307692299</v>
      </c>
      <c r="C103" s="60">
        <v>0</v>
      </c>
      <c r="D103" s="50">
        <v>0</v>
      </c>
      <c r="E103" s="54">
        <v>0</v>
      </c>
      <c r="F103" s="54">
        <v>0</v>
      </c>
      <c r="G103" s="54">
        <v>0</v>
      </c>
      <c r="H103" s="54">
        <v>0</v>
      </c>
      <c r="I103" s="53">
        <f t="shared" si="3"/>
        <v>16.30775641025636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>
        <v>20</v>
      </c>
      <c r="B104" s="50">
        <v>200.36974358974356</v>
      </c>
      <c r="C104" s="60" t="s">
        <v>60</v>
      </c>
      <c r="D104" s="50">
        <v>200.36974358974356</v>
      </c>
      <c r="E104" s="54">
        <v>0.7</v>
      </c>
      <c r="F104" s="54">
        <v>0.15</v>
      </c>
      <c r="G104" s="54">
        <v>0.15</v>
      </c>
      <c r="H104" s="54">
        <v>0</v>
      </c>
      <c r="I104" s="53">
        <f t="shared" si="3"/>
        <v>16.365320512820574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22</v>
      </c>
      <c r="B110" s="52" t="str">
        <f>IF(B12="","",B12)</f>
        <v>Chêne sessile</v>
      </c>
      <c r="D110" s="229" t="s">
        <v>46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47</v>
      </c>
      <c r="C112" s="267" t="s">
        <v>48</v>
      </c>
      <c r="D112" s="267"/>
      <c r="E112" s="268" t="s">
        <v>49</v>
      </c>
      <c r="F112" s="269"/>
      <c r="G112" s="269"/>
      <c r="H112" s="27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50</v>
      </c>
      <c r="B113" s="36" t="s">
        <v>51</v>
      </c>
      <c r="C113" s="48" t="s">
        <v>52</v>
      </c>
      <c r="D113" s="48" t="s">
        <v>53</v>
      </c>
      <c r="E113" s="36" t="s">
        <v>54</v>
      </c>
      <c r="F113" s="36" t="s">
        <v>55</v>
      </c>
      <c r="G113" s="36" t="s">
        <v>56</v>
      </c>
      <c r="H113" s="36" t="s">
        <v>57</v>
      </c>
      <c r="I113" s="48" t="s">
        <v>58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257">
        <v>30</v>
      </c>
      <c r="B114" s="258">
        <v>88.108974358974351</v>
      </c>
      <c r="C114" s="257" t="s">
        <v>59</v>
      </c>
      <c r="D114" s="258">
        <v>0</v>
      </c>
      <c r="E114" s="259">
        <v>0</v>
      </c>
      <c r="F114" s="259">
        <v>0</v>
      </c>
      <c r="G114" s="259">
        <v>0</v>
      </c>
      <c r="H114" s="259">
        <v>0</v>
      </c>
      <c r="I114" s="53">
        <f>IFERROR(B114/A114,"")</f>
        <v>2.9369658119658117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257">
        <v>36</v>
      </c>
      <c r="B115" s="258">
        <v>117.41666666666667</v>
      </c>
      <c r="C115" s="257">
        <v>1</v>
      </c>
      <c r="D115" s="258">
        <v>54.224358974358978</v>
      </c>
      <c r="E115" s="259">
        <v>0</v>
      </c>
      <c r="F115" s="259">
        <v>0</v>
      </c>
      <c r="G115" s="259">
        <v>0</v>
      </c>
      <c r="H115" s="259">
        <v>1</v>
      </c>
      <c r="I115" s="53">
        <f t="shared" ref="I115:I133" si="4">IF(A115&lt;&gt;0,(B115-(B114-D114))/(A115-A114),"")</f>
        <v>4.8846153846153868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257">
        <v>44</v>
      </c>
      <c r="B116" s="258">
        <v>111.69871794871794</v>
      </c>
      <c r="C116" s="257">
        <v>2</v>
      </c>
      <c r="D116" s="258">
        <v>26.40384615384615</v>
      </c>
      <c r="E116" s="259">
        <v>0</v>
      </c>
      <c r="F116" s="259">
        <v>0</v>
      </c>
      <c r="G116" s="259">
        <v>0</v>
      </c>
      <c r="H116" s="259">
        <v>1</v>
      </c>
      <c r="I116" s="53">
        <f t="shared" si="4"/>
        <v>6.063301282051281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257">
        <v>52</v>
      </c>
      <c r="B117" s="258">
        <v>136.87179487179486</v>
      </c>
      <c r="C117" s="257">
        <v>3</v>
      </c>
      <c r="D117" s="258">
        <v>29.512820512820511</v>
      </c>
      <c r="E117" s="259">
        <v>0</v>
      </c>
      <c r="F117" s="259">
        <v>0</v>
      </c>
      <c r="G117" s="259">
        <v>0</v>
      </c>
      <c r="H117" s="259">
        <v>1</v>
      </c>
      <c r="I117" s="53">
        <f t="shared" si="4"/>
        <v>6.4471153846153832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257">
        <v>60</v>
      </c>
      <c r="B118" s="258">
        <v>159.7948717948718</v>
      </c>
      <c r="C118" s="257">
        <v>4</v>
      </c>
      <c r="D118" s="258">
        <v>32.71153846153846</v>
      </c>
      <c r="E118" s="259">
        <v>0</v>
      </c>
      <c r="F118" s="259">
        <v>0</v>
      </c>
      <c r="G118" s="259">
        <v>0</v>
      </c>
      <c r="H118" s="259">
        <v>1</v>
      </c>
      <c r="I118" s="53">
        <f t="shared" si="4"/>
        <v>6.5544871794871806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257">
        <v>68</v>
      </c>
      <c r="B119" s="258">
        <v>178.34615384615387</v>
      </c>
      <c r="C119" s="257">
        <v>5</v>
      </c>
      <c r="D119" s="258">
        <v>33.256410256410255</v>
      </c>
      <c r="E119" s="260">
        <v>0</v>
      </c>
      <c r="F119" s="260">
        <v>0</v>
      </c>
      <c r="G119" s="260">
        <v>0</v>
      </c>
      <c r="H119" s="260">
        <v>1</v>
      </c>
      <c r="I119" s="53">
        <f t="shared" si="4"/>
        <v>6.4078525641025657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258">
        <v>78</v>
      </c>
      <c r="B120" s="258">
        <v>207.76923076923077</v>
      </c>
      <c r="C120" s="258">
        <v>6</v>
      </c>
      <c r="D120" s="258">
        <v>32.88461538461538</v>
      </c>
      <c r="E120" s="263">
        <v>0</v>
      </c>
      <c r="F120" s="263">
        <v>0</v>
      </c>
      <c r="G120" s="263">
        <v>0</v>
      </c>
      <c r="H120" s="263">
        <v>1</v>
      </c>
      <c r="I120" s="53">
        <f t="shared" si="4"/>
        <v>6.2679487179487152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264">
        <v>88</v>
      </c>
      <c r="B121" s="264">
        <v>236.18589743589746</v>
      </c>
      <c r="C121" s="264">
        <v>7</v>
      </c>
      <c r="D121" s="264">
        <v>37.07692307692308</v>
      </c>
      <c r="E121" s="263">
        <v>0.7</v>
      </c>
      <c r="F121" s="263">
        <v>0</v>
      </c>
      <c r="G121" s="263">
        <v>0</v>
      </c>
      <c r="H121" s="263">
        <v>0.3</v>
      </c>
      <c r="I121" s="53">
        <f t="shared" si="4"/>
        <v>6.1301282051282069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264">
        <v>98</v>
      </c>
      <c r="B122" s="264">
        <v>259.49358974358972</v>
      </c>
      <c r="C122" s="264">
        <v>8</v>
      </c>
      <c r="D122" s="264">
        <v>36.192307692307693</v>
      </c>
      <c r="E122" s="263">
        <v>0.7</v>
      </c>
      <c r="F122" s="263">
        <v>0</v>
      </c>
      <c r="G122" s="263">
        <v>0</v>
      </c>
      <c r="H122" s="263">
        <v>0.3</v>
      </c>
      <c r="I122" s="53">
        <f t="shared" si="4"/>
        <v>6.0384615384615357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108</v>
      </c>
      <c r="B123" s="60">
        <v>283.17307692307691</v>
      </c>
      <c r="C123" s="60">
        <v>9</v>
      </c>
      <c r="D123" s="60">
        <v>42.352564102564095</v>
      </c>
      <c r="E123" s="87">
        <v>0.7</v>
      </c>
      <c r="F123" s="87">
        <v>0</v>
      </c>
      <c r="G123" s="87">
        <v>0</v>
      </c>
      <c r="H123" s="87">
        <v>0.3</v>
      </c>
      <c r="I123" s="53">
        <f t="shared" si="4"/>
        <v>5.9871794871794863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>
        <v>118</v>
      </c>
      <c r="B124" s="60">
        <v>300.48076923076923</v>
      </c>
      <c r="C124" s="60">
        <v>10</v>
      </c>
      <c r="D124" s="60">
        <v>42.685897435897438</v>
      </c>
      <c r="E124" s="87">
        <v>0.7</v>
      </c>
      <c r="F124" s="87">
        <v>0</v>
      </c>
      <c r="G124" s="87">
        <v>0</v>
      </c>
      <c r="H124" s="87">
        <v>0.3</v>
      </c>
      <c r="I124" s="53">
        <f t="shared" si="4"/>
        <v>5.9660256410256407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>
        <v>128</v>
      </c>
      <c r="B125" s="60">
        <v>317.69871794871796</v>
      </c>
      <c r="C125" s="60">
        <v>11</v>
      </c>
      <c r="D125" s="60">
        <v>41.243589743589745</v>
      </c>
      <c r="E125" s="87">
        <v>0.7</v>
      </c>
      <c r="F125" s="87">
        <v>0</v>
      </c>
      <c r="G125" s="87">
        <v>0</v>
      </c>
      <c r="H125" s="87">
        <v>0.3</v>
      </c>
      <c r="I125" s="53">
        <f t="shared" si="4"/>
        <v>5.9903846153846185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>
        <v>138</v>
      </c>
      <c r="B126" s="60">
        <v>336.95512820512818</v>
      </c>
      <c r="C126" s="60">
        <v>12</v>
      </c>
      <c r="D126" s="60">
        <v>41.987179487179489</v>
      </c>
      <c r="E126" s="65">
        <v>0.7</v>
      </c>
      <c r="F126" s="65">
        <v>0</v>
      </c>
      <c r="G126" s="65">
        <v>0</v>
      </c>
      <c r="H126" s="65">
        <v>0.3</v>
      </c>
      <c r="I126" s="53">
        <f t="shared" si="4"/>
        <v>6.0499999999999945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>
        <v>148</v>
      </c>
      <c r="B127" s="60">
        <v>356.25</v>
      </c>
      <c r="C127" s="60">
        <v>13</v>
      </c>
      <c r="D127" s="60">
        <v>42.621794871794869</v>
      </c>
      <c r="E127" s="65">
        <v>0.9</v>
      </c>
      <c r="F127" s="65">
        <v>0</v>
      </c>
      <c r="G127" s="65">
        <v>0</v>
      </c>
      <c r="H127" s="65">
        <v>0.1</v>
      </c>
      <c r="I127" s="53">
        <f t="shared" si="4"/>
        <v>6.1282051282051331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>
        <v>158</v>
      </c>
      <c r="B128" s="50">
        <v>376.13461538461536</v>
      </c>
      <c r="C128" s="50">
        <v>14</v>
      </c>
      <c r="D128" s="50">
        <v>44.42307692307692</v>
      </c>
      <c r="E128" s="54">
        <v>0.9</v>
      </c>
      <c r="F128" s="54">
        <v>0</v>
      </c>
      <c r="G128" s="54">
        <v>0</v>
      </c>
      <c r="H128" s="54">
        <v>0.1</v>
      </c>
      <c r="I128" s="53">
        <f t="shared" si="4"/>
        <v>6.2506410256410216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>
        <v>168</v>
      </c>
      <c r="B129" s="50">
        <v>394.96153846153845</v>
      </c>
      <c r="C129" s="50">
        <v>15</v>
      </c>
      <c r="D129" s="50">
        <v>43.36538461538462</v>
      </c>
      <c r="E129" s="54">
        <v>0.9</v>
      </c>
      <c r="F129" s="54">
        <v>0</v>
      </c>
      <c r="G129" s="54">
        <v>0</v>
      </c>
      <c r="H129" s="54">
        <v>0.1</v>
      </c>
      <c r="I129" s="53">
        <f t="shared" si="4"/>
        <v>6.3250000000000002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>
        <v>178</v>
      </c>
      <c r="B130" s="50">
        <v>415.64743589743586</v>
      </c>
      <c r="C130" s="50">
        <v>16</v>
      </c>
      <c r="D130" s="50">
        <v>163.11538461538461</v>
      </c>
      <c r="E130" s="54">
        <v>0.9</v>
      </c>
      <c r="F130" s="54">
        <v>0</v>
      </c>
      <c r="G130" s="54">
        <v>0</v>
      </c>
      <c r="H130" s="54">
        <v>0.1</v>
      </c>
      <c r="I130" s="53">
        <f t="shared" si="4"/>
        <v>6.4051282051282046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>
        <v>181</v>
      </c>
      <c r="B131" s="50">
        <v>264.91025641025641</v>
      </c>
      <c r="C131" s="50">
        <v>17</v>
      </c>
      <c r="D131" s="50">
        <v>89.608974358974351</v>
      </c>
      <c r="E131" s="54">
        <v>0.9</v>
      </c>
      <c r="F131" s="54">
        <v>0</v>
      </c>
      <c r="G131" s="54">
        <v>0</v>
      </c>
      <c r="H131" s="54">
        <v>0.1</v>
      </c>
      <c r="I131" s="53">
        <f t="shared" si="4"/>
        <v>4.1260683760683889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>
        <v>184</v>
      </c>
      <c r="B132" s="50">
        <v>182.60897435897436</v>
      </c>
      <c r="C132" s="50">
        <v>18</v>
      </c>
      <c r="D132" s="50">
        <v>62.82692307692308</v>
      </c>
      <c r="E132" s="54">
        <v>0.9</v>
      </c>
      <c r="F132" s="54">
        <v>0</v>
      </c>
      <c r="G132" s="54">
        <v>0</v>
      </c>
      <c r="H132" s="54">
        <v>0.1</v>
      </c>
      <c r="I132" s="53">
        <f t="shared" si="4"/>
        <v>2.4358974358974401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>
        <v>187</v>
      </c>
      <c r="B133" s="50">
        <v>124.26282051282051</v>
      </c>
      <c r="C133" s="50">
        <v>19</v>
      </c>
      <c r="D133" s="50">
        <v>124.26282051282051</v>
      </c>
      <c r="E133" s="54">
        <v>0.9</v>
      </c>
      <c r="F133" s="54">
        <v>0</v>
      </c>
      <c r="G133" s="54">
        <v>0</v>
      </c>
      <c r="H133" s="54">
        <v>0.1</v>
      </c>
      <c r="I133" s="53">
        <f t="shared" si="4"/>
        <v>1.4935897435897421</v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24</v>
      </c>
      <c r="B136" s="52" t="str">
        <f>IF(B13="","",B13)</f>
        <v>Sapin de Nordmann</v>
      </c>
      <c r="D136" s="229" t="s">
        <v>46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47</v>
      </c>
      <c r="C138" s="267" t="s">
        <v>48</v>
      </c>
      <c r="D138" s="267"/>
      <c r="E138" s="268" t="s">
        <v>49</v>
      </c>
      <c r="F138" s="269"/>
      <c r="G138" s="269"/>
      <c r="H138" s="27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50</v>
      </c>
      <c r="B139" s="36" t="s">
        <v>51</v>
      </c>
      <c r="C139" s="48" t="s">
        <v>52</v>
      </c>
      <c r="D139" s="48" t="s">
        <v>53</v>
      </c>
      <c r="E139" s="36" t="s">
        <v>54</v>
      </c>
      <c r="F139" s="36" t="s">
        <v>55</v>
      </c>
      <c r="G139" s="36" t="s">
        <v>56</v>
      </c>
      <c r="H139" s="36" t="s">
        <v>57</v>
      </c>
      <c r="I139" s="48" t="s">
        <v>58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257">
        <v>30</v>
      </c>
      <c r="B140" s="258">
        <v>59.876923076923077</v>
      </c>
      <c r="C140" s="257" t="s">
        <v>59</v>
      </c>
      <c r="D140" s="258">
        <v>0</v>
      </c>
      <c r="E140" s="259">
        <v>0</v>
      </c>
      <c r="F140" s="259">
        <v>0</v>
      </c>
      <c r="G140" s="259">
        <v>0</v>
      </c>
      <c r="H140" s="259">
        <v>0</v>
      </c>
      <c r="I140" s="57">
        <f>IFERROR(B140/A140,"")</f>
        <v>1.995897435897436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257">
        <v>50</v>
      </c>
      <c r="B141" s="258">
        <v>349.9153846153846</v>
      </c>
      <c r="C141" s="257">
        <v>1</v>
      </c>
      <c r="D141" s="258">
        <v>104.55384615384614</v>
      </c>
      <c r="E141" s="259">
        <v>0</v>
      </c>
      <c r="F141" s="259">
        <v>0.56000000000000005</v>
      </c>
      <c r="G141" s="259">
        <v>0.44</v>
      </c>
      <c r="H141" s="259">
        <v>0</v>
      </c>
      <c r="I141" s="57">
        <f>IF(A141&lt;&gt;0,(B141-(B140-D140))/(A141-A140),"")</f>
        <v>14.501923076923077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257">
        <v>60</v>
      </c>
      <c r="B142" s="258">
        <v>402.63846153846157</v>
      </c>
      <c r="C142" s="257">
        <v>2</v>
      </c>
      <c r="D142" s="258">
        <v>133.13846153846154</v>
      </c>
      <c r="E142" s="259">
        <v>0.7</v>
      </c>
      <c r="F142" s="259">
        <v>0.16800000000000001</v>
      </c>
      <c r="G142" s="259">
        <v>0.13200000000000001</v>
      </c>
      <c r="H142" s="259">
        <v>0</v>
      </c>
      <c r="I142" s="57">
        <f>IF(A142&lt;&gt;0,(B142-(B141-D141))/(A142-A141),"")</f>
        <v>15.727692307692312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257">
        <v>70</v>
      </c>
      <c r="B143" s="258">
        <v>393.90000000000003</v>
      </c>
      <c r="C143" s="257">
        <v>3</v>
      </c>
      <c r="D143" s="258">
        <v>105.74615384615385</v>
      </c>
      <c r="E143" s="259">
        <v>0.7</v>
      </c>
      <c r="F143" s="259">
        <v>0.16800000000000001</v>
      </c>
      <c r="G143" s="259">
        <v>0.13200000000000001</v>
      </c>
      <c r="H143" s="259">
        <v>0</v>
      </c>
      <c r="I143" s="57">
        <f t="shared" ref="I143:I159" si="5">IF(A143&lt;&gt;0,(B143-(B142-D142))/(A143-A142),"")</f>
        <v>12.440000000000003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257">
        <v>80</v>
      </c>
      <c r="B144" s="258">
        <v>383.29999999999995</v>
      </c>
      <c r="C144" s="257">
        <v>4</v>
      </c>
      <c r="D144" s="258">
        <v>80.684615384615384</v>
      </c>
      <c r="E144" s="259">
        <v>0.7</v>
      </c>
      <c r="F144" s="259">
        <v>0.16800000000000001</v>
      </c>
      <c r="G144" s="259">
        <v>0.13200000000000001</v>
      </c>
      <c r="H144" s="259">
        <v>0</v>
      </c>
      <c r="I144" s="57">
        <f t="shared" si="5"/>
        <v>9.5146153846153769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90</v>
      </c>
      <c r="B145" s="60">
        <v>385.37692307692305</v>
      </c>
      <c r="C145" s="50">
        <v>5</v>
      </c>
      <c r="D145" s="60">
        <v>58.792307692307695</v>
      </c>
      <c r="E145" s="51">
        <v>0.7</v>
      </c>
      <c r="F145" s="51">
        <v>0.16800000000000001</v>
      </c>
      <c r="G145" s="51">
        <v>0.13200000000000001</v>
      </c>
      <c r="H145" s="51">
        <v>0</v>
      </c>
      <c r="I145" s="57">
        <f t="shared" si="5"/>
        <v>8.2761538461538464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100</v>
      </c>
      <c r="B146" s="60">
        <v>398.10769230769228</v>
      </c>
      <c r="C146" s="50">
        <v>6</v>
      </c>
      <c r="D146" s="60">
        <v>178.02307692307693</v>
      </c>
      <c r="E146" s="51">
        <v>0.7</v>
      </c>
      <c r="F146" s="51">
        <v>0.16800000000000001</v>
      </c>
      <c r="G146" s="51">
        <v>0.13200000000000001</v>
      </c>
      <c r="H146" s="51">
        <v>0</v>
      </c>
      <c r="I146" s="57">
        <f t="shared" si="5"/>
        <v>7.1523076923076925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110</v>
      </c>
      <c r="B147" s="60">
        <v>267.07692307692304</v>
      </c>
      <c r="C147" s="50">
        <v>7</v>
      </c>
      <c r="D147" s="60">
        <v>129.43076923076922</v>
      </c>
      <c r="E147" s="51">
        <v>0.7</v>
      </c>
      <c r="F147" s="51">
        <v>0.16800000000000001</v>
      </c>
      <c r="G147" s="51">
        <v>0.13200000000000001</v>
      </c>
      <c r="H147" s="51">
        <v>0</v>
      </c>
      <c r="I147" s="57">
        <f>IF(A147&lt;&gt;0,(B147-(B146-D146))/(A147-A146),"")</f>
        <v>4.6992307692307689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120</v>
      </c>
      <c r="B148" s="60">
        <v>168.63076923076923</v>
      </c>
      <c r="C148" s="50">
        <v>8</v>
      </c>
      <c r="D148" s="60">
        <v>168.63076923076923</v>
      </c>
      <c r="E148" s="51">
        <v>0.7</v>
      </c>
      <c r="F148" s="51">
        <v>0.16800000000000001</v>
      </c>
      <c r="G148" s="51">
        <v>0.13200000000000001</v>
      </c>
      <c r="H148" s="51">
        <v>0</v>
      </c>
      <c r="I148" s="57">
        <f t="shared" si="5"/>
        <v>3.098461538461541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26</v>
      </c>
      <c r="B162" s="52" t="str">
        <f>IF(B14="","",B14)</f>
        <v>Chêne rouge d'Amérique</v>
      </c>
      <c r="D162" s="229" t="s">
        <v>46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47</v>
      </c>
      <c r="C164" s="267" t="s">
        <v>48</v>
      </c>
      <c r="D164" s="267"/>
      <c r="E164" s="268" t="s">
        <v>49</v>
      </c>
      <c r="F164" s="269"/>
      <c r="G164" s="269"/>
      <c r="H164" s="27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50</v>
      </c>
      <c r="B165" s="36" t="s">
        <v>51</v>
      </c>
      <c r="C165" s="48" t="s">
        <v>52</v>
      </c>
      <c r="D165" s="48" t="s">
        <v>53</v>
      </c>
      <c r="E165" s="36" t="s">
        <v>54</v>
      </c>
      <c r="F165" s="36" t="s">
        <v>55</v>
      </c>
      <c r="G165" s="36" t="s">
        <v>56</v>
      </c>
      <c r="H165" s="36" t="s">
        <v>57</v>
      </c>
      <c r="I165" s="48" t="s">
        <v>58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10</v>
      </c>
      <c r="B166" s="60">
        <v>29</v>
      </c>
      <c r="C166" s="60">
        <v>0</v>
      </c>
      <c r="D166" s="60">
        <v>0</v>
      </c>
      <c r="E166" s="51">
        <v>0</v>
      </c>
      <c r="F166" s="51">
        <v>0</v>
      </c>
      <c r="G166" s="51">
        <v>0</v>
      </c>
      <c r="H166" s="51">
        <v>1</v>
      </c>
      <c r="I166" s="49">
        <f>IFERROR(B166/A166,"")</f>
        <v>2.9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15</v>
      </c>
      <c r="B167" s="60">
        <v>73</v>
      </c>
      <c r="C167" s="60">
        <v>0</v>
      </c>
      <c r="D167" s="60">
        <v>0</v>
      </c>
      <c r="E167" s="51">
        <v>0</v>
      </c>
      <c r="F167" s="51">
        <v>0</v>
      </c>
      <c r="G167" s="51">
        <v>0</v>
      </c>
      <c r="H167" s="51">
        <v>1</v>
      </c>
      <c r="I167" s="49">
        <f t="shared" ref="I167:I185" si="6">IF(A167&lt;&gt;0,(B167-(B166-D166))/(A167-A166),"")</f>
        <v>8.8000000000000007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20</v>
      </c>
      <c r="B168" s="60">
        <v>129</v>
      </c>
      <c r="C168" s="60">
        <v>1</v>
      </c>
      <c r="D168" s="60" t="s">
        <v>61</v>
      </c>
      <c r="E168" s="51">
        <v>0</v>
      </c>
      <c r="F168" s="51">
        <v>0</v>
      </c>
      <c r="G168" s="51">
        <v>0</v>
      </c>
      <c r="H168" s="51">
        <v>1</v>
      </c>
      <c r="I168" s="49">
        <f t="shared" si="6"/>
        <v>11.2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25</v>
      </c>
      <c r="B169" s="60">
        <v>126</v>
      </c>
      <c r="C169" s="60">
        <v>2</v>
      </c>
      <c r="D169" s="60" t="s">
        <v>62</v>
      </c>
      <c r="E169" s="51">
        <v>0</v>
      </c>
      <c r="F169" s="51">
        <v>0</v>
      </c>
      <c r="G169" s="51">
        <v>0</v>
      </c>
      <c r="H169" s="51">
        <v>1</v>
      </c>
      <c r="I169" s="49">
        <f t="shared" si="6"/>
        <v>10.199999999999999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30</v>
      </c>
      <c r="B170" s="60">
        <v>149</v>
      </c>
      <c r="C170" s="60">
        <v>3</v>
      </c>
      <c r="D170" s="60" t="s">
        <v>63</v>
      </c>
      <c r="E170" s="51">
        <v>0</v>
      </c>
      <c r="F170" s="51">
        <v>0</v>
      </c>
      <c r="G170" s="51">
        <v>0</v>
      </c>
      <c r="H170" s="51">
        <v>1</v>
      </c>
      <c r="I170" s="49">
        <f t="shared" si="6"/>
        <v>9.8000000000000007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35</v>
      </c>
      <c r="B171" s="60">
        <v>168</v>
      </c>
      <c r="C171" s="60">
        <v>4</v>
      </c>
      <c r="D171" s="60" t="s">
        <v>63</v>
      </c>
      <c r="E171" s="51">
        <v>0</v>
      </c>
      <c r="F171" s="51">
        <v>0.5</v>
      </c>
      <c r="G171" s="51">
        <v>0</v>
      </c>
      <c r="H171" s="51">
        <v>0.5</v>
      </c>
      <c r="I171" s="49">
        <f t="shared" si="6"/>
        <v>9.1999999999999993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40</v>
      </c>
      <c r="B172" s="60">
        <v>185</v>
      </c>
      <c r="C172" s="60">
        <v>5</v>
      </c>
      <c r="D172" s="60" t="s">
        <v>63</v>
      </c>
      <c r="E172" s="51">
        <v>0</v>
      </c>
      <c r="F172" s="51">
        <v>0.5</v>
      </c>
      <c r="G172" s="51">
        <v>0</v>
      </c>
      <c r="H172" s="51">
        <v>0.5</v>
      </c>
      <c r="I172" s="49">
        <f t="shared" si="6"/>
        <v>8.8000000000000007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45</v>
      </c>
      <c r="B173" s="50">
        <v>198</v>
      </c>
      <c r="C173" s="50">
        <v>6</v>
      </c>
      <c r="D173" s="50" t="s">
        <v>62</v>
      </c>
      <c r="E173" s="51">
        <v>0.4</v>
      </c>
      <c r="F173" s="51">
        <v>0.4</v>
      </c>
      <c r="G173" s="51">
        <v>0</v>
      </c>
      <c r="H173" s="51">
        <v>0.2</v>
      </c>
      <c r="I173" s="49">
        <f t="shared" si="6"/>
        <v>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>
        <v>50</v>
      </c>
      <c r="B174" s="50">
        <v>209</v>
      </c>
      <c r="C174" s="50">
        <v>7</v>
      </c>
      <c r="D174" s="50" t="s">
        <v>64</v>
      </c>
      <c r="E174" s="51">
        <v>0.4</v>
      </c>
      <c r="F174" s="51">
        <v>0.4</v>
      </c>
      <c r="G174" s="51">
        <v>0</v>
      </c>
      <c r="H174" s="51">
        <v>0.2</v>
      </c>
      <c r="I174" s="49">
        <f t="shared" si="6"/>
        <v>7.4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>
        <v>55</v>
      </c>
      <c r="B175" s="50">
        <v>218</v>
      </c>
      <c r="C175" s="50">
        <v>8</v>
      </c>
      <c r="D175" s="50" t="s">
        <v>65</v>
      </c>
      <c r="E175" s="51">
        <v>0.4</v>
      </c>
      <c r="F175" s="51">
        <v>0.4</v>
      </c>
      <c r="G175" s="51">
        <v>0</v>
      </c>
      <c r="H175" s="51">
        <v>0.2</v>
      </c>
      <c r="I175" s="49">
        <f t="shared" si="6"/>
        <v>6.6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>
        <v>60</v>
      </c>
      <c r="B176" s="50">
        <v>225</v>
      </c>
      <c r="C176" s="50">
        <v>9</v>
      </c>
      <c r="D176" s="50" t="s">
        <v>66</v>
      </c>
      <c r="E176" s="51">
        <v>0.5</v>
      </c>
      <c r="F176" s="51">
        <v>0.4</v>
      </c>
      <c r="G176" s="51">
        <v>0</v>
      </c>
      <c r="H176" s="51">
        <v>0.1</v>
      </c>
      <c r="I176" s="49">
        <f t="shared" si="6"/>
        <v>6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>
        <v>65</v>
      </c>
      <c r="B177" s="50">
        <v>232</v>
      </c>
      <c r="C177" s="50">
        <v>10</v>
      </c>
      <c r="D177" s="50" t="s">
        <v>67</v>
      </c>
      <c r="E177" s="51">
        <v>0.5</v>
      </c>
      <c r="F177" s="51">
        <v>0.4</v>
      </c>
      <c r="G177" s="51">
        <v>0</v>
      </c>
      <c r="H177" s="51">
        <v>0.1</v>
      </c>
      <c r="I177" s="49">
        <f t="shared" si="6"/>
        <v>5.6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>
        <v>70</v>
      </c>
      <c r="B178" s="50">
        <v>237</v>
      </c>
      <c r="C178" s="50">
        <v>11</v>
      </c>
      <c r="D178" s="50" t="s">
        <v>68</v>
      </c>
      <c r="E178" s="51">
        <v>0.5</v>
      </c>
      <c r="F178" s="51">
        <v>0.4</v>
      </c>
      <c r="G178" s="51">
        <v>0</v>
      </c>
      <c r="H178" s="51">
        <v>0.1</v>
      </c>
      <c r="I178" s="49">
        <f t="shared" si="6"/>
        <v>5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>
        <v>75</v>
      </c>
      <c r="B179" s="50">
        <v>241</v>
      </c>
      <c r="C179" s="50">
        <v>12</v>
      </c>
      <c r="D179" s="50" t="s">
        <v>69</v>
      </c>
      <c r="E179" s="51">
        <v>0.6</v>
      </c>
      <c r="F179" s="51">
        <v>0.3</v>
      </c>
      <c r="G179" s="51">
        <v>0</v>
      </c>
      <c r="H179" s="51">
        <v>0.1</v>
      </c>
      <c r="I179" s="49">
        <f t="shared" si="6"/>
        <v>4.4000000000000004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>
        <v>80</v>
      </c>
      <c r="B180" s="50">
        <v>245</v>
      </c>
      <c r="C180" s="50">
        <v>13</v>
      </c>
      <c r="D180" s="50" t="s">
        <v>70</v>
      </c>
      <c r="E180" s="51">
        <v>0.6</v>
      </c>
      <c r="F180" s="51">
        <v>0.3</v>
      </c>
      <c r="G180" s="51">
        <v>0</v>
      </c>
      <c r="H180" s="51">
        <v>0.1</v>
      </c>
      <c r="I180" s="49">
        <f t="shared" si="6"/>
        <v>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>
        <v>85</v>
      </c>
      <c r="B181" s="50">
        <v>248</v>
      </c>
      <c r="C181" s="50">
        <v>14</v>
      </c>
      <c r="D181" s="50" t="s">
        <v>71</v>
      </c>
      <c r="E181" s="51">
        <v>0.6</v>
      </c>
      <c r="F181" s="51">
        <v>0.3</v>
      </c>
      <c r="G181" s="51">
        <v>0</v>
      </c>
      <c r="H181" s="51">
        <v>0.1</v>
      </c>
      <c r="I181" s="49">
        <f t="shared" si="6"/>
        <v>3.6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>
        <v>90</v>
      </c>
      <c r="B182" s="50">
        <v>249</v>
      </c>
      <c r="C182" s="50">
        <v>15</v>
      </c>
      <c r="D182" s="50" t="s">
        <v>72</v>
      </c>
      <c r="E182" s="51">
        <v>0.6</v>
      </c>
      <c r="F182" s="51">
        <v>0.3</v>
      </c>
      <c r="G182" s="51">
        <v>0</v>
      </c>
      <c r="H182" s="51">
        <v>0.1</v>
      </c>
      <c r="I182" s="49">
        <f t="shared" si="6"/>
        <v>3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>
        <v>95</v>
      </c>
      <c r="B183" s="50">
        <v>252</v>
      </c>
      <c r="C183" s="50">
        <v>16</v>
      </c>
      <c r="D183" s="50" t="s">
        <v>72</v>
      </c>
      <c r="E183" s="51">
        <v>0.7</v>
      </c>
      <c r="F183" s="51">
        <v>0.2</v>
      </c>
      <c r="G183" s="51">
        <v>0</v>
      </c>
      <c r="H183" s="51">
        <v>0.1</v>
      </c>
      <c r="I183" s="49">
        <f t="shared" si="6"/>
        <v>3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>
        <v>100</v>
      </c>
      <c r="B184" s="50">
        <v>255</v>
      </c>
      <c r="C184" s="50">
        <v>17</v>
      </c>
      <c r="D184" s="50" t="s">
        <v>72</v>
      </c>
      <c r="E184" s="51">
        <v>0.7</v>
      </c>
      <c r="F184" s="51">
        <v>0.2</v>
      </c>
      <c r="G184" s="51">
        <v>0</v>
      </c>
      <c r="H184" s="51">
        <v>0.1</v>
      </c>
      <c r="I184" s="49">
        <f t="shared" si="6"/>
        <v>3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28</v>
      </c>
      <c r="B188" s="52" t="str">
        <f>IF(B15="","",B15)</f>
        <v/>
      </c>
      <c r="D188" s="229" t="s">
        <v>46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47</v>
      </c>
      <c r="C190" s="267" t="s">
        <v>48</v>
      </c>
      <c r="D190" s="267"/>
      <c r="E190" s="268" t="s">
        <v>49</v>
      </c>
      <c r="F190" s="269"/>
      <c r="G190" s="269"/>
      <c r="H190" s="27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50</v>
      </c>
      <c r="B191" s="36" t="s">
        <v>51</v>
      </c>
      <c r="C191" s="48" t="s">
        <v>52</v>
      </c>
      <c r="D191" s="48" t="s">
        <v>53</v>
      </c>
      <c r="E191" s="36" t="s">
        <v>54</v>
      </c>
      <c r="F191" s="36" t="s">
        <v>55</v>
      </c>
      <c r="G191" s="36" t="s">
        <v>56</v>
      </c>
      <c r="H191" s="36" t="s">
        <v>57</v>
      </c>
      <c r="I191" s="48" t="s">
        <v>58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29</v>
      </c>
      <c r="B214" s="52" t="str">
        <f>IF(B16="","",B16)</f>
        <v/>
      </c>
      <c r="D214" s="229" t="s">
        <v>46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47</v>
      </c>
      <c r="C216" s="267" t="s">
        <v>48</v>
      </c>
      <c r="D216" s="267"/>
      <c r="E216" s="268" t="s">
        <v>49</v>
      </c>
      <c r="F216" s="269"/>
      <c r="G216" s="269"/>
      <c r="H216" s="27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50</v>
      </c>
      <c r="B217" s="36" t="s">
        <v>51</v>
      </c>
      <c r="C217" s="48" t="s">
        <v>52</v>
      </c>
      <c r="D217" s="48" t="s">
        <v>53</v>
      </c>
      <c r="E217" s="36" t="s">
        <v>54</v>
      </c>
      <c r="F217" s="36" t="s">
        <v>55</v>
      </c>
      <c r="G217" s="36" t="s">
        <v>56</v>
      </c>
      <c r="H217" s="36" t="s">
        <v>57</v>
      </c>
      <c r="I217" s="48" t="s">
        <v>58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30</v>
      </c>
      <c r="B240" s="52" t="str">
        <f>IF(B17="","",B17)</f>
        <v/>
      </c>
      <c r="D240" s="229" t="s">
        <v>46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47</v>
      </c>
      <c r="C242" s="267" t="s">
        <v>48</v>
      </c>
      <c r="D242" s="267"/>
      <c r="E242" s="268" t="s">
        <v>49</v>
      </c>
      <c r="F242" s="269"/>
      <c r="G242" s="269"/>
      <c r="H242" s="27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50</v>
      </c>
      <c r="B243" s="36" t="s">
        <v>51</v>
      </c>
      <c r="C243" s="48" t="s">
        <v>52</v>
      </c>
      <c r="D243" s="48" t="s">
        <v>53</v>
      </c>
      <c r="E243" s="36" t="s">
        <v>54</v>
      </c>
      <c r="F243" s="36" t="s">
        <v>55</v>
      </c>
      <c r="G243" s="36" t="s">
        <v>56</v>
      </c>
      <c r="H243" s="36" t="s">
        <v>57</v>
      </c>
      <c r="I243" s="48" t="s">
        <v>58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31</v>
      </c>
      <c r="B266" s="52" t="str">
        <f>IF(B18="","",B18)</f>
        <v/>
      </c>
      <c r="D266" s="229" t="s">
        <v>46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47</v>
      </c>
      <c r="C268" s="267" t="s">
        <v>48</v>
      </c>
      <c r="D268" s="267"/>
      <c r="E268" s="268" t="s">
        <v>49</v>
      </c>
      <c r="F268" s="269"/>
      <c r="G268" s="269"/>
      <c r="H268" s="27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50</v>
      </c>
      <c r="B269" s="36" t="s">
        <v>51</v>
      </c>
      <c r="C269" s="48" t="s">
        <v>52</v>
      </c>
      <c r="D269" s="48" t="s">
        <v>53</v>
      </c>
      <c r="E269" s="36" t="s">
        <v>54</v>
      </c>
      <c r="F269" s="36" t="s">
        <v>55</v>
      </c>
      <c r="G269" s="36" t="s">
        <v>56</v>
      </c>
      <c r="H269" s="36" t="s">
        <v>57</v>
      </c>
      <c r="I269" s="48" t="s">
        <v>58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14" sqref="C1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80" t="s">
        <v>73</v>
      </c>
      <c r="C2" s="281"/>
      <c r="D2" s="281"/>
      <c r="E2" s="281"/>
      <c r="F2" s="281"/>
      <c r="G2" s="28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9"/>
      <c r="C4" s="279"/>
      <c r="D4" s="279"/>
      <c r="E4" s="279"/>
      <c r="F4" s="279"/>
      <c r="G4" s="27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74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75</v>
      </c>
      <c r="C7" s="100" t="s">
        <v>76</v>
      </c>
      <c r="D7" s="215"/>
      <c r="E7" s="101"/>
      <c r="F7" s="26" t="s">
        <v>75</v>
      </c>
      <c r="G7" s="100" t="s">
        <v>77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78</v>
      </c>
      <c r="D8" s="23"/>
      <c r="E8" s="105">
        <v>4</v>
      </c>
      <c r="F8" s="61">
        <v>0</v>
      </c>
      <c r="G8" s="102" t="s">
        <v>79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80</v>
      </c>
      <c r="D9" s="23"/>
      <c r="E9" s="105">
        <v>5</v>
      </c>
      <c r="F9" s="61">
        <v>0</v>
      </c>
      <c r="G9" s="103" t="s">
        <v>81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82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83</v>
      </c>
      <c r="D13" s="216"/>
      <c r="E13" s="99"/>
      <c r="F13" s="107"/>
      <c r="G13" s="98" t="s">
        <v>84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85</v>
      </c>
      <c r="D14" s="216"/>
      <c r="E14" s="99"/>
      <c r="F14" s="107"/>
      <c r="G14" s="98" t="s">
        <v>86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75</v>
      </c>
      <c r="C15" s="4"/>
      <c r="D15" s="23"/>
      <c r="E15" s="4"/>
      <c r="F15" s="4"/>
      <c r="G15" s="2" t="s">
        <v>87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88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1</v>
      </c>
      <c r="C17" s="110" t="s">
        <v>89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90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ERREUR : corrigez ; le total n'est pas égal à celui de la cellule B8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86" t="s">
        <v>91</v>
      </c>
      <c r="C1" s="287"/>
      <c r="D1" s="287"/>
      <c r="E1" s="287"/>
      <c r="F1" s="287"/>
      <c r="G1" s="287"/>
      <c r="H1" s="288"/>
      <c r="I1" s="283" t="str">
        <f>IF('Données projet'!$B$9="","",'Données projet'!$B$9)</f>
        <v>Pin laricio</v>
      </c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5"/>
      <c r="AD1" s="284" t="str">
        <f>IF('Données projet'!$B$10="","",'Données projet'!$B$10)</f>
        <v>Cèdre de l'Atlas</v>
      </c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5"/>
      <c r="AY1" s="283" t="str">
        <f>IF('Données projet'!$B$11="","",'Données projet'!$B$11)</f>
        <v>Peuplier Blanc du Poitou</v>
      </c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5"/>
      <c r="BT1" s="283" t="str">
        <f>IF('Données projet'!$B$12="","",'Données projet'!$B$12)</f>
        <v>Chêne sessile</v>
      </c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5"/>
      <c r="CO1" s="283" t="str">
        <f>IF('Données projet'!$B$13="","",'Données projet'!$B$13)</f>
        <v>Sapin de Nordmann</v>
      </c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  <c r="DF1" s="284"/>
      <c r="DG1" s="284"/>
      <c r="DH1" s="284"/>
      <c r="DI1" s="285"/>
      <c r="DJ1" s="283" t="str">
        <f>IF('Données projet'!$B$14="","",'Données projet'!$B$14)</f>
        <v>Chêne rouge d'Amérique</v>
      </c>
      <c r="DK1" s="284"/>
      <c r="DL1" s="284"/>
      <c r="DM1" s="284"/>
      <c r="DN1" s="284"/>
      <c r="DO1" s="284"/>
      <c r="DP1" s="284"/>
      <c r="DQ1" s="284"/>
      <c r="DR1" s="284"/>
      <c r="DS1" s="284"/>
      <c r="DT1" s="284"/>
      <c r="DU1" s="284"/>
      <c r="DV1" s="284"/>
      <c r="DW1" s="284"/>
      <c r="DX1" s="284"/>
      <c r="DY1" s="284"/>
      <c r="DZ1" s="284"/>
      <c r="EA1" s="284"/>
      <c r="EB1" s="284"/>
      <c r="EC1" s="284"/>
      <c r="ED1" s="285"/>
      <c r="EE1" s="283" t="str">
        <f>IF('Données projet'!$B$15="","",'Données projet'!$B$15)</f>
        <v/>
      </c>
      <c r="EF1" s="284"/>
      <c r="EG1" s="284"/>
      <c r="EH1" s="284"/>
      <c r="EI1" s="284"/>
      <c r="EJ1" s="284"/>
      <c r="EK1" s="284"/>
      <c r="EL1" s="284"/>
      <c r="EM1" s="284"/>
      <c r="EN1" s="284"/>
      <c r="EO1" s="284"/>
      <c r="EP1" s="284"/>
      <c r="EQ1" s="284"/>
      <c r="ER1" s="284"/>
      <c r="ES1" s="284"/>
      <c r="ET1" s="284"/>
      <c r="EU1" s="284"/>
      <c r="EV1" s="284"/>
      <c r="EW1" s="284"/>
      <c r="EX1" s="284"/>
      <c r="EY1" s="285"/>
      <c r="EZ1" s="283" t="str">
        <f>IF('Données projet'!$B$16="","",'Données projet'!$B$16)</f>
        <v/>
      </c>
      <c r="FA1" s="284"/>
      <c r="FB1" s="284"/>
      <c r="FC1" s="284"/>
      <c r="FD1" s="284"/>
      <c r="FE1" s="284"/>
      <c r="FF1" s="284"/>
      <c r="FG1" s="284"/>
      <c r="FH1" s="284"/>
      <c r="FI1" s="284"/>
      <c r="FJ1" s="284"/>
      <c r="FK1" s="284"/>
      <c r="FL1" s="284"/>
      <c r="FM1" s="284"/>
      <c r="FN1" s="284"/>
      <c r="FO1" s="284"/>
      <c r="FP1" s="284"/>
      <c r="FQ1" s="284"/>
      <c r="FR1" s="284"/>
      <c r="FS1" s="284"/>
      <c r="FT1" s="285"/>
      <c r="FU1" s="283" t="str">
        <f>IF('Données projet'!$B$17="","",'Données projet'!$B$17)</f>
        <v/>
      </c>
      <c r="FV1" s="284"/>
      <c r="FW1" s="284"/>
      <c r="FX1" s="284"/>
      <c r="FY1" s="284"/>
      <c r="FZ1" s="284"/>
      <c r="GA1" s="284"/>
      <c r="GB1" s="284"/>
      <c r="GC1" s="284"/>
      <c r="GD1" s="284"/>
      <c r="GE1" s="284"/>
      <c r="GF1" s="284"/>
      <c r="GG1" s="284"/>
      <c r="GH1" s="284"/>
      <c r="GI1" s="284"/>
      <c r="GJ1" s="284"/>
      <c r="GK1" s="284"/>
      <c r="GL1" s="284"/>
      <c r="GM1" s="284"/>
      <c r="GN1" s="284"/>
      <c r="GO1" s="285"/>
      <c r="GP1" s="283" t="str">
        <f>IF('Données projet'!$B$18="","",'Données projet'!$B$18)</f>
        <v/>
      </c>
      <c r="GQ1" s="284"/>
      <c r="GR1" s="284"/>
      <c r="GS1" s="284"/>
      <c r="GT1" s="284"/>
      <c r="GU1" s="284"/>
      <c r="GV1" s="284"/>
      <c r="GW1" s="284"/>
      <c r="GX1" s="284"/>
      <c r="GY1" s="284"/>
      <c r="GZ1" s="284"/>
      <c r="HA1" s="284"/>
      <c r="HB1" s="284"/>
      <c r="HC1" s="284"/>
      <c r="HD1" s="284"/>
      <c r="HE1" s="284"/>
      <c r="HF1" s="284"/>
      <c r="HG1" s="284"/>
      <c r="HH1" s="284"/>
      <c r="HI1" s="284"/>
      <c r="HJ1" s="285"/>
    </row>
    <row r="2" spans="1:218" ht="75.75" thickBot="1" x14ac:dyDescent="0.3">
      <c r="A2" s="71" t="s">
        <v>92</v>
      </c>
      <c r="B2" s="72" t="s">
        <v>93</v>
      </c>
      <c r="C2" s="5" t="s">
        <v>94</v>
      </c>
      <c r="D2" s="5" t="s">
        <v>95</v>
      </c>
      <c r="E2" s="5" t="s">
        <v>96</v>
      </c>
      <c r="F2" s="5" t="s">
        <v>97</v>
      </c>
      <c r="G2" s="5" t="s">
        <v>98</v>
      </c>
      <c r="H2" s="66" t="s">
        <v>99</v>
      </c>
      <c r="I2" s="68" t="s">
        <v>96</v>
      </c>
      <c r="J2" s="69" t="s">
        <v>97</v>
      </c>
      <c r="K2" s="6" t="s">
        <v>100</v>
      </c>
      <c r="L2" s="6" t="s">
        <v>101</v>
      </c>
      <c r="M2" s="6" t="s">
        <v>101</v>
      </c>
      <c r="N2" s="6" t="s">
        <v>102</v>
      </c>
      <c r="O2" s="6" t="s">
        <v>103</v>
      </c>
      <c r="P2" s="6" t="s">
        <v>104</v>
      </c>
      <c r="Q2" s="6" t="s">
        <v>98</v>
      </c>
      <c r="R2" s="6" t="s">
        <v>105</v>
      </c>
      <c r="S2" s="6" t="s">
        <v>106</v>
      </c>
      <c r="T2" s="6" t="s">
        <v>107</v>
      </c>
      <c r="U2" s="7" t="s">
        <v>108</v>
      </c>
      <c r="V2" s="8" t="s">
        <v>109</v>
      </c>
      <c r="W2" s="7" t="s">
        <v>54</v>
      </c>
      <c r="X2" s="7" t="s">
        <v>55</v>
      </c>
      <c r="Y2" s="7" t="s">
        <v>110</v>
      </c>
      <c r="Z2" s="8" t="s">
        <v>111</v>
      </c>
      <c r="AA2" s="8" t="s">
        <v>112</v>
      </c>
      <c r="AB2" s="8" t="s">
        <v>113</v>
      </c>
      <c r="AC2" s="9" t="s">
        <v>114</v>
      </c>
      <c r="AD2" s="69" t="s">
        <v>96</v>
      </c>
      <c r="AE2" s="69" t="s">
        <v>97</v>
      </c>
      <c r="AF2" s="6" t="s">
        <v>100</v>
      </c>
      <c r="AG2" s="6" t="s">
        <v>101</v>
      </c>
      <c r="AH2" s="6" t="s">
        <v>101</v>
      </c>
      <c r="AI2" s="6" t="s">
        <v>102</v>
      </c>
      <c r="AJ2" s="6" t="s">
        <v>103</v>
      </c>
      <c r="AK2" s="6" t="s">
        <v>104</v>
      </c>
      <c r="AL2" s="6" t="s">
        <v>98</v>
      </c>
      <c r="AM2" s="6" t="s">
        <v>105</v>
      </c>
      <c r="AN2" s="6" t="s">
        <v>106</v>
      </c>
      <c r="AO2" s="6" t="s">
        <v>107</v>
      </c>
      <c r="AP2" s="7" t="s">
        <v>108</v>
      </c>
      <c r="AQ2" s="8" t="s">
        <v>109</v>
      </c>
      <c r="AR2" s="7" t="s">
        <v>54</v>
      </c>
      <c r="AS2" s="7" t="s">
        <v>55</v>
      </c>
      <c r="AT2" s="8" t="s">
        <v>115</v>
      </c>
      <c r="AU2" s="8" t="s">
        <v>111</v>
      </c>
      <c r="AV2" s="8" t="s">
        <v>112</v>
      </c>
      <c r="AW2" s="8" t="s">
        <v>113</v>
      </c>
      <c r="AX2" s="8" t="s">
        <v>114</v>
      </c>
      <c r="AY2" s="68" t="s">
        <v>96</v>
      </c>
      <c r="AZ2" s="69" t="s">
        <v>97</v>
      </c>
      <c r="BA2" s="6" t="s">
        <v>100</v>
      </c>
      <c r="BB2" s="6" t="s">
        <v>101</v>
      </c>
      <c r="BC2" s="6" t="s">
        <v>101</v>
      </c>
      <c r="BD2" s="6" t="s">
        <v>102</v>
      </c>
      <c r="BE2" s="6" t="s">
        <v>103</v>
      </c>
      <c r="BF2" s="6" t="s">
        <v>104</v>
      </c>
      <c r="BG2" s="6" t="s">
        <v>98</v>
      </c>
      <c r="BH2" s="6" t="s">
        <v>105</v>
      </c>
      <c r="BI2" s="6" t="s">
        <v>106</v>
      </c>
      <c r="BJ2" s="6" t="s">
        <v>107</v>
      </c>
      <c r="BK2" s="7" t="s">
        <v>108</v>
      </c>
      <c r="BL2" s="8" t="s">
        <v>109</v>
      </c>
      <c r="BM2" s="7" t="s">
        <v>54</v>
      </c>
      <c r="BN2" s="7" t="s">
        <v>55</v>
      </c>
      <c r="BO2" s="8" t="s">
        <v>115</v>
      </c>
      <c r="BP2" s="8" t="s">
        <v>111</v>
      </c>
      <c r="BQ2" s="8" t="s">
        <v>112</v>
      </c>
      <c r="BR2" s="8" t="s">
        <v>113</v>
      </c>
      <c r="BS2" s="9" t="s">
        <v>114</v>
      </c>
      <c r="BT2" s="68" t="s">
        <v>96</v>
      </c>
      <c r="BU2" s="69" t="s">
        <v>97</v>
      </c>
      <c r="BV2" s="6" t="s">
        <v>100</v>
      </c>
      <c r="BW2" s="6" t="s">
        <v>101</v>
      </c>
      <c r="BX2" s="6" t="s">
        <v>101</v>
      </c>
      <c r="BY2" s="6" t="s">
        <v>102</v>
      </c>
      <c r="BZ2" s="6" t="s">
        <v>103</v>
      </c>
      <c r="CA2" s="6" t="s">
        <v>104</v>
      </c>
      <c r="CB2" s="6" t="s">
        <v>98</v>
      </c>
      <c r="CC2" s="6" t="s">
        <v>105</v>
      </c>
      <c r="CD2" s="6" t="s">
        <v>106</v>
      </c>
      <c r="CE2" s="6" t="s">
        <v>107</v>
      </c>
      <c r="CF2" s="7" t="s">
        <v>108</v>
      </c>
      <c r="CG2" s="8" t="s">
        <v>109</v>
      </c>
      <c r="CH2" s="7" t="s">
        <v>54</v>
      </c>
      <c r="CI2" s="7" t="s">
        <v>55</v>
      </c>
      <c r="CJ2" s="8" t="s">
        <v>115</v>
      </c>
      <c r="CK2" s="8" t="s">
        <v>111</v>
      </c>
      <c r="CL2" s="8" t="s">
        <v>112</v>
      </c>
      <c r="CM2" s="8" t="s">
        <v>113</v>
      </c>
      <c r="CN2" s="9" t="s">
        <v>114</v>
      </c>
      <c r="CO2" s="68" t="s">
        <v>96</v>
      </c>
      <c r="CP2" s="69" t="s">
        <v>97</v>
      </c>
      <c r="CQ2" s="6" t="s">
        <v>100</v>
      </c>
      <c r="CR2" s="6" t="s">
        <v>101</v>
      </c>
      <c r="CS2" s="6" t="s">
        <v>101</v>
      </c>
      <c r="CT2" s="6" t="s">
        <v>102</v>
      </c>
      <c r="CU2" s="6" t="s">
        <v>103</v>
      </c>
      <c r="CV2" s="6" t="s">
        <v>104</v>
      </c>
      <c r="CW2" s="6" t="s">
        <v>98</v>
      </c>
      <c r="CX2" s="6" t="s">
        <v>105</v>
      </c>
      <c r="CY2" s="6" t="s">
        <v>106</v>
      </c>
      <c r="CZ2" s="6" t="s">
        <v>107</v>
      </c>
      <c r="DA2" s="7" t="s">
        <v>108</v>
      </c>
      <c r="DB2" s="8" t="s">
        <v>109</v>
      </c>
      <c r="DC2" s="7" t="s">
        <v>54</v>
      </c>
      <c r="DD2" s="7" t="s">
        <v>55</v>
      </c>
      <c r="DE2" s="8" t="s">
        <v>115</v>
      </c>
      <c r="DF2" s="8" t="s">
        <v>111</v>
      </c>
      <c r="DG2" s="8" t="s">
        <v>112</v>
      </c>
      <c r="DH2" s="8" t="s">
        <v>113</v>
      </c>
      <c r="DI2" s="9" t="s">
        <v>114</v>
      </c>
      <c r="DJ2" s="68" t="s">
        <v>96</v>
      </c>
      <c r="DK2" s="69" t="s">
        <v>97</v>
      </c>
      <c r="DL2" s="6" t="s">
        <v>100</v>
      </c>
      <c r="DM2" s="6" t="s">
        <v>101</v>
      </c>
      <c r="DN2" s="6" t="s">
        <v>101</v>
      </c>
      <c r="DO2" s="6" t="s">
        <v>102</v>
      </c>
      <c r="DP2" s="6" t="s">
        <v>103</v>
      </c>
      <c r="DQ2" s="6" t="s">
        <v>104</v>
      </c>
      <c r="DR2" s="6" t="s">
        <v>98</v>
      </c>
      <c r="DS2" s="6" t="s">
        <v>105</v>
      </c>
      <c r="DT2" s="6" t="s">
        <v>106</v>
      </c>
      <c r="DU2" s="6" t="s">
        <v>107</v>
      </c>
      <c r="DV2" s="7" t="s">
        <v>108</v>
      </c>
      <c r="DW2" s="8" t="s">
        <v>109</v>
      </c>
      <c r="DX2" s="7" t="s">
        <v>54</v>
      </c>
      <c r="DY2" s="7" t="s">
        <v>55</v>
      </c>
      <c r="DZ2" s="8" t="s">
        <v>115</v>
      </c>
      <c r="EA2" s="8" t="s">
        <v>111</v>
      </c>
      <c r="EB2" s="8" t="s">
        <v>112</v>
      </c>
      <c r="EC2" s="8" t="s">
        <v>113</v>
      </c>
      <c r="ED2" s="9" t="s">
        <v>114</v>
      </c>
      <c r="EE2" s="68" t="s">
        <v>96</v>
      </c>
      <c r="EF2" s="69" t="s">
        <v>97</v>
      </c>
      <c r="EG2" s="6" t="s">
        <v>100</v>
      </c>
      <c r="EH2" s="6" t="s">
        <v>101</v>
      </c>
      <c r="EI2" s="6" t="s">
        <v>101</v>
      </c>
      <c r="EJ2" s="6" t="s">
        <v>102</v>
      </c>
      <c r="EK2" s="6" t="s">
        <v>103</v>
      </c>
      <c r="EL2" s="6" t="s">
        <v>104</v>
      </c>
      <c r="EM2" s="6" t="s">
        <v>98</v>
      </c>
      <c r="EN2" s="6" t="s">
        <v>105</v>
      </c>
      <c r="EO2" s="6" t="s">
        <v>106</v>
      </c>
      <c r="EP2" s="6" t="s">
        <v>107</v>
      </c>
      <c r="EQ2" s="7" t="s">
        <v>108</v>
      </c>
      <c r="ER2" s="8" t="s">
        <v>109</v>
      </c>
      <c r="ES2" s="7" t="s">
        <v>54</v>
      </c>
      <c r="ET2" s="7" t="s">
        <v>55</v>
      </c>
      <c r="EU2" s="8" t="s">
        <v>115</v>
      </c>
      <c r="EV2" s="8" t="s">
        <v>111</v>
      </c>
      <c r="EW2" s="8" t="s">
        <v>112</v>
      </c>
      <c r="EX2" s="8" t="s">
        <v>113</v>
      </c>
      <c r="EY2" s="9" t="s">
        <v>114</v>
      </c>
      <c r="EZ2" s="68" t="s">
        <v>96</v>
      </c>
      <c r="FA2" s="69" t="s">
        <v>97</v>
      </c>
      <c r="FB2" s="6" t="s">
        <v>100</v>
      </c>
      <c r="FC2" s="6" t="s">
        <v>101</v>
      </c>
      <c r="FD2" s="6" t="s">
        <v>101</v>
      </c>
      <c r="FE2" s="6" t="s">
        <v>102</v>
      </c>
      <c r="FF2" s="6" t="s">
        <v>103</v>
      </c>
      <c r="FG2" s="6" t="s">
        <v>104</v>
      </c>
      <c r="FH2" s="6" t="s">
        <v>98</v>
      </c>
      <c r="FI2" s="6" t="s">
        <v>105</v>
      </c>
      <c r="FJ2" s="6" t="s">
        <v>106</v>
      </c>
      <c r="FK2" s="6" t="s">
        <v>107</v>
      </c>
      <c r="FL2" s="7" t="s">
        <v>108</v>
      </c>
      <c r="FM2" s="8" t="s">
        <v>109</v>
      </c>
      <c r="FN2" s="7" t="s">
        <v>54</v>
      </c>
      <c r="FO2" s="7" t="s">
        <v>55</v>
      </c>
      <c r="FP2" s="8" t="s">
        <v>116</v>
      </c>
      <c r="FQ2" s="8" t="s">
        <v>111</v>
      </c>
      <c r="FR2" s="8" t="s">
        <v>112</v>
      </c>
      <c r="FS2" s="8" t="s">
        <v>113</v>
      </c>
      <c r="FT2" s="9" t="s">
        <v>114</v>
      </c>
      <c r="FU2" s="68" t="s">
        <v>96</v>
      </c>
      <c r="FV2" s="69" t="s">
        <v>97</v>
      </c>
      <c r="FW2" s="6" t="s">
        <v>100</v>
      </c>
      <c r="FX2" s="6" t="s">
        <v>101</v>
      </c>
      <c r="FY2" s="6" t="s">
        <v>101</v>
      </c>
      <c r="FZ2" s="6" t="s">
        <v>102</v>
      </c>
      <c r="GA2" s="6" t="s">
        <v>103</v>
      </c>
      <c r="GB2" s="6" t="s">
        <v>104</v>
      </c>
      <c r="GC2" s="6" t="s">
        <v>98</v>
      </c>
      <c r="GD2" s="6" t="s">
        <v>105</v>
      </c>
      <c r="GE2" s="6" t="s">
        <v>106</v>
      </c>
      <c r="GF2" s="6" t="s">
        <v>107</v>
      </c>
      <c r="GG2" s="7" t="s">
        <v>108</v>
      </c>
      <c r="GH2" s="8" t="s">
        <v>109</v>
      </c>
      <c r="GI2" s="7" t="s">
        <v>54</v>
      </c>
      <c r="GJ2" s="7" t="s">
        <v>55</v>
      </c>
      <c r="GK2" s="8" t="s">
        <v>115</v>
      </c>
      <c r="GL2" s="8" t="s">
        <v>111</v>
      </c>
      <c r="GM2" s="8" t="s">
        <v>112</v>
      </c>
      <c r="GN2" s="8" t="s">
        <v>113</v>
      </c>
      <c r="GO2" s="8" t="s">
        <v>114</v>
      </c>
      <c r="GP2" s="68" t="s">
        <v>96</v>
      </c>
      <c r="GQ2" s="69" t="s">
        <v>97</v>
      </c>
      <c r="GR2" s="6" t="s">
        <v>100</v>
      </c>
      <c r="GS2" s="6" t="s">
        <v>101</v>
      </c>
      <c r="GT2" s="6" t="s">
        <v>101</v>
      </c>
      <c r="GU2" s="6" t="s">
        <v>102</v>
      </c>
      <c r="GV2" s="6" t="s">
        <v>103</v>
      </c>
      <c r="GW2" s="6" t="s">
        <v>104</v>
      </c>
      <c r="GX2" s="6" t="s">
        <v>98</v>
      </c>
      <c r="GY2" s="6" t="s">
        <v>105</v>
      </c>
      <c r="GZ2" s="6" t="s">
        <v>106</v>
      </c>
      <c r="HA2" s="6" t="s">
        <v>107</v>
      </c>
      <c r="HB2" s="7" t="s">
        <v>108</v>
      </c>
      <c r="HC2" s="8" t="s">
        <v>109</v>
      </c>
      <c r="HD2" s="7" t="s">
        <v>54</v>
      </c>
      <c r="HE2" s="7" t="s">
        <v>55</v>
      </c>
      <c r="HF2" s="8" t="s">
        <v>115</v>
      </c>
      <c r="HG2" s="8" t="s">
        <v>111</v>
      </c>
      <c r="HH2" s="8" t="s">
        <v>112</v>
      </c>
      <c r="HI2" s="8" t="s">
        <v>113</v>
      </c>
      <c r="HJ2" s="9" t="s">
        <v>114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355.09162485318728</v>
      </c>
      <c r="T3" s="59">
        <f>IF('Données projet'!E9&gt;30,$R$33-$H$33,LOOKUP('Données projet'!$E$9,$A$3:$A$203,R3:R203)-LOOKUP('Données projet'!$E$9,$A$3:$A$203,$H$3:$H$203))</f>
        <v>320.06572891923685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246.72166704460847</v>
      </c>
      <c r="AO3" s="59">
        <f>IF('Données projet'!E10&gt;30,$AM$33-$H$33,LOOKUP('Données projet'!$E$10,$A$3:$A$203,AM3:AM203)-LOOKUP('Données projet'!$E$10,$A$3:$A$203,$H$3:$H$203))</f>
        <v>145.54897745089966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88.478637356802039</v>
      </c>
      <c r="BJ3" s="59">
        <f>IF('Données projet'!E11&gt;30,$BH$33-$H$33,LOOKUP('Données projet'!$E$11,$A$3:$A$203,BH3:BH203)-LOOKUP('Données projet'!$E$11,$A$3:$A$203,$H$3:$H$203))</f>
        <v>239.55411297259155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437.94387006020412</v>
      </c>
      <c r="CE3" s="59">
        <f>IF('Données projet'!E12&gt;30,$CC$33-$H$33,LOOKUP('Données projet'!$E$12,$A$3:$A$203,CC3:CC203)-LOOKUP('Données projet'!$E$12,$A$3:$A$203,$H$3:$H$203))</f>
        <v>213.95083535531376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258.42493116335032</v>
      </c>
      <c r="CZ3" s="59">
        <f>IF('Données projet'!E13&gt;30,$CX$33-$H$33,LOOKUP('Données projet'!$E$13,$A$3:$A$203,CX3:CX203)-LOOKUP('Données projet'!$E$13,$A$3:$A$203,$H$3:$H$203))</f>
        <v>102.46122697336466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354.24684313982857</v>
      </c>
      <c r="DU3" s="59">
        <f>IF('Données projet'!E14&gt;30,$DS$33-$H$33,LOOKUP('Données projet'!$E$14,$A$3:$A$203,DS3:DS203)-LOOKUP('Données projet'!$E$14,$A$3:$A$203,$H$3:$H$203))</f>
        <v>322.65043486962185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6.7360323886639675</v>
      </c>
      <c r="N4" s="13">
        <f>IF('Données projet'!$A$36&gt;35,N3+M4-V3,IF(A4&lt;'Données projet'!$A$36,$K$205^A4,IF(A4='Données projet'!$A$36,'Données projet'!$B$36,N3+M4-V3)))</f>
        <v>1.2909310311160476</v>
      </c>
      <c r="O4" s="13">
        <f>N4*VLOOKUP('Données projet'!$B$9,Paramètres!$A$1:$I$89,3,0)*VLOOKUP('Données projet'!$B$9,Paramètres!$A$1:$I$89,5,0)</f>
        <v>0.77197675660739651</v>
      </c>
      <c r="P4" s="13">
        <f>EXP(-1.0587+0.8836*LN(O4)+0.284)</f>
        <v>0.36663942027891244</v>
      </c>
      <c r="Q4" s="20">
        <f t="shared" ref="Q4:Q34" si="2">(O4+P4)*0.475*44/12</f>
        <v>1.9830898414103215</v>
      </c>
      <c r="R4" s="59">
        <f t="shared" si="0"/>
        <v>259.87197873029919</v>
      </c>
      <c r="S4" s="59">
        <f ca="1">AVERAGE(OFFSET($R$3,0,0,'Données projet'!$E$9+1,1))-AVERAGE(OFFSET($H$3,0,0,'Données projet'!$E$9+1,1))</f>
        <v>355.09162485318728</v>
      </c>
      <c r="T4" s="59">
        <f>$T$3</f>
        <v>320.06572891923685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3.4425641025641025</v>
      </c>
      <c r="AI4" s="13">
        <f>IF('Données projet'!$A$62&gt;35,AI3+AH4-AQ3,IF(A4&lt;'Données projet'!$A$62,$AF$205^A4,IF(A4='Données projet'!$A$62,'Données projet'!$B$62,AI3+AH4-AQ3)))</f>
        <v>1.1671681906248585</v>
      </c>
      <c r="AJ4" s="13">
        <f>AI4*VLOOKUP('Données projet'!$B$10,Paramètres!$A$1:$I$89,3,0)*VLOOKUP('Données projet'!$B$10,Paramètres!$A$1:$I$89,5,0)</f>
        <v>0.54623471321243378</v>
      </c>
      <c r="AK4" s="13">
        <f>EXP(-1.0587+0.8836*LN(AJ4)+0.284)</f>
        <v>0.27008496636632595</v>
      </c>
      <c r="AL4" s="20">
        <f t="shared" ref="AL4:AL67" si="4">(AJ4+AK4)*0.475*44/12</f>
        <v>1.4217567752663396</v>
      </c>
      <c r="AM4" s="59">
        <f t="shared" ref="AM4:AM67" si="5">AL4+(AD4+AE4)*44/12</f>
        <v>259.31064566415517</v>
      </c>
      <c r="AN4" s="59">
        <f ca="1">AVERAGE(OFFSET($AM$3,0,0,'Données projet'!$E$10+1,1))-AVERAGE(OFFSET($H$3,0,0,'Données projet'!$E$10+1,1))</f>
        <v>246.72166704460847</v>
      </c>
      <c r="AO4" s="59">
        <f>$AO$3</f>
        <v>145.54897745089966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0.73499999999999999</v>
      </c>
      <c r="BD4" s="12">
        <f>IF('Données projet'!$A$88&gt;35,BD3+BC4-BL3,IF(A4&lt;'Données projet'!$A$88,$BA$205^A4,IF(A4='Données projet'!$A$88,'Données projet'!$B$88,BD3+BC4-BL3)))</f>
        <v>1.3094437062921891</v>
      </c>
      <c r="BE4" s="13">
        <f>BD4*VLOOKUP('Données projet'!$B$11,Paramètres!$A$1:$I$89,3,0)*VLOOKUP('Données projet'!$B$11,Paramètres!$A$1:$I$89,5,0)</f>
        <v>0.63528970854471845</v>
      </c>
      <c r="BF4" s="13">
        <f>EXP(-1.0587+0.8836*LN(BE4)+0.284)</f>
        <v>0.30864408972457341</v>
      </c>
      <c r="BG4" s="20">
        <f t="shared" ref="BG4:BG67" si="7">(BE4+BF4)*0.475*44/12</f>
        <v>1.6440180319856834</v>
      </c>
      <c r="BH4" s="59">
        <f t="shared" ref="BH4:BH67" si="8">BG4+(AY4+AZ4)*44/12</f>
        <v>259.53290692087455</v>
      </c>
      <c r="BI4" s="59">
        <f ca="1">AVERAGE(OFFSET($BH$3,0,0,'Données projet'!$E$11+1,1))-AVERAGE(OFFSET($H$3,0,0,'Données projet'!$E$11+1,1))</f>
        <v>88.478637356802039</v>
      </c>
      <c r="BJ4" s="59">
        <f>$BJ$3</f>
        <v>239.55411297259155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2.9369658119658117</v>
      </c>
      <c r="BY4" s="12">
        <f>IF('Données projet'!$A$114&gt;35,BY3+BX4-CG3,IF(A4&lt;'Données projet'!$A$114,$BV$205^A4,IF(A4='Données projet'!$A$114,'Données projet'!$B$114,BY3+BX4-CG3)))</f>
        <v>1.1610047721794545</v>
      </c>
      <c r="BZ4" s="13">
        <f>BY4*VLOOKUP('Données projet'!$B$12,Paramètres!$A$1:$I$89,3,0)*VLOOKUP('Données projet'!$B$12,Paramètres!$A$1:$I$89,5,0)</f>
        <v>1.0504771178679704</v>
      </c>
      <c r="CA4" s="13">
        <f>EXP(-1.0587+0.8836*LN(BZ4)+0.284)</f>
        <v>0.48133701656269734</v>
      </c>
      <c r="CB4" s="20">
        <f t="shared" ref="CB4:CB67" si="10">(BZ4+CA4)*0.475*44/12</f>
        <v>2.667909617466746</v>
      </c>
      <c r="CC4" s="59">
        <f t="shared" ref="CC4:CC67" si="11">CB4+(BT4+BU4)*44/12</f>
        <v>260.55679850635562</v>
      </c>
      <c r="CD4" s="59">
        <f ca="1">AVERAGE(OFFSET($CC$3,0,0,'Données projet'!$E$12+1,1))-AVERAGE(OFFSET($H$3,0,0,'Données projet'!$E$12+1,1))</f>
        <v>437.94387006020412</v>
      </c>
      <c r="CE4" s="59">
        <f>$CE$3</f>
        <v>213.95083535531376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1.995897435897436</v>
      </c>
      <c r="CT4" s="12">
        <f>IF('Données projet'!$A$140&gt;35,CT3+CS4-DB3,IF(A4&lt;'Données projet'!$A$140,$CQ$205^A4,IF(A4='Données projet'!$A$140,'Données projet'!$B$140,CT3+CS4-DB3)))</f>
        <v>1.1461513822586431</v>
      </c>
      <c r="CU4" s="17">
        <f>CT4*VLOOKUP('Données projet'!$B$13,Paramètres!$A$1:$I$89,3,0)*VLOOKUP('Données projet'!$B$13,Paramètres!$A$1:$I$89,5,0)</f>
        <v>0.55129881486640731</v>
      </c>
      <c r="CV4" s="13">
        <f>EXP(-1.0587+0.8836*LN(CU4)+0.284)</f>
        <v>0.27229625608774499</v>
      </c>
      <c r="CW4" s="20">
        <f t="shared" ref="CW4:CW67" si="13">(CU4+CV4)*0.475*44/12</f>
        <v>1.4344280819118154</v>
      </c>
      <c r="CX4" s="59">
        <f t="shared" ref="CX4:CX67" si="14">CW4+(CO4+CP4)*44/12</f>
        <v>259.32331697080065</v>
      </c>
      <c r="CY4" s="59">
        <f ca="1">AVERAGE(OFFSET($CX$3,0,0,'Données projet'!$E$13+1,1))-AVERAGE(OFFSET($H$3,0,0,'Données projet'!$E$13+1,1))</f>
        <v>258.42493116335032</v>
      </c>
      <c r="CZ4" s="59">
        <f>$CZ$3</f>
        <v>102.46122697336466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2.9</v>
      </c>
      <c r="DO4" s="12">
        <f>IF('Données projet'!$A$166&gt;35,DO3+DN4-DW3,IF(A4&lt;'Données projet'!$A$166,$DL$205^A4,IF(A4='Données projet'!$A$166,'Données projet'!$B$166,DO3+DN4-DW3)))</f>
        <v>1.4003603312913959</v>
      </c>
      <c r="DP4" s="17">
        <f>DO4*VLOOKUP('Données projet'!$B$14,Paramètres!$A$1:$I$89,3,0)*VLOOKUP('Données projet'!$B$14,Paramètres!$A$1:$I$89,5,0)</f>
        <v>1.2233547854161635</v>
      </c>
      <c r="DQ4" s="13">
        <f>EXP(-1.0587+0.8836*LN(DP4)+0.284)</f>
        <v>0.55069785861405296</v>
      </c>
      <c r="DR4" s="20">
        <f t="shared" ref="DR4:DR67" si="16">(DP4+DQ4)*0.475*44/12</f>
        <v>3.0898083550192936</v>
      </c>
      <c r="DS4" s="59">
        <f t="shared" ref="DS4:DS67" si="17">DR4+(DJ4+DK4)*44/12</f>
        <v>260.97869724390813</v>
      </c>
      <c r="DT4" s="59">
        <f ca="1">AVERAGE(OFFSET($DS$3,0,0,'Données projet'!$E$14+1,1))-AVERAGE(OFFSET($H$3,0,0,'Données projet'!$E$14+1,1))</f>
        <v>354.24684313982857</v>
      </c>
      <c r="DU4" s="59">
        <f>$DU$3</f>
        <v>322.65043486962185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6.7360323886639675</v>
      </c>
      <c r="N5" s="13">
        <f>IF('Données projet'!$A$36&gt;35,N4+M5-V4,IF(A5&lt;'Données projet'!$A$36,$K$205^A5,IF(A5='Données projet'!$A$36,'Données projet'!$B$36,N4+M5-V4)))</f>
        <v>1.6665029270983418</v>
      </c>
      <c r="O5" s="13">
        <f>N5*VLOOKUP('Données projet'!$B$9,Paramètres!$A$1:$I$89,3,0)*VLOOKUP('Données projet'!$B$9,Paramètres!$A$1:$I$89,5,0)</f>
        <v>0.99656875040480852</v>
      </c>
      <c r="P5" s="13">
        <f t="shared" ref="P5:P68" si="33">EXP(-1.0587+0.8836*LN(O5)+0.284)</f>
        <v>0.45944452864607926</v>
      </c>
      <c r="Q5" s="20">
        <f t="shared" si="2"/>
        <v>2.5358897943469625</v>
      </c>
      <c r="R5" s="59">
        <f t="shared" si="0"/>
        <v>261.64700090545813</v>
      </c>
      <c r="S5" s="59">
        <f ca="1">AVERAGE(OFFSET($R$3,0,0,'Données projet'!$E$9+1,1))-AVERAGE(OFFSET($H$3,0,0,'Données projet'!$E$9+1,1))</f>
        <v>355.09162485318728</v>
      </c>
      <c r="T5" s="59">
        <f t="shared" ref="T5:T68" si="34">$T$3</f>
        <v>320.06572891923685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3.4425641025641025</v>
      </c>
      <c r="AI5" s="13">
        <f>IF('Données projet'!$A$62&gt;35,AI4+AH5-AQ4,IF(A5&lt;'Données projet'!$A$62,$AF$205^A5,IF(A5='Données projet'!$A$62,'Données projet'!$B$62,AI4+AH5-AQ4)))</f>
        <v>1.3622815852065062</v>
      </c>
      <c r="AJ5" s="13">
        <f>AI5*VLOOKUP('Données projet'!$B$10,Paramètres!$A$1:$I$89,3,0)*VLOOKUP('Données projet'!$B$10,Paramètres!$A$1:$I$89,5,0)</f>
        <v>0.63754778187664485</v>
      </c>
      <c r="AK5" s="13">
        <f t="shared" ref="AK5:AK68" si="35">EXP(-1.0587+0.8836*LN(AJ5)+0.284)</f>
        <v>0.30961323785545058</v>
      </c>
      <c r="AL5" s="20">
        <f t="shared" si="4"/>
        <v>1.6496387760333995</v>
      </c>
      <c r="AM5" s="59">
        <f t="shared" si="5"/>
        <v>260.76074988714453</v>
      </c>
      <c r="AN5" s="59">
        <f ca="1">AVERAGE(OFFSET($AM$3,0,0,'Données projet'!$E$10+1,1))-AVERAGE(OFFSET($H$3,0,0,'Données projet'!$E$10+1,1))</f>
        <v>246.72166704460847</v>
      </c>
      <c r="AO5" s="59">
        <f t="shared" ref="AO5:AO68" si="36">$AO$3</f>
        <v>145.54897745089966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0.73499999999999999</v>
      </c>
      <c r="BD5" s="12">
        <f>IF('Données projet'!$A$88&gt;35,BD4+BC5-BL4,IF(A5&lt;'Données projet'!$A$88,$BA$205^A5,IF(A5='Données projet'!$A$88,'Données projet'!$B$88,BD4+BC5-BL4)))</f>
        <v>1.7146428199482249</v>
      </c>
      <c r="BE5" s="13">
        <f>BD5*VLOOKUP('Données projet'!$B$11,Paramètres!$A$1:$I$89,3,0)*VLOOKUP('Données projet'!$B$11,Paramètres!$A$1:$I$89,5,0)</f>
        <v>0.83187611052608079</v>
      </c>
      <c r="BF5" s="13">
        <f t="shared" ref="BF5:BF68" si="37">EXP(-1.0587+0.8836*LN(BE5)+0.284)</f>
        <v>0.39166601590217059</v>
      </c>
      <c r="BG5" s="20">
        <f t="shared" si="7"/>
        <v>2.1310025368625376</v>
      </c>
      <c r="BH5" s="59">
        <f t="shared" si="8"/>
        <v>261.24211364797367</v>
      </c>
      <c r="BI5" s="59">
        <f ca="1">AVERAGE(OFFSET($BH$3,0,0,'Données projet'!$E$11+1,1))-AVERAGE(OFFSET($H$3,0,0,'Données projet'!$E$11+1,1))</f>
        <v>88.478637356802039</v>
      </c>
      <c r="BJ5" s="59">
        <f t="shared" ref="BJ5:BJ68" si="38">$BJ$3</f>
        <v>239.55411297259155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2.9369658119658117</v>
      </c>
      <c r="BY5" s="12">
        <f>IF('Données projet'!$A$114&gt;35,BY4+BX5-CG4,IF(A5&lt;'Données projet'!$A$114,$BV$205^A5,IF(A5='Données projet'!$A$114,'Données projet'!$B$114,BY4+BX5-CG4)))</f>
        <v>1.3479320810234672</v>
      </c>
      <c r="BZ5" s="13">
        <f>BY5*VLOOKUP('Données projet'!$B$12,Paramètres!$A$1:$I$89,3,0)*VLOOKUP('Données projet'!$B$12,Paramètres!$A$1:$I$89,5,0)</f>
        <v>1.2196089469100331</v>
      </c>
      <c r="CA5" s="13">
        <f t="shared" ref="CA5:CA68" si="39">EXP(-1.0587+0.8836*LN(BZ5)+0.284)</f>
        <v>0.54920766329677184</v>
      </c>
      <c r="CB5" s="20">
        <f t="shared" si="10"/>
        <v>3.080688929443518</v>
      </c>
      <c r="CC5" s="59">
        <f t="shared" si="11"/>
        <v>262.19180004055465</v>
      </c>
      <c r="CD5" s="59">
        <f ca="1">AVERAGE(OFFSET($CC$3,0,0,'Données projet'!$E$12+1,1))-AVERAGE(OFFSET($H$3,0,0,'Données projet'!$E$12+1,1))</f>
        <v>437.94387006020412</v>
      </c>
      <c r="CE5" s="59">
        <f t="shared" ref="CE5:CE68" si="40">$CE$3</f>
        <v>213.95083535531376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1.995897435897436</v>
      </c>
      <c r="CT5" s="12">
        <f>IF('Données projet'!$A$140&gt;35,CT4+CS5-DB4,IF(A5&lt;'Données projet'!$A$140,$CQ$205^A5,IF(A5='Données projet'!$A$140,'Données projet'!$B$140,CT4+CS5-DB4)))</f>
        <v>1.3136629910533981</v>
      </c>
      <c r="CU5" s="17">
        <f>CT5*VLOOKUP('Données projet'!$B$13,Paramètres!$A$1:$I$89,3,0)*VLOOKUP('Données projet'!$B$13,Paramètres!$A$1:$I$89,5,0)</f>
        <v>0.63187189869668448</v>
      </c>
      <c r="CV5" s="13">
        <f t="shared" ref="CV5:CV68" si="41">EXP(-1.0587+0.8836*LN(CU5)+0.284)</f>
        <v>0.30717642794942057</v>
      </c>
      <c r="CW5" s="20">
        <f t="shared" si="13"/>
        <v>1.635509168908633</v>
      </c>
      <c r="CX5" s="59">
        <f t="shared" si="14"/>
        <v>260.74662028001978</v>
      </c>
      <c r="CY5" s="59">
        <f ca="1">AVERAGE(OFFSET($CX$3,0,0,'Données projet'!$E$13+1,1))-AVERAGE(OFFSET($H$3,0,0,'Données projet'!$E$13+1,1))</f>
        <v>258.42493116335032</v>
      </c>
      <c r="CZ5" s="59">
        <f t="shared" ref="CZ5:CZ68" si="42">$CZ$3</f>
        <v>102.46122697336466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2.9</v>
      </c>
      <c r="DO5" s="12">
        <f>IF('Données projet'!$A$166&gt;35,DO4+DN5-DW4,IF(A5&lt;'Données projet'!$A$166,$DL$205^A5,IF(A5='Données projet'!$A$166,'Données projet'!$B$166,DO4+DN5-DW4)))</f>
        <v>1.9610090574545482</v>
      </c>
      <c r="DP5" s="17">
        <f>DO5*VLOOKUP('Données projet'!$B$14,Paramètres!$A$1:$I$89,3,0)*VLOOKUP('Données projet'!$B$14,Paramètres!$A$1:$I$89,5,0)</f>
        <v>1.7131375125922934</v>
      </c>
      <c r="DQ5" s="13">
        <f t="shared" ref="DQ5:DQ68" si="43">EXP(-1.0587+0.8836*LN(DP5)+0.284)</f>
        <v>0.74153366912094132</v>
      </c>
      <c r="DR5" s="20">
        <f t="shared" si="16"/>
        <v>4.2752189748172169</v>
      </c>
      <c r="DS5" s="59">
        <f t="shared" si="17"/>
        <v>263.38633008592836</v>
      </c>
      <c r="DT5" s="59">
        <f ca="1">AVERAGE(OFFSET($DS$3,0,0,'Données projet'!$E$14+1,1))-AVERAGE(OFFSET($H$3,0,0,'Données projet'!$E$14+1,1))</f>
        <v>354.24684313982857</v>
      </c>
      <c r="DU5" s="59">
        <f t="shared" ref="DU5:DU68" si="44">$DU$3</f>
        <v>322.65043486962185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6.7360323886639675</v>
      </c>
      <c r="N6" s="13">
        <f>IF('Données projet'!$A$36&gt;35,N5+M6-V5,IF(A6&lt;'Données projet'!$A$36,$K$205^A6,IF(A6='Données projet'!$A$36,'Données projet'!$B$36,N5+M6-V5)))</f>
        <v>2.1513403420369737</v>
      </c>
      <c r="O6" s="13">
        <f>N6*VLOOKUP('Données projet'!$B$9,Paramètres!$A$1:$I$89,3,0)*VLOOKUP('Données projet'!$B$9,Paramètres!$A$1:$I$89,5,0)</f>
        <v>1.2865015245381104</v>
      </c>
      <c r="P6" s="13">
        <f t="shared" si="33"/>
        <v>0.57574080480008571</v>
      </c>
      <c r="Q6" s="20">
        <f t="shared" si="2"/>
        <v>3.2434053902640243</v>
      </c>
      <c r="R6" s="59">
        <f t="shared" si="0"/>
        <v>263.57673872359732</v>
      </c>
      <c r="S6" s="59">
        <f ca="1">AVERAGE(OFFSET($R$3,0,0,'Données projet'!$E$9+1,1))-AVERAGE(OFFSET($H$3,0,0,'Données projet'!$E$9+1,1))</f>
        <v>355.09162485318728</v>
      </c>
      <c r="T6" s="59">
        <f t="shared" si="34"/>
        <v>320.06572891923685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3.4425641025641025</v>
      </c>
      <c r="AI6" s="13">
        <f>IF('Données projet'!$A$62&gt;35,AI5+AH6-AQ5,IF(A6&lt;'Données projet'!$A$62,$AF$205^A6,IF(A6='Données projet'!$A$62,'Données projet'!$B$62,AI5+AH6-AQ5)))</f>
        <v>1.590011732927042</v>
      </c>
      <c r="AJ6" s="13">
        <f>AI6*VLOOKUP('Données projet'!$B$10,Paramètres!$A$1:$I$89,3,0)*VLOOKUP('Données projet'!$B$10,Paramètres!$A$1:$I$89,5,0)</f>
        <v>0.7441254910098557</v>
      </c>
      <c r="AK6" s="13">
        <f t="shared" si="35"/>
        <v>0.35492666750402163</v>
      </c>
      <c r="AL6" s="20">
        <f t="shared" si="4"/>
        <v>1.9141825094116696</v>
      </c>
      <c r="AM6" s="59">
        <f t="shared" si="5"/>
        <v>262.24751584274497</v>
      </c>
      <c r="AN6" s="59">
        <f ca="1">AVERAGE(OFFSET($AM$3,0,0,'Données projet'!$E$10+1,1))-AVERAGE(OFFSET($H$3,0,0,'Données projet'!$E$10+1,1))</f>
        <v>246.72166704460847</v>
      </c>
      <c r="AO6" s="59">
        <f t="shared" si="36"/>
        <v>145.54897745089966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0.73499999999999999</v>
      </c>
      <c r="BD6" s="12">
        <f>IF('Données projet'!$A$88&gt;35,BD5+BC6-BL5,IF(A6&lt;'Données projet'!$A$88,$BA$205^A6,IF(A6='Données projet'!$A$88,'Données projet'!$B$88,BD5+BC6-BL5)))</f>
        <v>2.2452282491202942</v>
      </c>
      <c r="BE6" s="13">
        <f>BD6*VLOOKUP('Données projet'!$B$11,Paramètres!$A$1:$I$89,3,0)*VLOOKUP('Données projet'!$B$11,Paramètres!$A$1:$I$89,5,0)</f>
        <v>1.0892949373432019</v>
      </c>
      <c r="BF6" s="13">
        <f t="shared" si="37"/>
        <v>0.4970199434227684</v>
      </c>
      <c r="BG6" s="20">
        <f t="shared" si="7"/>
        <v>2.7628317506673983</v>
      </c>
      <c r="BH6" s="59">
        <f t="shared" si="8"/>
        <v>263.09616508400069</v>
      </c>
      <c r="BI6" s="59">
        <f ca="1">AVERAGE(OFFSET($BH$3,0,0,'Données projet'!$E$11+1,1))-AVERAGE(OFFSET($H$3,0,0,'Données projet'!$E$11+1,1))</f>
        <v>88.478637356802039</v>
      </c>
      <c r="BJ6" s="59">
        <f t="shared" si="38"/>
        <v>239.55411297259155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2.9369658119658117</v>
      </c>
      <c r="BY6" s="12">
        <f>IF('Données projet'!$A$114&gt;35,BY5+BX6-CG5,IF(A6&lt;'Données projet'!$A$114,$BV$205^A6,IF(A6='Données projet'!$A$114,'Données projet'!$B$114,BY5+BX6-CG5)))</f>
        <v>1.5649555786420286</v>
      </c>
      <c r="BZ6" s="13">
        <f>BY6*VLOOKUP('Données projet'!$B$12,Paramètres!$A$1:$I$89,3,0)*VLOOKUP('Données projet'!$B$12,Paramètres!$A$1:$I$89,5,0)</f>
        <v>1.4159718075553074</v>
      </c>
      <c r="CA6" s="13">
        <f t="shared" si="39"/>
        <v>0.6266483711929749</v>
      </c>
      <c r="CB6" s="20">
        <f t="shared" si="10"/>
        <v>3.5575634779865912</v>
      </c>
      <c r="CC6" s="59">
        <f t="shared" si="11"/>
        <v>263.89089681131992</v>
      </c>
      <c r="CD6" s="59">
        <f ca="1">AVERAGE(OFFSET($CC$3,0,0,'Données projet'!$E$12+1,1))-AVERAGE(OFFSET($H$3,0,0,'Données projet'!$E$12+1,1))</f>
        <v>437.94387006020412</v>
      </c>
      <c r="CE6" s="59">
        <f t="shared" si="40"/>
        <v>213.95083535531376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1.995897435897436</v>
      </c>
      <c r="CT6" s="12">
        <f>IF('Données projet'!$A$140&gt;35,CT5+CS6-DB5,IF(A6&lt;'Données projet'!$A$140,$CQ$205^A6,IF(A6='Données projet'!$A$140,'Données projet'!$B$140,CT5+CS6-DB5)))</f>
        <v>1.5056566530178757</v>
      </c>
      <c r="CU6" s="17">
        <f>CT6*VLOOKUP('Données projet'!$B$13,Paramètres!$A$1:$I$89,3,0)*VLOOKUP('Données projet'!$B$13,Paramètres!$A$1:$I$89,5,0)</f>
        <v>0.72422085010159831</v>
      </c>
      <c r="CV6" s="13">
        <f t="shared" si="41"/>
        <v>0.34652462447871402</v>
      </c>
      <c r="CW6" s="20">
        <f t="shared" si="13"/>
        <v>1.8648817015607106</v>
      </c>
      <c r="CX6" s="59">
        <f t="shared" si="14"/>
        <v>262.19821503489402</v>
      </c>
      <c r="CY6" s="59">
        <f ca="1">AVERAGE(OFFSET($CX$3,0,0,'Données projet'!$E$13+1,1))-AVERAGE(OFFSET($H$3,0,0,'Données projet'!$E$13+1,1))</f>
        <v>258.42493116335032</v>
      </c>
      <c r="CZ6" s="59">
        <f t="shared" si="42"/>
        <v>102.46122697336466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2.9</v>
      </c>
      <c r="DO6" s="12">
        <f>IF('Données projet'!$A$166&gt;35,DO5+DN6-DW5,IF(A6&lt;'Données projet'!$A$166,$DL$205^A6,IF(A6='Données projet'!$A$166,'Données projet'!$B$166,DO5+DN6-DW5)))</f>
        <v>2.7461192933624794</v>
      </c>
      <c r="DP6" s="17">
        <f>DO6*VLOOKUP('Données projet'!$B$14,Paramètres!$A$1:$I$89,3,0)*VLOOKUP('Données projet'!$B$14,Paramètres!$A$1:$I$89,5,0)</f>
        <v>2.3990098146814622</v>
      </c>
      <c r="DQ6" s="13">
        <f t="shared" si="43"/>
        <v>0.99850067298942213</v>
      </c>
      <c r="DR6" s="20">
        <f t="shared" si="16"/>
        <v>5.9173307660267902</v>
      </c>
      <c r="DS6" s="59">
        <f t="shared" si="17"/>
        <v>266.25066409936011</v>
      </c>
      <c r="DT6" s="59">
        <f ca="1">AVERAGE(OFFSET($DS$3,0,0,'Données projet'!$E$14+1,1))-AVERAGE(OFFSET($H$3,0,0,'Données projet'!$E$14+1,1))</f>
        <v>354.24684313982857</v>
      </c>
      <c r="DU6" s="59">
        <f t="shared" si="44"/>
        <v>322.65043486962185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6.7360323886639675</v>
      </c>
      <c r="N7" s="13">
        <f>IF('Données projet'!$A$36&gt;35,N6+M7-V6,IF(A7&lt;'Données projet'!$A$36,$K$205^A7,IF(A7='Données projet'!$A$36,'Données projet'!$B$36,N6+M7-V6)))</f>
        <v>2.777232006027341</v>
      </c>
      <c r="O7" s="13">
        <f>N7*VLOOKUP('Données projet'!$B$9,Paramètres!$A$1:$I$89,3,0)*VLOOKUP('Données projet'!$B$9,Paramètres!$A$1:$I$89,5,0)</f>
        <v>1.66078473960435</v>
      </c>
      <c r="P7" s="13">
        <f t="shared" si="33"/>
        <v>0.7214744188785307</v>
      </c>
      <c r="Q7" s="20">
        <f t="shared" si="2"/>
        <v>4.1491013676910162</v>
      </c>
      <c r="R7" s="59">
        <f t="shared" si="0"/>
        <v>265.70465692324655</v>
      </c>
      <c r="S7" s="59">
        <f ca="1">AVERAGE(OFFSET($R$3,0,0,'Données projet'!$E$9+1,1))-AVERAGE(OFFSET($H$3,0,0,'Données projet'!$E$9+1,1))</f>
        <v>355.09162485318728</v>
      </c>
      <c r="T7" s="59">
        <f t="shared" si="34"/>
        <v>320.06572891923685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3.4425641025641025</v>
      </c>
      <c r="AI7" s="13">
        <f>IF('Données projet'!$A$62&gt;35,AI6+AH7-AQ6,IF(A7&lt;'Données projet'!$A$62,$AF$205^A7,IF(A7='Données projet'!$A$62,'Données projet'!$B$62,AI6+AH7-AQ6)))</f>
        <v>1.8558111173927514</v>
      </c>
      <c r="AJ7" s="13">
        <f>AI7*VLOOKUP('Données projet'!$B$10,Paramètres!$A$1:$I$89,3,0)*VLOOKUP('Données projet'!$B$10,Paramètres!$A$1:$I$89,5,0)</f>
        <v>0.86851960293980757</v>
      </c>
      <c r="AK7" s="13">
        <f t="shared" si="35"/>
        <v>0.40687194183965542</v>
      </c>
      <c r="AL7" s="20">
        <f t="shared" si="4"/>
        <v>2.2213069404908978</v>
      </c>
      <c r="AM7" s="59">
        <f t="shared" si="5"/>
        <v>263.77686249604642</v>
      </c>
      <c r="AN7" s="59">
        <f ca="1">AVERAGE(OFFSET($AM$3,0,0,'Données projet'!$E$10+1,1))-AVERAGE(OFFSET($H$3,0,0,'Données projet'!$E$10+1,1))</f>
        <v>246.72166704460847</v>
      </c>
      <c r="AO7" s="59">
        <f t="shared" si="36"/>
        <v>145.54897745089966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>
        <f>VLOOKUP(A7,'Données projet'!$A$87:$I$107,2,0)</f>
        <v>2.94</v>
      </c>
      <c r="BB7" s="12">
        <f>VLOOKUP(A7,'Données projet'!$A$87:$I$107,9,0)</f>
        <v>0.73499999999999999</v>
      </c>
      <c r="BC7" s="12">
        <f t="array" ref="BC7">INDEX(BB:BB,MIN(IF(ISNUMBER(BB7:BB203),ROW(BB7:BB203),"")))</f>
        <v>0.73499999999999999</v>
      </c>
      <c r="BD7" s="12">
        <f>IF('Données projet'!$A$88&gt;35,BD6+BC7-BL6,IF(A7&lt;'Données projet'!$A$88,$BA$205^A7,IF(A7='Données projet'!$A$88,'Données projet'!$B$88,BD6+BC7-BL6)))</f>
        <v>2.94</v>
      </c>
      <c r="BE7" s="13">
        <f>BD7*VLOOKUP('Données projet'!$B$11,Paramètres!$A$1:$I$89,3,0)*VLOOKUP('Données projet'!$B$11,Paramètres!$A$1:$I$89,5,0)</f>
        <v>1.4263703999999999</v>
      </c>
      <c r="BF7" s="13">
        <f t="shared" si="37"/>
        <v>0.6307129394184513</v>
      </c>
      <c r="BG7" s="20">
        <f t="shared" si="7"/>
        <v>3.5827534828204688</v>
      </c>
      <c r="BH7" s="59">
        <f t="shared" si="8"/>
        <v>265.13830903837601</v>
      </c>
      <c r="BI7" s="59">
        <f ca="1">AVERAGE(OFFSET($BH$3,0,0,'Données projet'!$E$11+1,1))-AVERAGE(OFFSET($H$3,0,0,'Données projet'!$E$11+1,1))</f>
        <v>88.478637356802039</v>
      </c>
      <c r="BJ7" s="59">
        <f t="shared" si="38"/>
        <v>239.55411297259155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2.9369658119658117</v>
      </c>
      <c r="BY7" s="12">
        <f>IF('Données projet'!$A$114&gt;35,BY6+BX7-CG6,IF(A7&lt;'Données projet'!$A$114,$BV$205^A7,IF(A7='Données projet'!$A$114,'Données projet'!$B$114,BY6+BX7-CG6)))</f>
        <v>1.8169208950522548</v>
      </c>
      <c r="BZ7" s="13">
        <f>BY7*VLOOKUP('Données projet'!$B$12,Paramètres!$A$1:$I$89,3,0)*VLOOKUP('Données projet'!$B$12,Paramètres!$A$1:$I$89,5,0)</f>
        <v>1.64395002584328</v>
      </c>
      <c r="CA7" s="13">
        <f t="shared" si="39"/>
        <v>0.71500856117263256</v>
      </c>
      <c r="CB7" s="20">
        <f t="shared" si="10"/>
        <v>4.1085195390527138</v>
      </c>
      <c r="CC7" s="59">
        <f t="shared" si="11"/>
        <v>265.66407509460828</v>
      </c>
      <c r="CD7" s="59">
        <f ca="1">AVERAGE(OFFSET($CC$3,0,0,'Données projet'!$E$12+1,1))-AVERAGE(OFFSET($H$3,0,0,'Données projet'!$E$12+1,1))</f>
        <v>437.94387006020412</v>
      </c>
      <c r="CE7" s="59">
        <f t="shared" si="40"/>
        <v>213.95083535531376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1.995897435897436</v>
      </c>
      <c r="CT7" s="12">
        <f>IF('Données projet'!$A$140&gt;35,CT6+CS7-DB6,IF(A7&lt;'Données projet'!$A$140,$CQ$205^A7,IF(A7='Données projet'!$A$140,'Données projet'!$B$140,CT6+CS7-DB6)))</f>
        <v>1.7257104540633603</v>
      </c>
      <c r="CU7" s="17">
        <f>CT7*VLOOKUP('Données projet'!$B$13,Paramètres!$A$1:$I$89,3,0)*VLOOKUP('Données projet'!$B$13,Paramètres!$A$1:$I$89,5,0)</f>
        <v>0.83006672840447637</v>
      </c>
      <c r="CV7" s="13">
        <f t="shared" si="41"/>
        <v>0.39091318357893629</v>
      </c>
      <c r="CW7" s="20">
        <f t="shared" si="13"/>
        <v>2.1265400133711103</v>
      </c>
      <c r="CX7" s="59">
        <f t="shared" si="14"/>
        <v>263.68209556892663</v>
      </c>
      <c r="CY7" s="59">
        <f ca="1">AVERAGE(OFFSET($CX$3,0,0,'Données projet'!$E$13+1,1))-AVERAGE(OFFSET($H$3,0,0,'Données projet'!$E$13+1,1))</f>
        <v>258.42493116335032</v>
      </c>
      <c r="CZ7" s="59">
        <f t="shared" si="42"/>
        <v>102.46122697336466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2.9</v>
      </c>
      <c r="DO7" s="12">
        <f>IF('Données projet'!$A$166&gt;35,DO6+DN7-DW6,IF(A7&lt;'Données projet'!$A$166,$DL$205^A7,IF(A7='Données projet'!$A$166,'Données projet'!$B$166,DO6+DN7-DW6)))</f>
        <v>3.8455565234187756</v>
      </c>
      <c r="DP7" s="17">
        <f>DO7*VLOOKUP('Données projet'!$B$14,Paramètres!$A$1:$I$89,3,0)*VLOOKUP('Données projet'!$B$14,Paramètres!$A$1:$I$89,5,0)</f>
        <v>3.3594781788586427</v>
      </c>
      <c r="DQ7" s="13">
        <f t="shared" si="43"/>
        <v>1.3445156106562728</v>
      </c>
      <c r="DR7" s="20">
        <f t="shared" si="16"/>
        <v>8.1927891834051447</v>
      </c>
      <c r="DS7" s="59">
        <f t="shared" si="17"/>
        <v>269.74834473896067</v>
      </c>
      <c r="DT7" s="59">
        <f ca="1">AVERAGE(OFFSET($DS$3,0,0,'Données projet'!$E$14+1,1))-AVERAGE(OFFSET($H$3,0,0,'Données projet'!$E$14+1,1))</f>
        <v>354.24684313982857</v>
      </c>
      <c r="DU7" s="59">
        <f t="shared" si="44"/>
        <v>322.65043486962185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6.7360323886639675</v>
      </c>
      <c r="N8" s="13">
        <f>IF('Données projet'!$A$36&gt;35,N7+M8-V7,IF(A8&lt;'Données projet'!$A$36,$K$205^A8,IF(A8='Données projet'!$A$36,'Données projet'!$B$36,N7+M8-V7)))</f>
        <v>3.5852149771893647</v>
      </c>
      <c r="O8" s="13">
        <f>N8*VLOOKUP('Données projet'!$B$9,Paramètres!$A$1:$I$89,3,0)*VLOOKUP('Données projet'!$B$9,Paramètres!$A$1:$I$89,5,0)</f>
        <v>2.1439585563592405</v>
      </c>
      <c r="P8" s="13">
        <f t="shared" si="33"/>
        <v>0.90409665730893507</v>
      </c>
      <c r="Q8" s="20">
        <f t="shared" si="2"/>
        <v>5.3086961638054051</v>
      </c>
      <c r="R8" s="59">
        <f t="shared" si="0"/>
        <v>268.08647394158317</v>
      </c>
      <c r="S8" s="59">
        <f ca="1">AVERAGE(OFFSET($R$3,0,0,'Données projet'!$E$9+1,1))-AVERAGE(OFFSET($H$3,0,0,'Données projet'!$E$9+1,1))</f>
        <v>355.09162485318728</v>
      </c>
      <c r="T8" s="59">
        <f t="shared" si="34"/>
        <v>320.06572891923685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3.4425641025641025</v>
      </c>
      <c r="AI8" s="13">
        <f>IF('Données projet'!$A$62&gt;35,AI7+AH8-AQ7,IF(A8&lt;'Données projet'!$A$62,$AF$205^A8,IF(A8='Données projet'!$A$62,'Données projet'!$B$62,AI7+AH8-AQ7)))</f>
        <v>2.1660437040287945</v>
      </c>
      <c r="AJ8" s="13">
        <f>AI8*VLOOKUP('Données projet'!$B$10,Paramètres!$A$1:$I$89,3,0)*VLOOKUP('Données projet'!$B$10,Paramètres!$A$1:$I$89,5,0)</f>
        <v>1.0137084534854759</v>
      </c>
      <c r="AK8" s="13">
        <f t="shared" si="35"/>
        <v>0.46641966415357117</v>
      </c>
      <c r="AL8" s="20">
        <f t="shared" si="4"/>
        <v>2.5778898048880068</v>
      </c>
      <c r="AM8" s="59">
        <f t="shared" si="5"/>
        <v>265.35566758266577</v>
      </c>
      <c r="AN8" s="59">
        <f ca="1">AVERAGE(OFFSET($AM$3,0,0,'Données projet'!$E$10+1,1))-AVERAGE(OFFSET($H$3,0,0,'Données projet'!$E$10+1,1))</f>
        <v>246.72166704460847</v>
      </c>
      <c r="AO8" s="59">
        <f t="shared" si="36"/>
        <v>145.54897745089966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>
        <f>VLOOKUP(A8,'Données projet'!$A$87:$I$107,2,0)</f>
        <v>7.6591666666666711</v>
      </c>
      <c r="BB8" s="12">
        <f>VLOOKUP(A8,'Données projet'!$A$87:$I$107,9,0)</f>
        <v>4.7191666666666716</v>
      </c>
      <c r="BC8" s="12">
        <f t="array" ref="BC8">INDEX(BB:BB,MIN(IF(ISNUMBER(BB8:BB204),ROW(BB8:BB204),"")))</f>
        <v>4.7191666666666716</v>
      </c>
      <c r="BD8" s="12">
        <f>IF('Données projet'!$A$88&gt;35,BD7+BC8-BL7,IF(A8&lt;'Données projet'!$A$88,$BA$205^A8,IF(A8='Données projet'!$A$88,'Données projet'!$B$88,BD7+BC8-BL7)))</f>
        <v>7.6591666666666711</v>
      </c>
      <c r="BE8" s="13">
        <f>BD8*VLOOKUP('Données projet'!$B$11,Paramètres!$A$1:$I$89,3,0)*VLOOKUP('Données projet'!$B$11,Paramètres!$A$1:$I$89,5,0)</f>
        <v>3.7159213000000024</v>
      </c>
      <c r="BF8" s="13">
        <f t="shared" si="37"/>
        <v>1.4698155267470288</v>
      </c>
      <c r="BG8" s="20">
        <f t="shared" si="7"/>
        <v>9.0318249732510782</v>
      </c>
      <c r="BH8" s="59">
        <f t="shared" si="8"/>
        <v>271.80960275102888</v>
      </c>
      <c r="BI8" s="59">
        <f ca="1">AVERAGE(OFFSET($BH$3,0,0,'Données projet'!$E$11+1,1))-AVERAGE(OFFSET($H$3,0,0,'Données projet'!$E$11+1,1))</f>
        <v>88.478637356802039</v>
      </c>
      <c r="BJ8" s="59">
        <f t="shared" si="38"/>
        <v>239.55411297259155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2.9369658119658117</v>
      </c>
      <c r="BY8" s="12">
        <f>IF('Données projet'!$A$114&gt;35,BY7+BX8-CG7,IF(A8&lt;'Données projet'!$A$114,$BV$205^A8,IF(A8='Données projet'!$A$114,'Données projet'!$B$114,BY7+BX8-CG7)))</f>
        <v>2.1094538298282339</v>
      </c>
      <c r="BZ8" s="13">
        <f>BY8*VLOOKUP('Données projet'!$B$12,Paramètres!$A$1:$I$89,3,0)*VLOOKUP('Données projet'!$B$12,Paramètres!$A$1:$I$89,5,0)</f>
        <v>1.9086338252285862</v>
      </c>
      <c r="CA8" s="13">
        <f t="shared" si="39"/>
        <v>0.81582792847110752</v>
      </c>
      <c r="CB8" s="20">
        <f t="shared" si="10"/>
        <v>4.7451042210269661</v>
      </c>
      <c r="CC8" s="59">
        <f t="shared" si="11"/>
        <v>267.52288199880473</v>
      </c>
      <c r="CD8" s="59">
        <f ca="1">AVERAGE(OFFSET($CC$3,0,0,'Données projet'!$E$12+1,1))-AVERAGE(OFFSET($H$3,0,0,'Données projet'!$E$12+1,1))</f>
        <v>437.94387006020412</v>
      </c>
      <c r="CE8" s="59">
        <f t="shared" si="40"/>
        <v>213.95083535531376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1.995897435897436</v>
      </c>
      <c r="CT8" s="12">
        <f>IF('Données projet'!$A$140&gt;35,CT7+CS8-DB7,IF(A8&lt;'Données projet'!$A$140,$CQ$205^A8,IF(A8='Données projet'!$A$140,'Données projet'!$B$140,CT7+CS8-DB7)))</f>
        <v>1.977925422302911</v>
      </c>
      <c r="CU8" s="17">
        <f>CT8*VLOOKUP('Données projet'!$B$13,Paramètres!$A$1:$I$89,3,0)*VLOOKUP('Données projet'!$B$13,Paramètres!$A$1:$I$89,5,0)</f>
        <v>0.95138212812770018</v>
      </c>
      <c r="CV8" s="13">
        <f t="shared" si="41"/>
        <v>0.44098775758201858</v>
      </c>
      <c r="CW8" s="20">
        <f t="shared" si="13"/>
        <v>2.4250442176110933</v>
      </c>
      <c r="CX8" s="59">
        <f t="shared" si="14"/>
        <v>265.20282199538889</v>
      </c>
      <c r="CY8" s="59">
        <f ca="1">AVERAGE(OFFSET($CX$3,0,0,'Données projet'!$E$13+1,1))-AVERAGE(OFFSET($H$3,0,0,'Données projet'!$E$13+1,1))</f>
        <v>258.42493116335032</v>
      </c>
      <c r="CZ8" s="59">
        <f t="shared" si="42"/>
        <v>102.46122697336466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2.9</v>
      </c>
      <c r="DO8" s="12">
        <f>IF('Données projet'!$A$166&gt;35,DO7+DN8-DW7,IF(A8&lt;'Données projet'!$A$166,$DL$205^A8,IF(A8='Données projet'!$A$166,'Données projet'!$B$166,DO7+DN8-DW7)))</f>
        <v>5.3851648071345055</v>
      </c>
      <c r="DP8" s="17">
        <f>DO8*VLOOKUP('Données projet'!$B$14,Paramètres!$A$1:$I$89,3,0)*VLOOKUP('Données projet'!$B$14,Paramètres!$A$1:$I$89,5,0)</f>
        <v>4.7044799755127045</v>
      </c>
      <c r="DQ8" s="13">
        <f t="shared" si="43"/>
        <v>1.8104366638895204</v>
      </c>
      <c r="DR8" s="20">
        <f t="shared" si="16"/>
        <v>11.346813146958874</v>
      </c>
      <c r="DS8" s="59">
        <f t="shared" si="17"/>
        <v>274.12459092473665</v>
      </c>
      <c r="DT8" s="59">
        <f ca="1">AVERAGE(OFFSET($DS$3,0,0,'Données projet'!$E$14+1,1))-AVERAGE(OFFSET($H$3,0,0,'Données projet'!$E$14+1,1))</f>
        <v>354.24684313982857</v>
      </c>
      <c r="DU8" s="59">
        <f t="shared" si="44"/>
        <v>322.65043486962185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6.7360323886639675</v>
      </c>
      <c r="N9" s="13">
        <f>IF('Données projet'!$A$36&gt;35,N8+M9-V8,IF(A9&lt;'Données projet'!$A$36,$K$205^A9,IF(A9='Données projet'!$A$36,'Données projet'!$B$36,N8+M9-V8)))</f>
        <v>4.6282652672757632</v>
      </c>
      <c r="O9" s="13">
        <f>N9*VLOOKUP('Données projet'!$B$9,Paramètres!$A$1:$I$89,3,0)*VLOOKUP('Données projet'!$B$9,Paramètres!$A$1:$I$89,5,0)</f>
        <v>2.7677026298309064</v>
      </c>
      <c r="P9" s="13">
        <f t="shared" si="33"/>
        <v>1.1329449033380179</v>
      </c>
      <c r="Q9" s="20">
        <f t="shared" si="2"/>
        <v>6.7936277869358754</v>
      </c>
      <c r="R9" s="59">
        <f t="shared" si="0"/>
        <v>270.79362778693587</v>
      </c>
      <c r="S9" s="59">
        <f ca="1">AVERAGE(OFFSET($R$3,0,0,'Données projet'!$E$9+1,1))-AVERAGE(OFFSET($H$3,0,0,'Données projet'!$E$9+1,1))</f>
        <v>355.09162485318728</v>
      </c>
      <c r="T9" s="59">
        <f t="shared" si="34"/>
        <v>320.06572891923685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3.4425641025641025</v>
      </c>
      <c r="AI9" s="13">
        <f>IF('Données projet'!$A$62&gt;35,AI8+AH9-AQ8,IF(A9&lt;'Données projet'!$A$62,$AF$205^A9,IF(A9='Données projet'!$A$62,'Données projet'!$B$62,AI8+AH9-AQ8)))</f>
        <v>2.5281373108456551</v>
      </c>
      <c r="AJ9" s="13">
        <f>AI9*VLOOKUP('Données projet'!$B$10,Paramètres!$A$1:$I$89,3,0)*VLOOKUP('Données projet'!$B$10,Paramètres!$A$1:$I$89,5,0)</f>
        <v>1.1831682614757666</v>
      </c>
      <c r="AK9" s="13">
        <f t="shared" si="35"/>
        <v>0.53468249033221249</v>
      </c>
      <c r="AL9" s="20">
        <f t="shared" si="4"/>
        <v>2.9919233927322302</v>
      </c>
      <c r="AM9" s="59">
        <f t="shared" si="5"/>
        <v>266.99192339273225</v>
      </c>
      <c r="AN9" s="59">
        <f ca="1">AVERAGE(OFFSET($AM$3,0,0,'Données projet'!$E$10+1,1))-AVERAGE(OFFSET($H$3,0,0,'Données projet'!$E$10+1,1))</f>
        <v>246.72166704460847</v>
      </c>
      <c r="AO9" s="59">
        <f t="shared" si="36"/>
        <v>145.54897745089966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>
        <f>VLOOKUP(A9,'Données projet'!$A$87:$I$107,2,0)</f>
        <v>13.873589743589744</v>
      </c>
      <c r="BB9" s="12">
        <f>VLOOKUP(A9,'Données projet'!$A$87:$I$107,9,0)</f>
        <v>6.2144230769230724</v>
      </c>
      <c r="BC9" s="12">
        <f t="array" ref="BC9">INDEX(BB:BB,MIN(IF(ISNUMBER(BB9:BB205),ROW(BB9:BB205),"")))</f>
        <v>6.2144230769230724</v>
      </c>
      <c r="BD9" s="12">
        <f>IF('Données projet'!$A$88&gt;35,BD8+BC9-BL8,IF(A9&lt;'Données projet'!$A$88,$BA$205^A9,IF(A9='Données projet'!$A$88,'Données projet'!$B$88,BD8+BC9-BL8)))</f>
        <v>13.873589743589744</v>
      </c>
      <c r="BE9" s="13">
        <f>BD9*VLOOKUP('Données projet'!$B$11,Paramètres!$A$1:$I$89,3,0)*VLOOKUP('Données projet'!$B$11,Paramètres!$A$1:$I$89,5,0)</f>
        <v>6.7309108000000002</v>
      </c>
      <c r="BF9" s="13">
        <f t="shared" si="37"/>
        <v>2.4844948774442477</v>
      </c>
      <c r="BG9" s="20">
        <f t="shared" si="7"/>
        <v>16.050164888215399</v>
      </c>
      <c r="BH9" s="59">
        <f t="shared" si="8"/>
        <v>280.05016488821542</v>
      </c>
      <c r="BI9" s="59">
        <f ca="1">AVERAGE(OFFSET($BH$3,0,0,'Données projet'!$E$11+1,1))-AVERAGE(OFFSET($H$3,0,0,'Données projet'!$E$11+1,1))</f>
        <v>88.478637356802039</v>
      </c>
      <c r="BJ9" s="59">
        <f t="shared" si="38"/>
        <v>239.55411297259155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2.9369658119658117</v>
      </c>
      <c r="BY9" s="12">
        <f>IF('Données projet'!$A$114&gt;35,BY8+BX9-CG8,IF(A9&lt;'Données projet'!$A$114,$BV$205^A9,IF(A9='Données projet'!$A$114,'Données projet'!$B$114,BY8+BX9-CG8)))</f>
        <v>2.4490859631228066</v>
      </c>
      <c r="BZ9" s="13">
        <f>BY9*VLOOKUP('Données projet'!$B$12,Paramètres!$A$1:$I$89,3,0)*VLOOKUP('Données projet'!$B$12,Paramètres!$A$1:$I$89,5,0)</f>
        <v>2.2159329794335152</v>
      </c>
      <c r="CA9" s="13">
        <f t="shared" si="39"/>
        <v>0.93086327215704623</v>
      </c>
      <c r="CB9" s="20">
        <f t="shared" si="10"/>
        <v>5.4806701381868947</v>
      </c>
      <c r="CC9" s="59">
        <f t="shared" si="11"/>
        <v>269.48067013818689</v>
      </c>
      <c r="CD9" s="59">
        <f ca="1">AVERAGE(OFFSET($CC$3,0,0,'Données projet'!$E$12+1,1))-AVERAGE(OFFSET($H$3,0,0,'Données projet'!$E$12+1,1))</f>
        <v>437.94387006020412</v>
      </c>
      <c r="CE9" s="59">
        <f t="shared" si="40"/>
        <v>213.95083535531376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1.995897435897436</v>
      </c>
      <c r="CT9" s="12">
        <f>IF('Données projet'!$A$140&gt;35,CT8+CS9-DB8,IF(A9&lt;'Données projet'!$A$140,$CQ$205^A9,IF(A9='Données projet'!$A$140,'Données projet'!$B$140,CT8+CS9-DB8)))</f>
        <v>2.2670019567769919</v>
      </c>
      <c r="CU9" s="17">
        <f>CT9*VLOOKUP('Données projet'!$B$13,Paramètres!$A$1:$I$89,3,0)*VLOOKUP('Données projet'!$B$13,Paramètres!$A$1:$I$89,5,0)</f>
        <v>1.0904279412097331</v>
      </c>
      <c r="CV9" s="13">
        <f t="shared" si="41"/>
        <v>0.49747670456335025</v>
      </c>
      <c r="CW9" s="20">
        <f t="shared" si="13"/>
        <v>2.7656005913881203</v>
      </c>
      <c r="CX9" s="59">
        <f t="shared" si="14"/>
        <v>266.76560059138814</v>
      </c>
      <c r="CY9" s="59">
        <f ca="1">AVERAGE(OFFSET($CX$3,0,0,'Données projet'!$E$13+1,1))-AVERAGE(OFFSET($H$3,0,0,'Données projet'!$E$13+1,1))</f>
        <v>258.42493116335032</v>
      </c>
      <c r="CZ9" s="59">
        <f t="shared" si="42"/>
        <v>102.46122697336466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2.9</v>
      </c>
      <c r="DO9" s="12">
        <f>IF('Données projet'!$A$166&gt;35,DO8+DN9-DW8,IF(A9&lt;'Données projet'!$A$166,$DL$205^A9,IF(A9='Données projet'!$A$166,'Données projet'!$B$166,DO8+DN9-DW8)))</f>
        <v>7.5411711733776423</v>
      </c>
      <c r="DP9" s="17">
        <f>DO9*VLOOKUP('Données projet'!$B$14,Paramètres!$A$1:$I$89,3,0)*VLOOKUP('Données projet'!$B$14,Paramètres!$A$1:$I$89,5,0)</f>
        <v>6.5879671370627086</v>
      </c>
      <c r="DQ9" s="13">
        <f t="shared" si="43"/>
        <v>2.4378154392387783</v>
      </c>
      <c r="DR9" s="20">
        <f t="shared" si="16"/>
        <v>15.71990465372509</v>
      </c>
      <c r="DS9" s="59">
        <f t="shared" si="17"/>
        <v>279.71990465372511</v>
      </c>
      <c r="DT9" s="59">
        <f ca="1">AVERAGE(OFFSET($DS$3,0,0,'Données projet'!$E$14+1,1))-AVERAGE(OFFSET($H$3,0,0,'Données projet'!$E$14+1,1))</f>
        <v>354.24684313982857</v>
      </c>
      <c r="DU9" s="59">
        <f t="shared" si="44"/>
        <v>322.65043486962185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6.7360323886639675</v>
      </c>
      <c r="N10" s="13">
        <f>IF('Données projet'!$A$36&gt;35,N9+M10-V9,IF(A10&lt;'Données projet'!$A$36,$K$205^A10,IF(A10='Données projet'!$A$36,'Données projet'!$B$36,N9+M10-V9)))</f>
        <v>5.9747712537628903</v>
      </c>
      <c r="O10" s="13">
        <f>N10*VLOOKUP('Données projet'!$B$9,Paramètres!$A$1:$I$89,3,0)*VLOOKUP('Données projet'!$B$9,Paramètres!$A$1:$I$89,5,0)</f>
        <v>3.5729132097502085</v>
      </c>
      <c r="P10" s="13">
        <f t="shared" si="33"/>
        <v>1.4197200527431988</v>
      </c>
      <c r="Q10" s="20">
        <f t="shared" si="2"/>
        <v>8.6955029321760176</v>
      </c>
      <c r="R10" s="59">
        <f t="shared" si="0"/>
        <v>273.91772515439823</v>
      </c>
      <c r="S10" s="59">
        <f ca="1">AVERAGE(OFFSET($R$3,0,0,'Données projet'!$E$9+1,1))-AVERAGE(OFFSET($H$3,0,0,'Données projet'!$E$9+1,1))</f>
        <v>355.09162485318728</v>
      </c>
      <c r="T10" s="59">
        <f t="shared" si="34"/>
        <v>320.06572891923685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3.4425641025641025</v>
      </c>
      <c r="AI10" s="13">
        <f>IF('Données projet'!$A$62&gt;35,AI9+AH10-AQ9,IF(A10&lt;'Données projet'!$A$62,$AF$205^A10,IF(A10='Données projet'!$A$62,'Données projet'!$B$62,AI9+AH10-AQ9)))</f>
        <v>2.9507614507509188</v>
      </c>
      <c r="AJ10" s="13">
        <f>AI10*VLOOKUP('Données projet'!$B$10,Paramètres!$A$1:$I$89,3,0)*VLOOKUP('Données projet'!$B$10,Paramètres!$A$1:$I$89,5,0)</f>
        <v>1.38095635895143</v>
      </c>
      <c r="AK10" s="13">
        <f t="shared" si="35"/>
        <v>0.61293591895758326</v>
      </c>
      <c r="AL10" s="20">
        <f t="shared" si="4"/>
        <v>3.472695717358198</v>
      </c>
      <c r="AM10" s="59">
        <f t="shared" si="5"/>
        <v>268.69491793958042</v>
      </c>
      <c r="AN10" s="59">
        <f ca="1">AVERAGE(OFFSET($AM$3,0,0,'Données projet'!$E$10+1,1))-AVERAGE(OFFSET($H$3,0,0,'Données projet'!$E$10+1,1))</f>
        <v>246.72166704460847</v>
      </c>
      <c r="AO10" s="59">
        <f t="shared" si="36"/>
        <v>145.54897745089966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>
        <f>VLOOKUP(A10,'Données projet'!$A$87:$I$107,2,0)</f>
        <v>21.480576923076921</v>
      </c>
      <c r="BB10" s="12">
        <f>VLOOKUP(A10,'Données projet'!$A$87:$I$107,9,0)</f>
        <v>7.6069871794871773</v>
      </c>
      <c r="BC10" s="12">
        <f t="array" ref="BC10">INDEX(BB:BB,MIN(IF(ISNUMBER(BB10:BB206),ROW(BB10:BB206),"")))</f>
        <v>7.6069871794871773</v>
      </c>
      <c r="BD10" s="12">
        <f>IF('Données projet'!$A$88&gt;35,BD9+BC10-BL9,IF(A10&lt;'Données projet'!$A$88,$BA$205^A10,IF(A10='Données projet'!$A$88,'Données projet'!$B$88,BD9+BC10-BL9)))</f>
        <v>21.480576923076921</v>
      </c>
      <c r="BE10" s="13">
        <f>BD10*VLOOKUP('Données projet'!$B$11,Paramètres!$A$1:$I$89,3,0)*VLOOKUP('Données projet'!$B$11,Paramètres!$A$1:$I$89,5,0)</f>
        <v>10.4215167</v>
      </c>
      <c r="BF10" s="13">
        <f t="shared" si="37"/>
        <v>3.6559128426451704</v>
      </c>
      <c r="BG10" s="20">
        <f t="shared" si="7"/>
        <v>24.518189786773672</v>
      </c>
      <c r="BH10" s="59">
        <f t="shared" si="8"/>
        <v>289.74041200899592</v>
      </c>
      <c r="BI10" s="59">
        <f ca="1">AVERAGE(OFFSET($BH$3,0,0,'Données projet'!$E$11+1,1))-AVERAGE(OFFSET($H$3,0,0,'Données projet'!$E$11+1,1))</f>
        <v>88.478637356802039</v>
      </c>
      <c r="BJ10" s="59">
        <f t="shared" si="38"/>
        <v>239.55411297259155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2.9369658119658117</v>
      </c>
      <c r="BY10" s="12">
        <f>IF('Données projet'!$A$114&gt;35,BY9+BX10-CG9,IF(A10&lt;'Données projet'!$A$114,$BV$205^A10,IF(A10='Données projet'!$A$114,'Données projet'!$B$114,BY9+BX10-CG9)))</f>
        <v>2.8434004906632939</v>
      </c>
      <c r="BZ10" s="13">
        <f>BY10*VLOOKUP('Données projet'!$B$12,Paramètres!$A$1:$I$89,3,0)*VLOOKUP('Données projet'!$B$12,Paramètres!$A$1:$I$89,5,0)</f>
        <v>2.5727087639521482</v>
      </c>
      <c r="CA10" s="13">
        <f t="shared" si="39"/>
        <v>1.0621191077324224</v>
      </c>
      <c r="CB10" s="20">
        <f t="shared" si="10"/>
        <v>6.3306585431839606</v>
      </c>
      <c r="CC10" s="59">
        <f t="shared" si="11"/>
        <v>271.5528807654062</v>
      </c>
      <c r="CD10" s="59">
        <f ca="1">AVERAGE(OFFSET($CC$3,0,0,'Données projet'!$E$12+1,1))-AVERAGE(OFFSET($H$3,0,0,'Données projet'!$E$12+1,1))</f>
        <v>437.94387006020412</v>
      </c>
      <c r="CE10" s="59">
        <f t="shared" si="40"/>
        <v>213.95083535531376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1.995897435897436</v>
      </c>
      <c r="CT10" s="12">
        <f>IF('Données projet'!$A$140&gt;35,CT9+CS10-DB9,IF(A10&lt;'Données projet'!$A$140,$CQ$205^A10,IF(A10='Données projet'!$A$140,'Données projet'!$B$140,CT9+CS10-DB9)))</f>
        <v>2.5983274263429976</v>
      </c>
      <c r="CU10" s="17">
        <f>CT10*VLOOKUP('Données projet'!$B$13,Paramètres!$A$1:$I$89,3,0)*VLOOKUP('Données projet'!$B$13,Paramètres!$A$1:$I$89,5,0)</f>
        <v>1.249795492070982</v>
      </c>
      <c r="CV10" s="13">
        <f t="shared" si="41"/>
        <v>0.56120168265029879</v>
      </c>
      <c r="CW10" s="20">
        <f t="shared" si="13"/>
        <v>3.1541534126395638</v>
      </c>
      <c r="CX10" s="59">
        <f t="shared" si="14"/>
        <v>268.3763756348618</v>
      </c>
      <c r="CY10" s="59">
        <f ca="1">AVERAGE(OFFSET($CX$3,0,0,'Données projet'!$E$13+1,1))-AVERAGE(OFFSET($H$3,0,0,'Données projet'!$E$13+1,1))</f>
        <v>258.42493116335032</v>
      </c>
      <c r="CZ10" s="59">
        <f t="shared" si="42"/>
        <v>102.46122697336466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2.9</v>
      </c>
      <c r="DO10" s="12">
        <f>IF('Données projet'!$A$166&gt;35,DO9+DN10-DW9,IF(A10&lt;'Données projet'!$A$166,$DL$205^A10,IF(A10='Données projet'!$A$166,'Données projet'!$B$166,DO9+DN10-DW9)))</f>
        <v>10.560356962676241</v>
      </c>
      <c r="DP10" s="17">
        <f>DO10*VLOOKUP('Données projet'!$B$14,Paramètres!$A$1:$I$89,3,0)*VLOOKUP('Données projet'!$B$14,Paramètres!$A$1:$I$89,5,0)</f>
        <v>9.2255278425939657</v>
      </c>
      <c r="DQ10" s="13">
        <f t="shared" si="43"/>
        <v>3.282602608711652</v>
      </c>
      <c r="DR10" s="20">
        <f t="shared" si="16"/>
        <v>21.784993869357283</v>
      </c>
      <c r="DS10" s="59">
        <f t="shared" si="17"/>
        <v>287.00721609157949</v>
      </c>
      <c r="DT10" s="59">
        <f ca="1">AVERAGE(OFFSET($DS$3,0,0,'Données projet'!$E$14+1,1))-AVERAGE(OFFSET($H$3,0,0,'Données projet'!$E$14+1,1))</f>
        <v>354.24684313982857</v>
      </c>
      <c r="DU10" s="59">
        <f t="shared" si="44"/>
        <v>322.65043486962185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6.7360323886639675</v>
      </c>
      <c r="N11" s="13">
        <f>IF('Données projet'!$A$36&gt;35,N10+M11-V10,IF(A11&lt;'Données projet'!$A$36,$K$205^A11,IF(A11='Données projet'!$A$36,'Données projet'!$B$36,N10+M11-V10)))</f>
        <v>7.7130176153026486</v>
      </c>
      <c r="O11" s="13">
        <f>N11*VLOOKUP('Données projet'!$B$9,Paramètres!$A$1:$I$89,3,0)*VLOOKUP('Données projet'!$B$9,Paramètres!$A$1:$I$89,5,0)</f>
        <v>4.6123845339509844</v>
      </c>
      <c r="P11" s="13">
        <f t="shared" si="33"/>
        <v>1.7790847747516541</v>
      </c>
      <c r="Q11" s="20">
        <f t="shared" si="2"/>
        <v>11.131809045990428</v>
      </c>
      <c r="R11" s="59">
        <f t="shared" si="0"/>
        <v>277.57625349043491</v>
      </c>
      <c r="S11" s="59">
        <f ca="1">AVERAGE(OFFSET($R$3,0,0,'Données projet'!$E$9+1,1))-AVERAGE(OFFSET($H$3,0,0,'Données projet'!$E$9+1,1))</f>
        <v>355.09162485318728</v>
      </c>
      <c r="T11" s="59">
        <f t="shared" si="34"/>
        <v>320.06572891923685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3.4425641025641025</v>
      </c>
      <c r="AI11" s="13">
        <f>IF('Données projet'!$A$62&gt;35,AI10+AH11-AQ10,IF(A11&lt;'Données projet'!$A$62,$AF$205^A11,IF(A11='Données projet'!$A$62,'Données projet'!$B$62,AI10+AH11-AQ10)))</f>
        <v>3.4440349034385327</v>
      </c>
      <c r="AJ11" s="13">
        <f>AI11*VLOOKUP('Données projet'!$B$10,Paramètres!$A$1:$I$89,3,0)*VLOOKUP('Données projet'!$B$10,Paramètres!$A$1:$I$89,5,0)</f>
        <v>1.6118083348092334</v>
      </c>
      <c r="AK11" s="13">
        <f t="shared" si="35"/>
        <v>0.70264212414165761</v>
      </c>
      <c r="AL11" s="20">
        <f t="shared" si="4"/>
        <v>4.0310012160061346</v>
      </c>
      <c r="AM11" s="59">
        <f t="shared" si="5"/>
        <v>270.47544566045059</v>
      </c>
      <c r="AN11" s="59">
        <f ca="1">AVERAGE(OFFSET($AM$3,0,0,'Données projet'!$E$10+1,1))-AVERAGE(OFFSET($H$3,0,0,'Données projet'!$E$10+1,1))</f>
        <v>246.72166704460847</v>
      </c>
      <c r="AO11" s="59">
        <f t="shared" si="36"/>
        <v>145.54897745089966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>
        <f>VLOOKUP(A11,'Données projet'!$A$87:$I$107,2,0)</f>
        <v>30.377435897435895</v>
      </c>
      <c r="BB11" s="12">
        <f>VLOOKUP(A11,'Données projet'!$A$87:$I$107,9,0)</f>
        <v>8.8968589743589739</v>
      </c>
      <c r="BC11" s="12">
        <f t="array" ref="BC11">INDEX(BB:BB,MIN(IF(ISNUMBER(BB11:BB207),ROW(BB11:BB207),"")))</f>
        <v>8.8968589743589739</v>
      </c>
      <c r="BD11" s="12">
        <f>IF('Données projet'!$A$88&gt;35,BD10+BC11-BL10,IF(A11&lt;'Données projet'!$A$88,$BA$205^A11,IF(A11='Données projet'!$A$88,'Données projet'!$B$88,BD10+BC11-BL10)))</f>
        <v>30.377435897435895</v>
      </c>
      <c r="BE11" s="13">
        <f>BD11*VLOOKUP('Données projet'!$B$11,Paramètres!$A$1:$I$89,3,0)*VLOOKUP('Données projet'!$B$11,Paramètres!$A$1:$I$89,5,0)</f>
        <v>14.737916799999999</v>
      </c>
      <c r="BF11" s="13">
        <f t="shared" si="37"/>
        <v>4.9657197223734268</v>
      </c>
      <c r="BG11" s="20">
        <f t="shared" si="7"/>
        <v>34.317166943133714</v>
      </c>
      <c r="BH11" s="59">
        <f t="shared" si="8"/>
        <v>300.76161138757817</v>
      </c>
      <c r="BI11" s="59">
        <f ca="1">AVERAGE(OFFSET($BH$3,0,0,'Données projet'!$E$11+1,1))-AVERAGE(OFFSET($H$3,0,0,'Données projet'!$E$11+1,1))</f>
        <v>88.478637356802039</v>
      </c>
      <c r="BJ11" s="59">
        <f t="shared" si="38"/>
        <v>239.55411297259155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2.9369658119658117</v>
      </c>
      <c r="BY11" s="12">
        <f>IF('Données projet'!$A$114&gt;35,BY10+BX11-CG10,IF(A11&lt;'Données projet'!$A$114,$BV$205^A11,IF(A11='Données projet'!$A$114,'Données projet'!$B$114,BY10+BX11-CG10)))</f>
        <v>3.3012015388774869</v>
      </c>
      <c r="BZ11" s="13">
        <f>BY11*VLOOKUP('Données projet'!$B$12,Paramètres!$A$1:$I$89,3,0)*VLOOKUP('Données projet'!$B$12,Paramètres!$A$1:$I$89,5,0)</f>
        <v>2.9869271523763499</v>
      </c>
      <c r="CA11" s="13">
        <f t="shared" si="39"/>
        <v>1.2118825962444844</v>
      </c>
      <c r="CB11" s="20">
        <f t="shared" si="10"/>
        <v>7.3129269788479538</v>
      </c>
      <c r="CC11" s="59">
        <f t="shared" si="11"/>
        <v>273.7573714232924</v>
      </c>
      <c r="CD11" s="59">
        <f ca="1">AVERAGE(OFFSET($CC$3,0,0,'Données projet'!$E$12+1,1))-AVERAGE(OFFSET($H$3,0,0,'Données projet'!$E$12+1,1))</f>
        <v>437.94387006020412</v>
      </c>
      <c r="CE11" s="59">
        <f t="shared" si="40"/>
        <v>213.95083535531376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1.995897435897436</v>
      </c>
      <c r="CT11" s="12">
        <f>IF('Données projet'!$A$140&gt;35,CT10+CS11-DB10,IF(A11&lt;'Données projet'!$A$140,$CQ$205^A11,IF(A11='Données projet'!$A$140,'Données projet'!$B$140,CT10+CS11-DB10)))</f>
        <v>2.9780765712635691</v>
      </c>
      <c r="CU11" s="17">
        <f>CT11*VLOOKUP('Données projet'!$B$13,Paramètres!$A$1:$I$89,3,0)*VLOOKUP('Données projet'!$B$13,Paramètres!$A$1:$I$89,5,0)</f>
        <v>1.4324548307777767</v>
      </c>
      <c r="CV11" s="13">
        <f t="shared" si="41"/>
        <v>0.63308960142357829</v>
      </c>
      <c r="CW11" s="20">
        <f t="shared" si="13"/>
        <v>3.5974898860840256</v>
      </c>
      <c r="CX11" s="59">
        <f t="shared" si="14"/>
        <v>270.04193433052848</v>
      </c>
      <c r="CY11" s="59">
        <f ca="1">AVERAGE(OFFSET($CX$3,0,0,'Données projet'!$E$13+1,1))-AVERAGE(OFFSET($H$3,0,0,'Données projet'!$E$13+1,1))</f>
        <v>258.42493116335032</v>
      </c>
      <c r="CZ11" s="59">
        <f t="shared" si="42"/>
        <v>102.46122697336466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2.9</v>
      </c>
      <c r="DO11" s="12">
        <f>IF('Données projet'!$A$166&gt;35,DO10+DN11-DW10,IF(A11&lt;'Données projet'!$A$166,$DL$205^A11,IF(A11='Données projet'!$A$166,'Données projet'!$B$166,DO10+DN11-DW10)))</f>
        <v>14.7883049748087</v>
      </c>
      <c r="DP11" s="17">
        <f>DO11*VLOOKUP('Données projet'!$B$14,Paramètres!$A$1:$I$89,3,0)*VLOOKUP('Données projet'!$B$14,Paramètres!$A$1:$I$89,5,0)</f>
        <v>12.919063225992881</v>
      </c>
      <c r="DQ11" s="13">
        <f t="shared" si="43"/>
        <v>4.4201376828121335</v>
      </c>
      <c r="DR11" s="20">
        <f t="shared" si="16"/>
        <v>30.199108249502064</v>
      </c>
      <c r="DS11" s="59">
        <f t="shared" si="17"/>
        <v>296.6435526939465</v>
      </c>
      <c r="DT11" s="59">
        <f ca="1">AVERAGE(OFFSET($DS$3,0,0,'Données projet'!$E$14+1,1))-AVERAGE(OFFSET($H$3,0,0,'Données projet'!$E$14+1,1))</f>
        <v>354.24684313982857</v>
      </c>
      <c r="DU11" s="59">
        <f t="shared" si="44"/>
        <v>322.65043486962185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6.7360323886639675</v>
      </c>
      <c r="N12" s="13">
        <f>IF('Données projet'!$A$36&gt;35,N11+M12-V11,IF(A12&lt;'Données projet'!$A$36,$K$205^A12,IF(A12='Données projet'!$A$36,'Données projet'!$B$36,N11+M12-V11)))</f>
        <v>9.9569737831388867</v>
      </c>
      <c r="O12" s="13">
        <f>N12*VLOOKUP('Données projet'!$B$9,Paramètres!$A$1:$I$89,3,0)*VLOOKUP('Données projet'!$B$9,Paramètres!$A$1:$I$89,5,0)</f>
        <v>5.9542703223170541</v>
      </c>
      <c r="P12" s="13">
        <f t="shared" si="33"/>
        <v>2.2294132069469743</v>
      </c>
      <c r="Q12" s="20">
        <f t="shared" si="2"/>
        <v>14.253248813468183</v>
      </c>
      <c r="R12" s="59">
        <f t="shared" si="0"/>
        <v>281.91991548013488</v>
      </c>
      <c r="S12" s="59">
        <f ca="1">AVERAGE(OFFSET($R$3,0,0,'Données projet'!$E$9+1,1))-AVERAGE(OFFSET($H$3,0,0,'Données projet'!$E$9+1,1))</f>
        <v>355.09162485318728</v>
      </c>
      <c r="T12" s="59">
        <f t="shared" si="34"/>
        <v>320.06572891923685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3.4425641025641025</v>
      </c>
      <c r="AI12" s="13">
        <f>IF('Données projet'!$A$62&gt;35,AI11+AH12-AQ11,IF(A12&lt;'Données projet'!$A$62,$AF$205^A12,IF(A12='Données projet'!$A$62,'Données projet'!$B$62,AI11+AH12-AQ11)))</f>
        <v>4.0197679866952116</v>
      </c>
      <c r="AJ12" s="13">
        <f>AI12*VLOOKUP('Données projet'!$B$10,Paramètres!$A$1:$I$89,3,0)*VLOOKUP('Données projet'!$B$10,Paramètres!$A$1:$I$89,5,0)</f>
        <v>1.881251417773359</v>
      </c>
      <c r="AK12" s="13">
        <f t="shared" si="35"/>
        <v>0.80547727641405575</v>
      </c>
      <c r="AL12" s="20">
        <f t="shared" si="4"/>
        <v>4.6793858090430804</v>
      </c>
      <c r="AM12" s="59">
        <f t="shared" si="5"/>
        <v>272.34605247570977</v>
      </c>
      <c r="AN12" s="59">
        <f ca="1">AVERAGE(OFFSET($AM$3,0,0,'Données projet'!$E$10+1,1))-AVERAGE(OFFSET($H$3,0,0,'Données projet'!$E$10+1,1))</f>
        <v>246.72166704460847</v>
      </c>
      <c r="AO12" s="59">
        <f t="shared" si="36"/>
        <v>145.54897745089966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>
        <f>VLOOKUP(A12,'Données projet'!$A$87:$I$107,2,0)</f>
        <v>40.46147435897435</v>
      </c>
      <c r="BB12" s="12">
        <f>VLOOKUP(A12,'Données projet'!$A$87:$I$107,9,0)</f>
        <v>10.084038461538455</v>
      </c>
      <c r="BC12" s="12">
        <f t="array" ref="BC12">INDEX(BB:BB,MIN(IF(ISNUMBER(BB12:BB208),ROW(BB12:BB208),"")))</f>
        <v>10.084038461538455</v>
      </c>
      <c r="BD12" s="12">
        <f>IF('Données projet'!$A$88&gt;35,BD11+BC12-BL11,IF(A12&lt;'Données projet'!$A$88,$BA$205^A12,IF(A12='Données projet'!$A$88,'Données projet'!$B$88,BD11+BC12-BL11)))</f>
        <v>40.46147435897435</v>
      </c>
      <c r="BE12" s="13">
        <f>BD12*VLOOKUP('Données projet'!$B$11,Paramètres!$A$1:$I$89,3,0)*VLOOKUP('Données projet'!$B$11,Paramètres!$A$1:$I$89,5,0)</f>
        <v>19.630288899999996</v>
      </c>
      <c r="BF12" s="13">
        <f t="shared" si="37"/>
        <v>6.3970845262894809</v>
      </c>
      <c r="BG12" s="20">
        <f t="shared" si="7"/>
        <v>45.331008717454175</v>
      </c>
      <c r="BH12" s="59">
        <f t="shared" si="8"/>
        <v>312.99767538412084</v>
      </c>
      <c r="BI12" s="59">
        <f ca="1">AVERAGE(OFFSET($BH$3,0,0,'Données projet'!$E$11+1,1))-AVERAGE(OFFSET($H$3,0,0,'Données projet'!$E$11+1,1))</f>
        <v>88.478637356802039</v>
      </c>
      <c r="BJ12" s="59">
        <f t="shared" si="38"/>
        <v>239.55411297259155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2.9369658119658117</v>
      </c>
      <c r="BY12" s="12">
        <f>IF('Données projet'!$A$114&gt;35,BY11+BX12-CG11,IF(A12&lt;'Données projet'!$A$114,$BV$205^A12,IF(A12='Données projet'!$A$114,'Données projet'!$B$114,BY11+BX12-CG11)))</f>
        <v>3.8327107405629213</v>
      </c>
      <c r="BZ12" s="13">
        <f>BY12*VLOOKUP('Données projet'!$B$12,Paramètres!$A$1:$I$89,3,0)*VLOOKUP('Données projet'!$B$12,Paramètres!$A$1:$I$89,5,0)</f>
        <v>3.4678366780613312</v>
      </c>
      <c r="CA12" s="13">
        <f t="shared" si="39"/>
        <v>1.3827633985568673</v>
      </c>
      <c r="CB12" s="20">
        <f t="shared" si="10"/>
        <v>8.4481284667766943</v>
      </c>
      <c r="CC12" s="59">
        <f t="shared" si="11"/>
        <v>276.11479513344341</v>
      </c>
      <c r="CD12" s="59">
        <f ca="1">AVERAGE(OFFSET($CC$3,0,0,'Données projet'!$E$12+1,1))-AVERAGE(OFFSET($H$3,0,0,'Données projet'!$E$12+1,1))</f>
        <v>437.94387006020412</v>
      </c>
      <c r="CE12" s="59">
        <f t="shared" si="40"/>
        <v>213.95083535531376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1.995897435897436</v>
      </c>
      <c r="CT12" s="12">
        <f>IF('Données projet'!$A$140&gt;35,CT11+CS12-DB11,IF(A12&lt;'Données projet'!$A$140,$CQ$205^A12,IF(A12='Données projet'!$A$140,'Données projet'!$B$140,CT11+CS12-DB11)))</f>
        <v>3.4133265786258202</v>
      </c>
      <c r="CU12" s="17">
        <f>CT12*VLOOKUP('Données projet'!$B$13,Paramètres!$A$1:$I$89,3,0)*VLOOKUP('Données projet'!$B$13,Paramètres!$A$1:$I$89,5,0)</f>
        <v>1.6418100843190195</v>
      </c>
      <c r="CV12" s="13">
        <f t="shared" si="41"/>
        <v>0.71418610425018447</v>
      </c>
      <c r="CW12" s="20">
        <f t="shared" si="13"/>
        <v>4.1033600284246967</v>
      </c>
      <c r="CX12" s="59">
        <f t="shared" si="14"/>
        <v>271.77002669509136</v>
      </c>
      <c r="CY12" s="59">
        <f ca="1">AVERAGE(OFFSET($CX$3,0,0,'Données projet'!$E$13+1,1))-AVERAGE(OFFSET($H$3,0,0,'Données projet'!$E$13+1,1))</f>
        <v>258.42493116335032</v>
      </c>
      <c r="CZ12" s="59">
        <f t="shared" si="42"/>
        <v>102.46122697336466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2.9</v>
      </c>
      <c r="DO12" s="12">
        <f>IF('Données projet'!$A$166&gt;35,DO11+DN12-DW11,IF(A12&lt;'Données projet'!$A$166,$DL$205^A12,IF(A12='Données projet'!$A$166,'Données projet'!$B$166,DO11+DN12-DW11)))</f>
        <v>20.708955653761308</v>
      </c>
      <c r="DP12" s="17">
        <f>DO12*VLOOKUP('Données projet'!$B$14,Paramètres!$A$1:$I$89,3,0)*VLOOKUP('Données projet'!$B$14,Paramètres!$A$1:$I$89,5,0)</f>
        <v>18.091343659125879</v>
      </c>
      <c r="DQ12" s="13">
        <f t="shared" si="43"/>
        <v>5.9518679121149844</v>
      </c>
      <c r="DR12" s="20">
        <f t="shared" si="16"/>
        <v>41.875260153244504</v>
      </c>
      <c r="DS12" s="59">
        <f t="shared" si="17"/>
        <v>309.54192681991117</v>
      </c>
      <c r="DT12" s="59">
        <f ca="1">AVERAGE(OFFSET($DS$3,0,0,'Données projet'!$E$14+1,1))-AVERAGE(OFFSET($H$3,0,0,'Données projet'!$E$14+1,1))</f>
        <v>354.24684313982857</v>
      </c>
      <c r="DU12" s="59">
        <f t="shared" si="44"/>
        <v>322.65043486962185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6.7360323886639675</v>
      </c>
      <c r="N13" s="13">
        <f>IF('Données projet'!$A$36&gt;35,N12+M13-V12,IF(A13&lt;'Données projet'!$A$36,$K$205^A13,IF(A13='Données projet'!$A$36,'Données projet'!$B$36,N12+M13-V12)))</f>
        <v>12.853766432662937</v>
      </c>
      <c r="O13" s="13">
        <f>N13*VLOOKUP('Données projet'!$B$9,Paramètres!$A$1:$I$89,3,0)*VLOOKUP('Données projet'!$B$9,Paramètres!$A$1:$I$89,5,0)</f>
        <v>7.6865523267324365</v>
      </c>
      <c r="P13" s="13">
        <f t="shared" si="33"/>
        <v>2.7937304156871372</v>
      </c>
      <c r="Q13" s="20">
        <f t="shared" si="2"/>
        <v>18.25315910971409</v>
      </c>
      <c r="R13" s="59">
        <f t="shared" si="0"/>
        <v>287.14204799860295</v>
      </c>
      <c r="S13" s="59">
        <f ca="1">AVERAGE(OFFSET($R$3,0,0,'Données projet'!$E$9+1,1))-AVERAGE(OFFSET($H$3,0,0,'Données projet'!$E$9+1,1))</f>
        <v>355.09162485318728</v>
      </c>
      <c r="T13" s="59">
        <f t="shared" si="34"/>
        <v>320.06572891923685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3.4425641025641025</v>
      </c>
      <c r="AI13" s="13">
        <f>IF('Données projet'!$A$62&gt;35,AI12+AH13-AQ12,IF(A13&lt;'Données projet'!$A$62,$AF$205^A13,IF(A13='Données projet'!$A$62,'Données projet'!$B$62,AI12+AH13-AQ12)))</f>
        <v>4.6917453277627805</v>
      </c>
      <c r="AJ13" s="13">
        <f>AI13*VLOOKUP('Données projet'!$B$10,Paramètres!$A$1:$I$89,3,0)*VLOOKUP('Données projet'!$B$10,Paramètres!$A$1:$I$89,5,0)</f>
        <v>2.1957368133929811</v>
      </c>
      <c r="AK13" s="13">
        <f t="shared" si="35"/>
        <v>0.9233628621568436</v>
      </c>
      <c r="AL13" s="20">
        <f t="shared" si="4"/>
        <v>5.432431934915944</v>
      </c>
      <c r="AM13" s="59">
        <f t="shared" si="5"/>
        <v>274.3213208238048</v>
      </c>
      <c r="AN13" s="59">
        <f ca="1">AVERAGE(OFFSET($AM$3,0,0,'Données projet'!$E$10+1,1))-AVERAGE(OFFSET($H$3,0,0,'Données projet'!$E$10+1,1))</f>
        <v>246.72166704460847</v>
      </c>
      <c r="AO13" s="59">
        <f t="shared" si="36"/>
        <v>145.54897745089966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51.630000000000017</v>
      </c>
      <c r="BB13" s="12">
        <f>VLOOKUP(A13,'Données projet'!$A$87:$I$107,9,0)</f>
        <v>11.168525641025667</v>
      </c>
      <c r="BC13" s="12">
        <f t="array" ref="BC13">INDEX(BB:BB,MIN(IF(ISNUMBER(BB13:BB209),ROW(BB13:BB209),"")))</f>
        <v>11.168525641025667</v>
      </c>
      <c r="BD13" s="12">
        <f>IF('Données projet'!$A$88&gt;35,BD12+BC13-BL12,IF(A13&lt;'Données projet'!$A$88,$BA$205^A13,IF(A13='Données projet'!$A$88,'Données projet'!$B$88,BD12+BC13-BL12)))</f>
        <v>51.630000000000017</v>
      </c>
      <c r="BE13" s="13">
        <f>BD13*VLOOKUP('Données projet'!$B$11,Paramètres!$A$1:$I$89,3,0)*VLOOKUP('Données projet'!$B$11,Paramètres!$A$1:$I$89,5,0)</f>
        <v>25.048810800000009</v>
      </c>
      <c r="BF13" s="13">
        <f t="shared" si="37"/>
        <v>7.9345144868184798</v>
      </c>
      <c r="BG13" s="20">
        <f t="shared" si="7"/>
        <v>57.445958207875528</v>
      </c>
      <c r="BH13" s="59">
        <f t="shared" si="8"/>
        <v>326.33484709676441</v>
      </c>
      <c r="BI13" s="59">
        <f ca="1">AVERAGE(OFFSET($BH$3,0,0,'Données projet'!$E$11+1,1))-AVERAGE(OFFSET($H$3,0,0,'Données projet'!$E$11+1,1))</f>
        <v>88.478637356802039</v>
      </c>
      <c r="BJ13" s="59">
        <f t="shared" si="38"/>
        <v>239.55411297259155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2.9369658119658117</v>
      </c>
      <c r="BY13" s="12">
        <f>IF('Données projet'!$A$114&gt;35,BY12+BX13-CG12,IF(A13&lt;'Données projet'!$A$114,$BV$205^A13,IF(A13='Données projet'!$A$114,'Données projet'!$B$114,BY12+BX13-CG12)))</f>
        <v>4.4497954601770031</v>
      </c>
      <c r="BZ13" s="13">
        <f>BY13*VLOOKUP('Données projet'!$B$12,Paramètres!$A$1:$I$89,3,0)*VLOOKUP('Données projet'!$B$12,Paramètres!$A$1:$I$89,5,0)</f>
        <v>4.0261749323681526</v>
      </c>
      <c r="CA13" s="13">
        <f t="shared" si="39"/>
        <v>1.5777391492490791</v>
      </c>
      <c r="CB13" s="20">
        <f t="shared" si="10"/>
        <v>9.7601503588166789</v>
      </c>
      <c r="CC13" s="59">
        <f t="shared" si="11"/>
        <v>278.64903924770556</v>
      </c>
      <c r="CD13" s="59">
        <f ca="1">AVERAGE(OFFSET($CC$3,0,0,'Données projet'!$E$12+1,1))-AVERAGE(OFFSET($H$3,0,0,'Données projet'!$E$12+1,1))</f>
        <v>437.94387006020412</v>
      </c>
      <c r="CE13" s="59">
        <f t="shared" si="40"/>
        <v>213.95083535531376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1.995897435897436</v>
      </c>
      <c r="CT13" s="12">
        <f>IF('Données projet'!$A$140&gt;35,CT12+CS13-DB12,IF(A13&lt;'Données projet'!$A$140,$CQ$205^A13,IF(A13='Données projet'!$A$140,'Données projet'!$B$140,CT12+CS13-DB12)))</f>
        <v>3.9121889761921484</v>
      </c>
      <c r="CU13" s="17">
        <f>CT13*VLOOKUP('Données projet'!$B$13,Paramètres!$A$1:$I$89,3,0)*VLOOKUP('Données projet'!$B$13,Paramètres!$A$1:$I$89,5,0)</f>
        <v>1.8817628975484235</v>
      </c>
      <c r="CV13" s="13">
        <f t="shared" si="41"/>
        <v>0.80567077765472694</v>
      </c>
      <c r="CW13" s="20">
        <f t="shared" si="13"/>
        <v>4.6806136509788203</v>
      </c>
      <c r="CX13" s="59">
        <f t="shared" si="14"/>
        <v>273.5695025398677</v>
      </c>
      <c r="CY13" s="59">
        <f ca="1">AVERAGE(OFFSET($CX$3,0,0,'Données projet'!$E$13+1,1))-AVERAGE(OFFSET($H$3,0,0,'Données projet'!$E$13+1,1))</f>
        <v>258.42493116335032</v>
      </c>
      <c r="CZ13" s="59">
        <f t="shared" si="42"/>
        <v>102.46122697336466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29</v>
      </c>
      <c r="DM13" s="12">
        <f>VLOOKUP(A13,'Données projet'!$A$165:$I$185,9,0)</f>
        <v>2.9</v>
      </c>
      <c r="DN13" s="12">
        <f t="array" ref="DN13">INDEX(DM:DM,MIN(IF(ISNUMBER(DM13:DM209),ROW(DM13:DM209),"")))</f>
        <v>2.9</v>
      </c>
      <c r="DO13" s="12">
        <f>IF('Données projet'!$A$166&gt;35,DO12+DN13-DW12,IF(A13&lt;'Données projet'!$A$166,$DL$205^A13,IF(A13='Données projet'!$A$166,'Données projet'!$B$166,DO12+DN13-DW12)))</f>
        <v>29</v>
      </c>
      <c r="DP13" s="17">
        <f>DO13*VLOOKUP('Données projet'!$B$14,Paramètres!$A$1:$I$89,3,0)*VLOOKUP('Données projet'!$B$14,Paramètres!$A$1:$I$89,5,0)</f>
        <v>25.334400000000002</v>
      </c>
      <c r="DQ13" s="13">
        <f t="shared" si="43"/>
        <v>8.0143955200794572</v>
      </c>
      <c r="DR13" s="20">
        <f t="shared" si="16"/>
        <v>58.082485530805059</v>
      </c>
      <c r="DS13" s="59">
        <f t="shared" si="17"/>
        <v>326.97137441969392</v>
      </c>
      <c r="DT13" s="59">
        <f ca="1">AVERAGE(OFFSET($DS$3,0,0,'Données projet'!$E$14+1,1))-AVERAGE(OFFSET($H$3,0,0,'Données projet'!$E$14+1,1))</f>
        <v>354.24684313982857</v>
      </c>
      <c r="DU13" s="59">
        <f t="shared" si="44"/>
        <v>322.65043486962185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6.7360323886639675</v>
      </c>
      <c r="N14" s="13">
        <f>IF('Données projet'!$A$36&gt;35,N13+M14-V13,IF(A14&lt;'Données projet'!$A$36,$K$205^A14,IF(A14='Données projet'!$A$36,'Données projet'!$B$36,N13+M14-V13)))</f>
        <v>16.593325954642403</v>
      </c>
      <c r="O14" s="13">
        <f>N14*VLOOKUP('Données projet'!$B$9,Paramètres!$A$1:$I$89,3,0)*VLOOKUP('Données projet'!$B$9,Paramètres!$A$1:$I$89,5,0)</f>
        <v>9.9228089208761574</v>
      </c>
      <c r="P14" s="13">
        <f t="shared" si="33"/>
        <v>3.5008896561726774</v>
      </c>
      <c r="Q14" s="20">
        <f t="shared" si="2"/>
        <v>23.379608355026718</v>
      </c>
      <c r="R14" s="59">
        <f t="shared" si="0"/>
        <v>293.49071946613788</v>
      </c>
      <c r="S14" s="59">
        <f ca="1">AVERAGE(OFFSET($R$3,0,0,'Données projet'!$E$9+1,1))-AVERAGE(OFFSET($H$3,0,0,'Données projet'!$E$9+1,1))</f>
        <v>355.09162485318728</v>
      </c>
      <c r="T14" s="59">
        <f t="shared" si="34"/>
        <v>320.06572891923685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3.4425641025641025</v>
      </c>
      <c r="AI14" s="13">
        <f>IF('Données projet'!$A$62&gt;35,AI13+AH14-AQ13,IF(A14&lt;'Données projet'!$A$62,$AF$205^A14,IF(A14='Données projet'!$A$62,'Données projet'!$B$62,AI13+AH14-AQ13)))</f>
        <v>5.4760559050775193</v>
      </c>
      <c r="AJ14" s="13">
        <f>AI14*VLOOKUP('Données projet'!$B$10,Paramètres!$A$1:$I$89,3,0)*VLOOKUP('Données projet'!$B$10,Paramètres!$A$1:$I$89,5,0)</f>
        <v>2.562794163576279</v>
      </c>
      <c r="AK14" s="13">
        <f t="shared" si="35"/>
        <v>1.0585015867936163</v>
      </c>
      <c r="AL14" s="20">
        <f t="shared" si="4"/>
        <v>6.3070900985608995</v>
      </c>
      <c r="AM14" s="59">
        <f t="shared" si="5"/>
        <v>276.41820120967202</v>
      </c>
      <c r="AN14" s="59">
        <f ca="1">AVERAGE(OFFSET($AM$3,0,0,'Données projet'!$E$10+1,1))-AVERAGE(OFFSET($H$3,0,0,'Données projet'!$E$10+1,1))</f>
        <v>246.72166704460847</v>
      </c>
      <c r="AO14" s="59">
        <f t="shared" si="36"/>
        <v>145.54897745089966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>
        <f>VLOOKUP(A14,'Données projet'!$A$87:$I$107,2,0)</f>
        <v>63.780320512820509</v>
      </c>
      <c r="BB14" s="12">
        <f>VLOOKUP(A14,'Données projet'!$A$87:$I$107,9,0)</f>
        <v>12.150320512820493</v>
      </c>
      <c r="BC14" s="12">
        <f t="array" ref="BC14">INDEX(BB:BB,MIN(IF(ISNUMBER(BB14:BB210),ROW(BB14:BB210),"")))</f>
        <v>12.150320512820493</v>
      </c>
      <c r="BD14" s="12">
        <f>IF('Données projet'!$A$88&gt;35,BD13+BC14-BL13,IF(A14&lt;'Données projet'!$A$88,$BA$205^A14,IF(A14='Données projet'!$A$88,'Données projet'!$B$88,BD13+BC14-BL13)))</f>
        <v>63.780320512820509</v>
      </c>
      <c r="BE14" s="13">
        <f>BD14*VLOOKUP('Données projet'!$B$11,Paramètres!$A$1:$I$89,3,0)*VLOOKUP('Données projet'!$B$11,Paramètres!$A$1:$I$89,5,0)</f>
        <v>30.943660299999998</v>
      </c>
      <c r="BF14" s="13">
        <f t="shared" si="37"/>
        <v>9.5635956432968605</v>
      </c>
      <c r="BG14" s="20">
        <f t="shared" si="7"/>
        <v>70.550137434575348</v>
      </c>
      <c r="BH14" s="59">
        <f t="shared" si="8"/>
        <v>340.66124854568648</v>
      </c>
      <c r="BI14" s="59">
        <f ca="1">AVERAGE(OFFSET($BH$3,0,0,'Données projet'!$E$11+1,1))-AVERAGE(OFFSET($H$3,0,0,'Données projet'!$E$11+1,1))</f>
        <v>88.478637356802039</v>
      </c>
      <c r="BJ14" s="59">
        <f t="shared" si="38"/>
        <v>239.55411297259155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2.9369658119658117</v>
      </c>
      <c r="BY14" s="12">
        <f>IF('Données projet'!$A$114&gt;35,BY13+BX14-CG13,IF(A14&lt;'Données projet'!$A$114,$BV$205^A14,IF(A14='Données projet'!$A$114,'Données projet'!$B$114,BY13+BX14-CG13)))</f>
        <v>5.1662337644879726</v>
      </c>
      <c r="BZ14" s="13">
        <f>BY14*VLOOKUP('Données projet'!$B$12,Paramètres!$A$1:$I$89,3,0)*VLOOKUP('Données projet'!$B$12,Paramètres!$A$1:$I$89,5,0)</f>
        <v>4.6744083101087179</v>
      </c>
      <c r="CA14" s="13">
        <f t="shared" si="39"/>
        <v>1.8002073425367968</v>
      </c>
      <c r="CB14" s="20">
        <f t="shared" si="10"/>
        <v>11.276622261690939</v>
      </c>
      <c r="CC14" s="59">
        <f t="shared" si="11"/>
        <v>281.38773337280207</v>
      </c>
      <c r="CD14" s="59">
        <f ca="1">AVERAGE(OFFSET($CC$3,0,0,'Données projet'!$E$12+1,1))-AVERAGE(OFFSET($H$3,0,0,'Données projet'!$E$12+1,1))</f>
        <v>437.94387006020412</v>
      </c>
      <c r="CE14" s="59">
        <f t="shared" si="40"/>
        <v>213.95083535531376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1.995897435897436</v>
      </c>
      <c r="CT14" s="12">
        <f>IF('Données projet'!$A$140&gt;35,CT13+CS14-DB13,IF(A14&lt;'Données projet'!$A$140,$CQ$205^A14,IF(A14='Données projet'!$A$140,'Données projet'!$B$140,CT13+CS14-DB13)))</f>
        <v>4.4839608027196567</v>
      </c>
      <c r="CU14" s="17">
        <f>CT14*VLOOKUP('Données projet'!$B$13,Paramètres!$A$1:$I$89,3,0)*VLOOKUP('Données projet'!$B$13,Paramètres!$A$1:$I$89,5,0)</f>
        <v>2.1567851461081551</v>
      </c>
      <c r="CV14" s="13">
        <f t="shared" si="41"/>
        <v>0.90887430895657162</v>
      </c>
      <c r="CW14" s="20">
        <f t="shared" si="13"/>
        <v>5.3393568842377315</v>
      </c>
      <c r="CX14" s="59">
        <f t="shared" si="14"/>
        <v>275.4504679953489</v>
      </c>
      <c r="CY14" s="59">
        <f ca="1">AVERAGE(OFFSET($CX$3,0,0,'Données projet'!$E$13+1,1))-AVERAGE(OFFSET($H$3,0,0,'Données projet'!$E$13+1,1))</f>
        <v>258.42493116335032</v>
      </c>
      <c r="CZ14" s="59">
        <f t="shared" si="42"/>
        <v>102.46122697336466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8.8000000000000007</v>
      </c>
      <c r="DO14" s="12">
        <f>IF('Données projet'!$A$166&gt;35,DO13+DN14-DW13,IF(A14&lt;'Données projet'!$A$166,$DL$205^A14,IF(A14='Données projet'!$A$166,'Données projet'!$B$166,DO13+DN14-DW13)))</f>
        <v>37.799999999999997</v>
      </c>
      <c r="DP14" s="17">
        <f>DO14*VLOOKUP('Données projet'!$B$14,Paramètres!$A$1:$I$89,3,0)*VLOOKUP('Données projet'!$B$14,Paramètres!$A$1:$I$89,5,0)</f>
        <v>33.022080000000003</v>
      </c>
      <c r="DQ14" s="13">
        <f t="shared" si="43"/>
        <v>10.129025278332465</v>
      </c>
      <c r="DR14" s="20">
        <f t="shared" si="16"/>
        <v>75.154841693095705</v>
      </c>
      <c r="DS14" s="59">
        <f t="shared" si="17"/>
        <v>345.26595280420685</v>
      </c>
      <c r="DT14" s="59">
        <f ca="1">AVERAGE(OFFSET($DS$3,0,0,'Données projet'!$E$14+1,1))-AVERAGE(OFFSET($H$3,0,0,'Données projet'!$E$14+1,1))</f>
        <v>354.24684313982857</v>
      </c>
      <c r="DU14" s="59">
        <f t="shared" si="44"/>
        <v>322.65043486962185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6.7360323886639675</v>
      </c>
      <c r="N15" s="13">
        <f>IF('Données projet'!$A$36&gt;35,N14+M15-V14,IF(A15&lt;'Données projet'!$A$36,$K$205^A15,IF(A15='Données projet'!$A$36,'Données projet'!$B$36,N14+M15-V14)))</f>
        <v>21.420839384271193</v>
      </c>
      <c r="O15" s="13">
        <f>N15*VLOOKUP('Données projet'!$B$9,Paramètres!$A$1:$I$89,3,0)*VLOOKUP('Données projet'!$B$9,Paramètres!$A$1:$I$89,5,0)</f>
        <v>12.809661951794174</v>
      </c>
      <c r="P15" s="13">
        <f t="shared" si="33"/>
        <v>4.3870476248805641</v>
      </c>
      <c r="Q15" s="20">
        <f t="shared" si="2"/>
        <v>29.950935846041833</v>
      </c>
      <c r="R15" s="59">
        <f t="shared" si="0"/>
        <v>301.28426917937514</v>
      </c>
      <c r="S15" s="59">
        <f ca="1">AVERAGE(OFFSET($R$3,0,0,'Données projet'!$E$9+1,1))-AVERAGE(OFFSET($H$3,0,0,'Données projet'!$E$9+1,1))</f>
        <v>355.09162485318728</v>
      </c>
      <c r="T15" s="59">
        <f t="shared" si="34"/>
        <v>320.06572891923685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3.4425641025641025</v>
      </c>
      <c r="AI15" s="13">
        <f>IF('Données projet'!$A$62&gt;35,AI14+AH15-AQ14,IF(A15&lt;'Données projet'!$A$62,$AF$205^A15,IF(A15='Données projet'!$A$62,'Données projet'!$B$62,AI14+AH15-AQ14)))</f>
        <v>6.3914782624899003</v>
      </c>
      <c r="AJ15" s="13">
        <f>AI15*VLOOKUP('Données projet'!$B$10,Paramètres!$A$1:$I$89,3,0)*VLOOKUP('Données projet'!$B$10,Paramètres!$A$1:$I$89,5,0)</f>
        <v>2.9912118268452734</v>
      </c>
      <c r="AK15" s="13">
        <f t="shared" si="35"/>
        <v>1.2134185325879896</v>
      </c>
      <c r="AL15" s="20">
        <f t="shared" si="4"/>
        <v>7.3230645426796004</v>
      </c>
      <c r="AM15" s="59">
        <f t="shared" si="5"/>
        <v>278.65639787601293</v>
      </c>
      <c r="AN15" s="59">
        <f ca="1">AVERAGE(OFFSET($AM$3,0,0,'Données projet'!$E$10+1,1))-AVERAGE(OFFSET($H$3,0,0,'Données projet'!$E$10+1,1))</f>
        <v>246.72166704460847</v>
      </c>
      <c r="AO15" s="59">
        <f t="shared" si="36"/>
        <v>145.54897745089966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>
        <f>VLOOKUP(A15,'Données projet'!$A$87:$I$107,2,0)</f>
        <v>76.80974358974359</v>
      </c>
      <c r="BB15" s="12">
        <f>VLOOKUP(A15,'Données projet'!$A$87:$I$107,9,0)</f>
        <v>13.029423076923081</v>
      </c>
      <c r="BC15" s="12">
        <f t="array" ref="BC15">INDEX(BB:BB,MIN(IF(ISNUMBER(BB15:BB211),ROW(BB15:BB211),"")))</f>
        <v>13.029423076923081</v>
      </c>
      <c r="BD15" s="12">
        <f>IF('Données projet'!$A$88&gt;35,BD14+BC15-BL14,IF(A15&lt;'Données projet'!$A$88,$BA$205^A15,IF(A15='Données projet'!$A$88,'Données projet'!$B$88,BD14+BC15-BL14)))</f>
        <v>76.80974358974359</v>
      </c>
      <c r="BE15" s="13">
        <f>BD15*VLOOKUP('Données projet'!$B$11,Paramètres!$A$1:$I$89,3,0)*VLOOKUP('Données projet'!$B$11,Paramètres!$A$1:$I$89,5,0)</f>
        <v>37.265015200000001</v>
      </c>
      <c r="BF15" s="13">
        <f t="shared" si="37"/>
        <v>11.270778009231931</v>
      </c>
      <c r="BG15" s="20">
        <f t="shared" si="7"/>
        <v>84.533173172745606</v>
      </c>
      <c r="BH15" s="59">
        <f t="shared" si="8"/>
        <v>355.86650650607891</v>
      </c>
      <c r="BI15" s="59">
        <f ca="1">AVERAGE(OFFSET($BH$3,0,0,'Données projet'!$E$11+1,1))-AVERAGE(OFFSET($H$3,0,0,'Données projet'!$E$11+1,1))</f>
        <v>88.478637356802039</v>
      </c>
      <c r="BJ15" s="59">
        <f t="shared" si="38"/>
        <v>239.55411297259155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2.9369658119658117</v>
      </c>
      <c r="BY15" s="12">
        <f>IF('Données projet'!$A$114&gt;35,BY14+BX15-CG14,IF(A15&lt;'Données projet'!$A$114,$BV$205^A15,IF(A15='Données projet'!$A$114,'Données projet'!$B$114,BY14+BX15-CG14)))</f>
        <v>5.9980220547651646</v>
      </c>
      <c r="BZ15" s="13">
        <f>BY15*VLOOKUP('Données projet'!$B$12,Paramètres!$A$1:$I$89,3,0)*VLOOKUP('Données projet'!$B$12,Paramètres!$A$1:$I$89,5,0)</f>
        <v>5.4270103551515207</v>
      </c>
      <c r="CA15" s="13">
        <f t="shared" si="39"/>
        <v>2.0540445343362497</v>
      </c>
      <c r="CB15" s="20">
        <f t="shared" si="10"/>
        <v>13.029503932524534</v>
      </c>
      <c r="CC15" s="59">
        <f t="shared" si="11"/>
        <v>284.36283726585782</v>
      </c>
      <c r="CD15" s="59">
        <f ca="1">AVERAGE(OFFSET($CC$3,0,0,'Données projet'!$E$12+1,1))-AVERAGE(OFFSET($H$3,0,0,'Données projet'!$E$12+1,1))</f>
        <v>437.94387006020412</v>
      </c>
      <c r="CE15" s="59">
        <f t="shared" si="40"/>
        <v>213.95083535531376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1.995897435897436</v>
      </c>
      <c r="CT15" s="12">
        <f>IF('Données projet'!$A$140&gt;35,CT14+CS15-DB14,IF(A15&lt;'Données projet'!$A$140,$CQ$205^A15,IF(A15='Données projet'!$A$140,'Données projet'!$B$140,CT14+CS15-DB14)))</f>
        <v>5.139297872030709</v>
      </c>
      <c r="CU15" s="17">
        <f>CT15*VLOOKUP('Données projet'!$B$13,Paramètres!$A$1:$I$89,3,0)*VLOOKUP('Données projet'!$B$13,Paramètres!$A$1:$I$89,5,0)</f>
        <v>2.4720022764467711</v>
      </c>
      <c r="CV15" s="13">
        <f t="shared" si="41"/>
        <v>1.0252978417386427</v>
      </c>
      <c r="CW15" s="20">
        <f t="shared" si="13"/>
        <v>6.0911310391729288</v>
      </c>
      <c r="CX15" s="59">
        <f t="shared" si="14"/>
        <v>277.42446437250624</v>
      </c>
      <c r="CY15" s="59">
        <f ca="1">AVERAGE(OFFSET($CX$3,0,0,'Données projet'!$E$13+1,1))-AVERAGE(OFFSET($H$3,0,0,'Données projet'!$E$13+1,1))</f>
        <v>258.42493116335032</v>
      </c>
      <c r="CZ15" s="59">
        <f t="shared" si="42"/>
        <v>102.46122697336466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8.8000000000000007</v>
      </c>
      <c r="DO15" s="12">
        <f>IF('Données projet'!$A$166&gt;35,DO14+DN15-DW14,IF(A15&lt;'Données projet'!$A$166,$DL$205^A15,IF(A15='Données projet'!$A$166,'Données projet'!$B$166,DO14+DN15-DW14)))</f>
        <v>46.599999999999994</v>
      </c>
      <c r="DP15" s="17">
        <f>DO15*VLOOKUP('Données projet'!$B$14,Paramètres!$A$1:$I$89,3,0)*VLOOKUP('Données projet'!$B$14,Paramètres!$A$1:$I$89,5,0)</f>
        <v>40.709760000000003</v>
      </c>
      <c r="DQ15" s="13">
        <f t="shared" si="43"/>
        <v>12.186575870088381</v>
      </c>
      <c r="DR15" s="20">
        <f t="shared" si="16"/>
        <v>92.127784973737278</v>
      </c>
      <c r="DS15" s="59">
        <f t="shared" si="17"/>
        <v>363.46111830707059</v>
      </c>
      <c r="DT15" s="59">
        <f ca="1">AVERAGE(OFFSET($DS$3,0,0,'Données projet'!$E$14+1,1))-AVERAGE(OFFSET($H$3,0,0,'Données projet'!$E$14+1,1))</f>
        <v>354.24684313982857</v>
      </c>
      <c r="DU15" s="59">
        <f t="shared" si="44"/>
        <v>322.65043486962185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6.7360323886639675</v>
      </c>
      <c r="N16" s="13">
        <f>IF('Données projet'!$A$36&gt;35,N15+M16-V15,IF(A16&lt;'Données projet'!$A$36,$K$205^A16,IF(A16='Données projet'!$A$36,'Données projet'!$B$36,N15+M16-V15)))</f>
        <v>27.652826273708452</v>
      </c>
      <c r="O16" s="13">
        <f>N16*VLOOKUP('Données projet'!$B$9,Paramètres!$A$1:$I$89,3,0)*VLOOKUP('Données projet'!$B$9,Paramètres!$A$1:$I$89,5,0)</f>
        <v>16.536390111677655</v>
      </c>
      <c r="P16" s="13">
        <f t="shared" si="33"/>
        <v>5.4975131332790896</v>
      </c>
      <c r="Q16" s="20">
        <f t="shared" si="2"/>
        <v>38.375714818299656</v>
      </c>
      <c r="R16" s="59">
        <f t="shared" si="0"/>
        <v>310.93127037385523</v>
      </c>
      <c r="S16" s="59">
        <f ca="1">AVERAGE(OFFSET($R$3,0,0,'Données projet'!$E$9+1,1))-AVERAGE(OFFSET($H$3,0,0,'Données projet'!$E$9+1,1))</f>
        <v>355.09162485318728</v>
      </c>
      <c r="T16" s="59">
        <f t="shared" si="34"/>
        <v>320.06572891923685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3.4425641025641025</v>
      </c>
      <c r="AI16" s="13">
        <f>IF('Données projet'!$A$62&gt;35,AI15+AH16-AQ15,IF(A16&lt;'Données projet'!$A$62,$AF$205^A16,IF(A16='Données projet'!$A$62,'Données projet'!$B$62,AI15+AH16-AQ15)))</f>
        <v>7.459930119048451</v>
      </c>
      <c r="AJ16" s="13">
        <f>AI16*VLOOKUP('Données projet'!$B$10,Paramètres!$A$1:$I$89,3,0)*VLOOKUP('Données projet'!$B$10,Paramètres!$A$1:$I$89,5,0)</f>
        <v>3.4912472957146754</v>
      </c>
      <c r="AK16" s="13">
        <f t="shared" si="35"/>
        <v>1.3910083400895945</v>
      </c>
      <c r="AL16" s="20">
        <f t="shared" si="4"/>
        <v>8.5032618990257713</v>
      </c>
      <c r="AM16" s="59">
        <f t="shared" si="5"/>
        <v>281.05881745458129</v>
      </c>
      <c r="AN16" s="59">
        <f ca="1">AVERAGE(OFFSET($AM$3,0,0,'Données projet'!$E$10+1,1))-AVERAGE(OFFSET($H$3,0,0,'Données projet'!$E$10+1,1))</f>
        <v>246.72166704460847</v>
      </c>
      <c r="AO16" s="59">
        <f t="shared" si="36"/>
        <v>145.54897745089966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>
        <f>VLOOKUP(A16,'Données projet'!$A$87:$I$107,2,0)</f>
        <v>90.615576923076929</v>
      </c>
      <c r="BB16" s="12">
        <f>VLOOKUP(A16,'Données projet'!$A$87:$I$107,9,0)</f>
        <v>13.805833333333339</v>
      </c>
      <c r="BC16" s="12">
        <f t="array" ref="BC16">INDEX(BB:BB,MIN(IF(ISNUMBER(BB16:BB212),ROW(BB16:BB212),"")))</f>
        <v>13.805833333333339</v>
      </c>
      <c r="BD16" s="12">
        <f>IF('Données projet'!$A$88&gt;35,BD15+BC16-BL15,IF(A16&lt;'Données projet'!$A$88,$BA$205^A16,IF(A16='Données projet'!$A$88,'Données projet'!$B$88,BD15+BC16-BL15)))</f>
        <v>90.615576923076929</v>
      </c>
      <c r="BE16" s="13">
        <f>BD16*VLOOKUP('Données projet'!$B$11,Paramètres!$A$1:$I$89,3,0)*VLOOKUP('Données projet'!$B$11,Paramètres!$A$1:$I$89,5,0)</f>
        <v>43.963053300000006</v>
      </c>
      <c r="BF16" s="13">
        <f t="shared" si="37"/>
        <v>13.04321000111142</v>
      </c>
      <c r="BG16" s="20">
        <f t="shared" si="7"/>
        <v>99.285908582769068</v>
      </c>
      <c r="BH16" s="59">
        <f t="shared" si="8"/>
        <v>371.84146413832462</v>
      </c>
      <c r="BI16" s="59">
        <f ca="1">AVERAGE(OFFSET($BH$3,0,0,'Données projet'!$E$11+1,1))-AVERAGE(OFFSET($H$3,0,0,'Données projet'!$E$11+1,1))</f>
        <v>88.478637356802039</v>
      </c>
      <c r="BJ16" s="59">
        <f t="shared" si="38"/>
        <v>239.55411297259155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2.9369658119658117</v>
      </c>
      <c r="BY16" s="12">
        <f>IF('Données projet'!$A$114&gt;35,BY15+BX16-CG15,IF(A16&lt;'Données projet'!$A$114,$BV$205^A16,IF(A16='Données projet'!$A$114,'Données projet'!$B$114,BY15+BX16-CG15)))</f>
        <v>6.9637322292199739</v>
      </c>
      <c r="BZ16" s="13">
        <f>BY16*VLOOKUP('Données projet'!$B$12,Paramètres!$A$1:$I$89,3,0)*VLOOKUP('Données projet'!$B$12,Paramètres!$A$1:$I$89,5,0)</f>
        <v>6.3007849209982325</v>
      </c>
      <c r="CA16" s="13">
        <f t="shared" si="39"/>
        <v>2.3436738920813407</v>
      </c>
      <c r="CB16" s="20">
        <f t="shared" si="10"/>
        <v>15.05576576611359</v>
      </c>
      <c r="CC16" s="59">
        <f t="shared" si="11"/>
        <v>287.61132132166915</v>
      </c>
      <c r="CD16" s="59">
        <f ca="1">AVERAGE(OFFSET($CC$3,0,0,'Données projet'!$E$12+1,1))-AVERAGE(OFFSET($H$3,0,0,'Données projet'!$E$12+1,1))</f>
        <v>437.94387006020412</v>
      </c>
      <c r="CE16" s="59">
        <f t="shared" si="40"/>
        <v>213.95083535531376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1.995897435897436</v>
      </c>
      <c r="CT16" s="12">
        <f>IF('Données projet'!$A$140&gt;35,CT15+CS16-DB15,IF(A16&lt;'Données projet'!$A$140,$CQ$205^A16,IF(A16='Données projet'!$A$140,'Données projet'!$B$140,CT15+CS16-DB15)))</f>
        <v>5.8904133598669004</v>
      </c>
      <c r="CU16" s="17">
        <f>CT16*VLOOKUP('Données projet'!$B$13,Paramètres!$A$1:$I$89,3,0)*VLOOKUP('Données projet'!$B$13,Paramètres!$A$1:$I$89,5,0)</f>
        <v>2.8332888260959792</v>
      </c>
      <c r="CV16" s="13">
        <f t="shared" si="41"/>
        <v>1.1566348106822217</v>
      </c>
      <c r="CW16" s="20">
        <f t="shared" si="13"/>
        <v>6.9491170007220333</v>
      </c>
      <c r="CX16" s="59">
        <f t="shared" si="14"/>
        <v>279.50467255627757</v>
      </c>
      <c r="CY16" s="59">
        <f ca="1">AVERAGE(OFFSET($CX$3,0,0,'Données projet'!$E$13+1,1))-AVERAGE(OFFSET($H$3,0,0,'Données projet'!$E$13+1,1))</f>
        <v>258.42493116335032</v>
      </c>
      <c r="CZ16" s="59">
        <f t="shared" si="42"/>
        <v>102.46122697336466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8.8000000000000007</v>
      </c>
      <c r="DO16" s="12">
        <f>IF('Données projet'!$A$166&gt;35,DO15+DN16-DW15,IF(A16&lt;'Données projet'!$A$166,$DL$205^A16,IF(A16='Données projet'!$A$166,'Données projet'!$B$166,DO15+DN16-DW15)))</f>
        <v>55.399999999999991</v>
      </c>
      <c r="DP16" s="17">
        <f>DO16*VLOOKUP('Données projet'!$B$14,Paramètres!$A$1:$I$89,3,0)*VLOOKUP('Données projet'!$B$14,Paramètres!$A$1:$I$89,5,0)</f>
        <v>48.397439999999996</v>
      </c>
      <c r="DQ16" s="13">
        <f t="shared" si="43"/>
        <v>14.199110166340073</v>
      </c>
      <c r="DR16" s="20">
        <f t="shared" si="16"/>
        <v>109.02232487304228</v>
      </c>
      <c r="DS16" s="59">
        <f t="shared" si="17"/>
        <v>381.57788042859784</v>
      </c>
      <c r="DT16" s="59">
        <f ca="1">AVERAGE(OFFSET($DS$3,0,0,'Données projet'!$E$14+1,1))-AVERAGE(OFFSET($H$3,0,0,'Données projet'!$E$14+1,1))</f>
        <v>354.24684313982857</v>
      </c>
      <c r="DU16" s="59">
        <f t="shared" si="44"/>
        <v>322.65043486962185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6.7360323886639675</v>
      </c>
      <c r="N17" s="13">
        <f>IF('Données projet'!$A$36&gt;35,N16+M17-V16,IF(A17&lt;'Données projet'!$A$36,$K$205^A17,IF(A17='Données projet'!$A$36,'Données projet'!$B$36,N16+M17-V16)))</f>
        <v>35.697891534791381</v>
      </c>
      <c r="O17" s="13">
        <f>N17*VLOOKUP('Données projet'!$B$9,Paramètres!$A$1:$I$89,3,0)*VLOOKUP('Données projet'!$B$9,Paramètres!$A$1:$I$89,5,0)</f>
        <v>21.347339137805246</v>
      </c>
      <c r="P17" s="13">
        <f t="shared" si="33"/>
        <v>6.8890637245814856</v>
      </c>
      <c r="Q17" s="20">
        <f t="shared" si="2"/>
        <v>49.178401651990221</v>
      </c>
      <c r="R17" s="59">
        <f t="shared" si="0"/>
        <v>322.95617942976799</v>
      </c>
      <c r="S17" s="59">
        <f ca="1">AVERAGE(OFFSET($R$3,0,0,'Données projet'!$E$9+1,1))-AVERAGE(OFFSET($H$3,0,0,'Données projet'!$E$9+1,1))</f>
        <v>355.09162485318728</v>
      </c>
      <c r="T17" s="59">
        <f t="shared" si="34"/>
        <v>320.06572891923685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3.4425641025641025</v>
      </c>
      <c r="AI17" s="13">
        <f>IF('Données projet'!$A$62&gt;35,AI16+AH17-AQ16,IF(A17&lt;'Données projet'!$A$62,$AF$205^A17,IF(A17='Données projet'!$A$62,'Données projet'!$B$62,AI16+AH17-AQ16)))</f>
        <v>8.7069931392376674</v>
      </c>
      <c r="AJ17" s="13">
        <f>AI17*VLOOKUP('Données projet'!$B$10,Paramètres!$A$1:$I$89,3,0)*VLOOKUP('Données projet'!$B$10,Paramètres!$A$1:$I$89,5,0)</f>
        <v>4.0748727891632281</v>
      </c>
      <c r="AK17" s="13">
        <f t="shared" si="35"/>
        <v>1.5945892948181934</v>
      </c>
      <c r="AL17" s="20">
        <f t="shared" si="4"/>
        <v>9.8743131296009761</v>
      </c>
      <c r="AM17" s="59">
        <f t="shared" si="5"/>
        <v>283.65209090737875</v>
      </c>
      <c r="AN17" s="59">
        <f ca="1">AVERAGE(OFFSET($AM$3,0,0,'Données projet'!$E$10+1,1))-AVERAGE(OFFSET($H$3,0,0,'Données projet'!$E$10+1,1))</f>
        <v>246.72166704460847</v>
      </c>
      <c r="AO17" s="59">
        <f t="shared" si="36"/>
        <v>145.54897745089966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>
        <f>VLOOKUP(A17,'Données projet'!$A$87:$I$107,2,0)</f>
        <v>105.09512820512822</v>
      </c>
      <c r="BB17" s="12">
        <f>VLOOKUP(A17,'Données projet'!$A$87:$I$107,9,0)</f>
        <v>14.47955128205129</v>
      </c>
      <c r="BC17" s="12">
        <f t="array" ref="BC17">INDEX(BB:BB,MIN(IF(ISNUMBER(BB17:BB213),ROW(BB17:BB213),"")))</f>
        <v>14.47955128205129</v>
      </c>
      <c r="BD17" s="12">
        <f>IF('Données projet'!$A$88&gt;35,BD16+BC17-BL16,IF(A17&lt;'Données projet'!$A$88,$BA$205^A17,IF(A17='Données projet'!$A$88,'Données projet'!$B$88,BD16+BC17-BL16)))</f>
        <v>105.09512820512822</v>
      </c>
      <c r="BE17" s="13">
        <f>BD17*VLOOKUP('Données projet'!$B$11,Paramètres!$A$1:$I$89,3,0)*VLOOKUP('Données projet'!$B$11,Paramètres!$A$1:$I$89,5,0)</f>
        <v>50.987952400000005</v>
      </c>
      <c r="BF17" s="13">
        <f t="shared" si="37"/>
        <v>14.868611405645559</v>
      </c>
      <c r="BG17" s="20">
        <f t="shared" si="7"/>
        <v>114.70018196149935</v>
      </c>
      <c r="BH17" s="59">
        <f t="shared" si="8"/>
        <v>388.47795973927714</v>
      </c>
      <c r="BI17" s="59">
        <f ca="1">AVERAGE(OFFSET($BH$3,0,0,'Données projet'!$E$11+1,1))-AVERAGE(OFFSET($H$3,0,0,'Données projet'!$E$11+1,1))</f>
        <v>88.478637356802039</v>
      </c>
      <c r="BJ17" s="59">
        <f t="shared" si="38"/>
        <v>239.55411297259155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2.9369658119658117</v>
      </c>
      <c r="BY17" s="12">
        <f>IF('Données projet'!$A$114&gt;35,BY16+BX17-CG16,IF(A17&lt;'Données projet'!$A$114,$BV$205^A17,IF(A17='Données projet'!$A$114,'Données projet'!$B$114,BY16+BX17-CG16)))</f>
        <v>8.0849263503042614</v>
      </c>
      <c r="BZ17" s="13">
        <f>BY17*VLOOKUP('Données projet'!$B$12,Paramètres!$A$1:$I$89,3,0)*VLOOKUP('Données projet'!$B$12,Paramètres!$A$1:$I$89,5,0)</f>
        <v>7.3152413617552954</v>
      </c>
      <c r="CA17" s="13">
        <f t="shared" si="39"/>
        <v>2.6741422693635326</v>
      </c>
      <c r="CB17" s="20">
        <f t="shared" si="10"/>
        <v>17.398176490865293</v>
      </c>
      <c r="CC17" s="59">
        <f t="shared" si="11"/>
        <v>291.17595426864307</v>
      </c>
      <c r="CD17" s="59">
        <f ca="1">AVERAGE(OFFSET($CC$3,0,0,'Données projet'!$E$12+1,1))-AVERAGE(OFFSET($H$3,0,0,'Données projet'!$E$12+1,1))</f>
        <v>437.94387006020412</v>
      </c>
      <c r="CE17" s="59">
        <f t="shared" si="40"/>
        <v>213.95083535531376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1.995897435897436</v>
      </c>
      <c r="CT17" s="12">
        <f>IF('Données projet'!$A$140&gt;35,CT16+CS17-DB16,IF(A17&lt;'Données projet'!$A$140,$CQ$205^A17,IF(A17='Données projet'!$A$140,'Données projet'!$B$140,CT16+CS17-DB16)))</f>
        <v>6.7513054144862261</v>
      </c>
      <c r="CU17" s="17">
        <f>CT17*VLOOKUP('Données projet'!$B$13,Paramètres!$A$1:$I$89,3,0)*VLOOKUP('Données projet'!$B$13,Paramètres!$A$1:$I$89,5,0)</f>
        <v>3.2473779043678745</v>
      </c>
      <c r="CV17" s="13">
        <f t="shared" si="41"/>
        <v>1.3047955733656136</v>
      </c>
      <c r="CW17" s="20">
        <f t="shared" si="13"/>
        <v>7.9283688070524923</v>
      </c>
      <c r="CX17" s="59">
        <f t="shared" si="14"/>
        <v>281.70614658483026</v>
      </c>
      <c r="CY17" s="59">
        <f ca="1">AVERAGE(OFFSET($CX$3,0,0,'Données projet'!$E$13+1,1))-AVERAGE(OFFSET($H$3,0,0,'Données projet'!$E$13+1,1))</f>
        <v>258.42493116335032</v>
      </c>
      <c r="CZ17" s="59">
        <f t="shared" si="42"/>
        <v>102.46122697336466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8.8000000000000007</v>
      </c>
      <c r="DO17" s="12">
        <f>IF('Données projet'!$A$166&gt;35,DO16+DN17-DW16,IF(A17&lt;'Données projet'!$A$166,$DL$205^A17,IF(A17='Données projet'!$A$166,'Données projet'!$B$166,DO16+DN17-DW16)))</f>
        <v>64.199999999999989</v>
      </c>
      <c r="DP17" s="17">
        <f>DO17*VLOOKUP('Données projet'!$B$14,Paramètres!$A$1:$I$89,3,0)*VLOOKUP('Données projet'!$B$14,Paramètres!$A$1:$I$89,5,0)</f>
        <v>56.085119999999996</v>
      </c>
      <c r="DQ17" s="13">
        <f t="shared" si="43"/>
        <v>16.174611252215492</v>
      </c>
      <c r="DR17" s="20">
        <f t="shared" si="16"/>
        <v>125.85236526427531</v>
      </c>
      <c r="DS17" s="59">
        <f t="shared" si="17"/>
        <v>399.63014304205308</v>
      </c>
      <c r="DT17" s="59">
        <f ca="1">AVERAGE(OFFSET($DS$3,0,0,'Données projet'!$E$14+1,1))-AVERAGE(OFFSET($H$3,0,0,'Données projet'!$E$14+1,1))</f>
        <v>354.24684313982857</v>
      </c>
      <c r="DU17" s="59">
        <f t="shared" si="44"/>
        <v>322.65043486962185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6.7360323886639675</v>
      </c>
      <c r="N18" s="13">
        <f>IF('Données projet'!$A$36&gt;35,N17+M18-V17,IF(A18&lt;'Données projet'!$A$36,$K$205^A18,IF(A18='Données projet'!$A$36,'Données projet'!$B$36,N17+M18-V17)))</f>
        <v>46.083515927677063</v>
      </c>
      <c r="O18" s="13">
        <f>N18*VLOOKUP('Données projet'!$B$9,Paramètres!$A$1:$I$89,3,0)*VLOOKUP('Données projet'!$B$9,Paramètres!$A$1:$I$89,5,0)</f>
        <v>27.557942524750885</v>
      </c>
      <c r="P18" s="13">
        <f t="shared" si="33"/>
        <v>8.6328486809883493</v>
      </c>
      <c r="Q18" s="20">
        <f t="shared" si="2"/>
        <v>63.032294683329155</v>
      </c>
      <c r="R18" s="59">
        <f t="shared" si="0"/>
        <v>338.03229468332916</v>
      </c>
      <c r="S18" s="59">
        <f ca="1">AVERAGE(OFFSET($R$3,0,0,'Données projet'!$E$9+1,1))-AVERAGE(OFFSET($H$3,0,0,'Données projet'!$E$9+1,1))</f>
        <v>355.09162485318728</v>
      </c>
      <c r="T18" s="59">
        <f t="shared" si="34"/>
        <v>320.06572891923685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3.4425641025641025</v>
      </c>
      <c r="AI18" s="13">
        <f>IF('Données projet'!$A$62&gt;35,AI17+AH18-AQ17,IF(A18&lt;'Données projet'!$A$62,$AF$205^A18,IF(A18='Données projet'!$A$62,'Données projet'!$B$62,AI17+AH18-AQ17)))</f>
        <v>10.162525428107084</v>
      </c>
      <c r="AJ18" s="13">
        <f>AI18*VLOOKUP('Données projet'!$B$10,Paramètres!$A$1:$I$89,3,0)*VLOOKUP('Données projet'!$B$10,Paramètres!$A$1:$I$89,5,0)</f>
        <v>4.7560619003541156</v>
      </c>
      <c r="AK18" s="13">
        <f t="shared" si="35"/>
        <v>1.8279653298016947</v>
      </c>
      <c r="AL18" s="20">
        <f t="shared" si="4"/>
        <v>11.467180759188034</v>
      </c>
      <c r="AM18" s="59">
        <f t="shared" si="5"/>
        <v>286.46718075918801</v>
      </c>
      <c r="AN18" s="59">
        <f ca="1">AVERAGE(OFFSET($AM$3,0,0,'Données projet'!$E$10+1,1))-AVERAGE(OFFSET($H$3,0,0,'Données projet'!$E$10+1,1))</f>
        <v>246.72166704460847</v>
      </c>
      <c r="AO18" s="59">
        <f t="shared" si="36"/>
        <v>145.54897745089966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120.14570512820511</v>
      </c>
      <c r="BB18" s="12">
        <f>VLOOKUP(A18,'Données projet'!$A$87:$I$107,9,0)</f>
        <v>15.050576923076889</v>
      </c>
      <c r="BC18" s="12">
        <f t="array" ref="BC18">INDEX(BB:BB,MIN(IF(ISNUMBER(BB18:BB214),ROW(BB18:BB214),"")))</f>
        <v>15.050576923076889</v>
      </c>
      <c r="BD18" s="12">
        <f>IF('Données projet'!$A$88&gt;35,BD17+BC18-BL17,IF(A18&lt;'Données projet'!$A$88,$BA$205^A18,IF(A18='Données projet'!$A$88,'Données projet'!$B$88,BD17+BC18-BL17)))</f>
        <v>120.14570512820511</v>
      </c>
      <c r="BE18" s="13">
        <f>BD18*VLOOKUP('Données projet'!$B$11,Paramètres!$A$1:$I$89,3,0)*VLOOKUP('Données projet'!$B$11,Paramètres!$A$1:$I$89,5,0)</f>
        <v>58.289890299999989</v>
      </c>
      <c r="BF18" s="13">
        <f t="shared" si="37"/>
        <v>16.735174684605365</v>
      </c>
      <c r="BG18" s="20">
        <f t="shared" si="7"/>
        <v>130.66865484818763</v>
      </c>
      <c r="BH18" s="59">
        <f t="shared" si="8"/>
        <v>405.66865484818766</v>
      </c>
      <c r="BI18" s="59">
        <f ca="1">AVERAGE(OFFSET($BH$3,0,0,'Données projet'!$E$11+1,1))-AVERAGE(OFFSET($H$3,0,0,'Données projet'!$E$11+1,1))</f>
        <v>88.478637356802039</v>
      </c>
      <c r="BJ18" s="59">
        <f t="shared" si="38"/>
        <v>239.55411297259155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2.9369658119658117</v>
      </c>
      <c r="BY18" s="12">
        <f>IF('Données projet'!$A$114&gt;35,BY17+BX18-CG17,IF(A18&lt;'Données projet'!$A$114,$BV$205^A18,IF(A18='Données projet'!$A$114,'Données projet'!$B$114,BY17+BX18-CG17)))</f>
        <v>9.3866380754226668</v>
      </c>
      <c r="BZ18" s="13">
        <f>BY18*VLOOKUP('Données projet'!$B$12,Paramètres!$A$1:$I$89,3,0)*VLOOKUP('Données projet'!$B$12,Paramètres!$A$1:$I$89,5,0)</f>
        <v>8.4930301306424276</v>
      </c>
      <c r="CA18" s="13">
        <f t="shared" si="39"/>
        <v>3.0512081484366154</v>
      </c>
      <c r="CB18" s="20">
        <f t="shared" si="10"/>
        <v>20.106215002729332</v>
      </c>
      <c r="CC18" s="59">
        <f t="shared" si="11"/>
        <v>295.10621500272936</v>
      </c>
      <c r="CD18" s="59">
        <f ca="1">AVERAGE(OFFSET($CC$3,0,0,'Données projet'!$E$12+1,1))-AVERAGE(OFFSET($H$3,0,0,'Données projet'!$E$12+1,1))</f>
        <v>437.94387006020412</v>
      </c>
      <c r="CE18" s="59">
        <f t="shared" si="40"/>
        <v>213.95083535531376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1.995897435897436</v>
      </c>
      <c r="CT18" s="12">
        <f>IF('Données projet'!$A$140&gt;35,CT17+CS18-DB17,IF(A18&lt;'Données projet'!$A$140,$CQ$205^A18,IF(A18='Données projet'!$A$140,'Données projet'!$B$140,CT17+CS18-DB17)))</f>
        <v>7.7380180328636481</v>
      </c>
      <c r="CU18" s="17">
        <f>CT18*VLOOKUP('Données projet'!$B$13,Paramètres!$A$1:$I$89,3,0)*VLOOKUP('Données projet'!$B$13,Paramètres!$A$1:$I$89,5,0)</f>
        <v>3.7219866738074145</v>
      </c>
      <c r="CV18" s="13">
        <f t="shared" si="41"/>
        <v>1.4719351973077084</v>
      </c>
      <c r="CW18" s="20">
        <f t="shared" si="13"/>
        <v>9.0460805921921725</v>
      </c>
      <c r="CX18" s="59">
        <f t="shared" si="14"/>
        <v>284.0460805921922</v>
      </c>
      <c r="CY18" s="59">
        <f ca="1">AVERAGE(OFFSET($CX$3,0,0,'Données projet'!$E$13+1,1))-AVERAGE(OFFSET($H$3,0,0,'Données projet'!$E$13+1,1))</f>
        <v>258.42493116335032</v>
      </c>
      <c r="CZ18" s="59">
        <f t="shared" si="42"/>
        <v>102.46122697336466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73</v>
      </c>
      <c r="DM18" s="12">
        <f>VLOOKUP(A18,'Données projet'!$A$165:$I$185,9,0)</f>
        <v>8.8000000000000007</v>
      </c>
      <c r="DN18" s="12">
        <f t="array" ref="DN18">INDEX(DM:DM,MIN(IF(ISNUMBER(DM18:DM214),ROW(DM18:DM214),"")))</f>
        <v>8.8000000000000007</v>
      </c>
      <c r="DO18" s="12">
        <f>IF('Données projet'!$A$166&gt;35,DO17+DN18-DW17,IF(A18&lt;'Données projet'!$A$166,$DL$205^A18,IF(A18='Données projet'!$A$166,'Données projet'!$B$166,DO17+DN18-DW17)))</f>
        <v>72.999999999999986</v>
      </c>
      <c r="DP18" s="17">
        <f>DO18*VLOOKUP('Données projet'!$B$14,Paramètres!$A$1:$I$89,3,0)*VLOOKUP('Données projet'!$B$14,Paramètres!$A$1:$I$89,5,0)</f>
        <v>63.772799999999997</v>
      </c>
      <c r="DQ18" s="13">
        <f t="shared" si="43"/>
        <v>18.118739450759566</v>
      </c>
      <c r="DR18" s="20">
        <f t="shared" si="16"/>
        <v>142.62776454340624</v>
      </c>
      <c r="DS18" s="59">
        <f t="shared" si="17"/>
        <v>417.62776454340622</v>
      </c>
      <c r="DT18" s="59">
        <f ca="1">AVERAGE(OFFSET($DS$3,0,0,'Données projet'!$E$14+1,1))-AVERAGE(OFFSET($H$3,0,0,'Données projet'!$E$14+1,1))</f>
        <v>354.24684313982857</v>
      </c>
      <c r="DU18" s="59">
        <f t="shared" si="44"/>
        <v>322.65043486962185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6.7360323886639675</v>
      </c>
      <c r="N19" s="13">
        <f>IF('Données projet'!$A$36&gt;35,N18+M19-V18,IF(A19&lt;'Données projet'!$A$36,$K$205^A19,IF(A19='Données projet'!$A$36,'Données projet'!$B$36,N18+M19-V18)))</f>
        <v>59.490640733968959</v>
      </c>
      <c r="O19" s="13">
        <f>N19*VLOOKUP('Données projet'!$B$9,Paramètres!$A$1:$I$89,3,0)*VLOOKUP('Données projet'!$B$9,Paramètres!$A$1:$I$89,5,0)</f>
        <v>35.575403158913439</v>
      </c>
      <c r="P19" s="13">
        <f t="shared" si="33"/>
        <v>10.818026850719807</v>
      </c>
      <c r="Q19" s="20">
        <f t="shared" si="2"/>
        <v>80.801890600111236</v>
      </c>
      <c r="R19" s="59">
        <f t="shared" si="0"/>
        <v>357.02411282233345</v>
      </c>
      <c r="S19" s="59">
        <f ca="1">AVERAGE(OFFSET($R$3,0,0,'Données projet'!$E$9+1,1))-AVERAGE(OFFSET($H$3,0,0,'Données projet'!$E$9+1,1))</f>
        <v>355.09162485318728</v>
      </c>
      <c r="T19" s="59">
        <f t="shared" si="34"/>
        <v>320.06572891923685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3.4425641025641025</v>
      </c>
      <c r="AI19" s="13">
        <f>IF('Données projet'!$A$62&gt;35,AI18+AH19-AQ18,IF(A19&lt;'Données projet'!$A$62,$AF$205^A19,IF(A19='Données projet'!$A$62,'Données projet'!$B$62,AI18+AH19-AQ18)))</f>
        <v>11.861376416102864</v>
      </c>
      <c r="AJ19" s="13">
        <f>AI19*VLOOKUP('Données projet'!$B$10,Paramètres!$A$1:$I$89,3,0)*VLOOKUP('Données projet'!$B$10,Paramètres!$A$1:$I$89,5,0)</f>
        <v>5.5511241627361398</v>
      </c>
      <c r="AK19" s="13">
        <f t="shared" si="35"/>
        <v>2.0954971024924585</v>
      </c>
      <c r="AL19" s="20">
        <f t="shared" si="4"/>
        <v>13.31786537027314</v>
      </c>
      <c r="AM19" s="59">
        <f t="shared" si="5"/>
        <v>289.54008759249535</v>
      </c>
      <c r="AN19" s="59">
        <f ca="1">AVERAGE(OFFSET($AM$3,0,0,'Données projet'!$E$10+1,1))-AVERAGE(OFFSET($H$3,0,0,'Données projet'!$E$10+1,1))</f>
        <v>246.72166704460847</v>
      </c>
      <c r="AO19" s="59">
        <f t="shared" si="36"/>
        <v>145.54897745089966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>
        <f>VLOOKUP(A19,'Données projet'!$A$87:$I$107,2,0)</f>
        <v>135.66461538461539</v>
      </c>
      <c r="BB19" s="12">
        <f>VLOOKUP(A19,'Données projet'!$A$87:$I$107,9,0)</f>
        <v>15.51891025641028</v>
      </c>
      <c r="BC19" s="12">
        <f t="array" ref="BC19">INDEX(BB:BB,MIN(IF(ISNUMBER(BB19:BB215),ROW(BB19:BB215),"")))</f>
        <v>15.51891025641028</v>
      </c>
      <c r="BD19" s="12">
        <f>IF('Données projet'!$A$88&gt;35,BD18+BC19-BL18,IF(A19&lt;'Données projet'!$A$88,$BA$205^A19,IF(A19='Données projet'!$A$88,'Données projet'!$B$88,BD18+BC19-BL18)))</f>
        <v>135.66461538461539</v>
      </c>
      <c r="BE19" s="13">
        <f>BD19*VLOOKUP('Données projet'!$B$11,Paramètres!$A$1:$I$89,3,0)*VLOOKUP('Données projet'!$B$11,Paramètres!$A$1:$I$89,5,0)</f>
        <v>65.8190448</v>
      </c>
      <c r="BF19" s="13">
        <f t="shared" si="37"/>
        <v>18.631486956704752</v>
      </c>
      <c r="BG19" s="20">
        <f t="shared" si="7"/>
        <v>147.08467614292741</v>
      </c>
      <c r="BH19" s="59">
        <f t="shared" si="8"/>
        <v>423.30689836514966</v>
      </c>
      <c r="BI19" s="59">
        <f ca="1">AVERAGE(OFFSET($BH$3,0,0,'Données projet'!$E$11+1,1))-AVERAGE(OFFSET($H$3,0,0,'Données projet'!$E$11+1,1))</f>
        <v>88.478637356802039</v>
      </c>
      <c r="BJ19" s="59">
        <f t="shared" si="38"/>
        <v>239.55411297259155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2.9369658119658117</v>
      </c>
      <c r="BY19" s="12">
        <f>IF('Données projet'!$A$114&gt;35,BY18+BX19-CG18,IF(A19&lt;'Données projet'!$A$114,$BV$205^A19,IF(A19='Données projet'!$A$114,'Données projet'!$B$114,BY18+BX19-CG18)))</f>
        <v>10.897931600287087</v>
      </c>
      <c r="BZ19" s="13">
        <f>BY19*VLOOKUP('Données projet'!$B$12,Paramètres!$A$1:$I$89,3,0)*VLOOKUP('Données projet'!$B$12,Paramètres!$A$1:$I$89,5,0)</f>
        <v>9.8604485119397562</v>
      </c>
      <c r="CA19" s="13">
        <f t="shared" si="39"/>
        <v>3.4814419830033287</v>
      </c>
      <c r="CB19" s="20">
        <f t="shared" si="10"/>
        <v>23.237125945359207</v>
      </c>
      <c r="CC19" s="59">
        <f t="shared" si="11"/>
        <v>299.45934816758142</v>
      </c>
      <c r="CD19" s="59">
        <f ca="1">AVERAGE(OFFSET($CC$3,0,0,'Données projet'!$E$12+1,1))-AVERAGE(OFFSET($H$3,0,0,'Données projet'!$E$12+1,1))</f>
        <v>437.94387006020412</v>
      </c>
      <c r="CE19" s="59">
        <f t="shared" si="40"/>
        <v>213.95083535531376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1.995897435897436</v>
      </c>
      <c r="CT19" s="12">
        <f>IF('Données projet'!$A$140&gt;35,CT18+CS19-DB18,IF(A19&lt;'Données projet'!$A$140,$CQ$205^A19,IF(A19='Données projet'!$A$140,'Données projet'!$B$140,CT18+CS19-DB18)))</f>
        <v>8.8689400643089762</v>
      </c>
      <c r="CU19" s="17">
        <f>CT19*VLOOKUP('Données projet'!$B$13,Paramètres!$A$1:$I$89,3,0)*VLOOKUP('Données projet'!$B$13,Paramètres!$A$1:$I$89,5,0)</f>
        <v>4.265960170932618</v>
      </c>
      <c r="CV19" s="13">
        <f t="shared" si="41"/>
        <v>1.6604848064319633</v>
      </c>
      <c r="CW19" s="20">
        <f t="shared" si="13"/>
        <v>10.321891668909979</v>
      </c>
      <c r="CX19" s="59">
        <f t="shared" si="14"/>
        <v>286.54411389113221</v>
      </c>
      <c r="CY19" s="59">
        <f ca="1">AVERAGE(OFFSET($CX$3,0,0,'Données projet'!$E$13+1,1))-AVERAGE(OFFSET($H$3,0,0,'Données projet'!$E$13+1,1))</f>
        <v>258.42493116335032</v>
      </c>
      <c r="CZ19" s="59">
        <f t="shared" si="42"/>
        <v>102.46122697336466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11.2</v>
      </c>
      <c r="DO19" s="12">
        <f>IF('Données projet'!$A$166&gt;35,DO18+DN19-DW18,IF(A19&lt;'Données projet'!$A$166,$DL$205^A19,IF(A19='Données projet'!$A$166,'Données projet'!$B$166,DO18+DN19-DW18)))</f>
        <v>84.199999999999989</v>
      </c>
      <c r="DP19" s="17">
        <f>DO19*VLOOKUP('Données projet'!$B$14,Paramètres!$A$1:$I$89,3,0)*VLOOKUP('Données projet'!$B$14,Paramètres!$A$1:$I$89,5,0)</f>
        <v>73.557119999999998</v>
      </c>
      <c r="DQ19" s="13">
        <f t="shared" si="43"/>
        <v>20.554251427792224</v>
      </c>
      <c r="DR19" s="20">
        <f t="shared" si="16"/>
        <v>163.91063857007143</v>
      </c>
      <c r="DS19" s="59">
        <f t="shared" si="17"/>
        <v>440.13286079229363</v>
      </c>
      <c r="DT19" s="59">
        <f ca="1">AVERAGE(OFFSET($DS$3,0,0,'Données projet'!$E$14+1,1))-AVERAGE(OFFSET($H$3,0,0,'Données projet'!$E$14+1,1))</f>
        <v>354.24684313982857</v>
      </c>
      <c r="DU19" s="59">
        <f t="shared" si="44"/>
        <v>322.65043486962185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6.7360323886639675</v>
      </c>
      <c r="N20" s="13">
        <f>IF('Données projet'!$A$36&gt;35,N19+M20-V19,IF(A20&lt;'Données projet'!$A$36,$K$205^A20,IF(A20='Données projet'!$A$36,'Données projet'!$B$36,N19+M20-V19)))</f>
        <v>76.798314184456885</v>
      </c>
      <c r="O20" s="13">
        <f>N20*VLOOKUP('Données projet'!$B$9,Paramètres!$A$1:$I$89,3,0)*VLOOKUP('Données projet'!$B$9,Paramètres!$A$1:$I$89,5,0)</f>
        <v>45.92539188230522</v>
      </c>
      <c r="P20" s="13">
        <f t="shared" si="33"/>
        <v>13.556325295104831</v>
      </c>
      <c r="Q20" s="20">
        <f t="shared" si="2"/>
        <v>103.59732408398916</v>
      </c>
      <c r="R20" s="59">
        <f t="shared" si="0"/>
        <v>381.04176852843364</v>
      </c>
      <c r="S20" s="59">
        <f ca="1">AVERAGE(OFFSET($R$3,0,0,'Données projet'!$E$9+1,1))-AVERAGE(OFFSET($H$3,0,0,'Données projet'!$E$9+1,1))</f>
        <v>355.09162485318728</v>
      </c>
      <c r="T20" s="59">
        <f t="shared" si="34"/>
        <v>320.06572891923685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3.4425641025641025</v>
      </c>
      <c r="AI20" s="13">
        <f>IF('Données projet'!$A$62&gt;35,AI19+AH20-AQ19,IF(A20&lt;'Données projet'!$A$62,$AF$205^A20,IF(A20='Données projet'!$A$62,'Données projet'!$B$62,AI19+AH20-AQ19)))</f>
        <v>13.84422124990315</v>
      </c>
      <c r="AJ20" s="13">
        <f>AI20*VLOOKUP('Données projet'!$B$10,Paramètres!$A$1:$I$89,3,0)*VLOOKUP('Données projet'!$B$10,Paramètres!$A$1:$I$89,5,0)</f>
        <v>6.4790955449546734</v>
      </c>
      <c r="AK20" s="13">
        <f t="shared" si="35"/>
        <v>2.4021834741420709</v>
      </c>
      <c r="AL20" s="20">
        <f t="shared" si="4"/>
        <v>15.468227624926827</v>
      </c>
      <c r="AM20" s="59">
        <f t="shared" si="5"/>
        <v>292.9126720693713</v>
      </c>
      <c r="AN20" s="59">
        <f ca="1">AVERAGE(OFFSET($AM$3,0,0,'Données projet'!$E$10+1,1))-AVERAGE(OFFSET($H$3,0,0,'Données projet'!$E$10+1,1))</f>
        <v>246.72166704460847</v>
      </c>
      <c r="AO20" s="59">
        <f t="shared" si="36"/>
        <v>145.54897745089966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>
        <f>VLOOKUP(A20,'Données projet'!$A$87:$I$107,2,0)</f>
        <v>151.54916666666668</v>
      </c>
      <c r="BB20" s="12">
        <f>VLOOKUP(A20,'Données projet'!$A$87:$I$107,9,0)</f>
        <v>15.884551282051291</v>
      </c>
      <c r="BC20" s="12">
        <f t="array" ref="BC20">INDEX(BB:BB,MIN(IF(ISNUMBER(BB20:BB216),ROW(BB20:BB216),"")))</f>
        <v>15.884551282051291</v>
      </c>
      <c r="BD20" s="12">
        <f>IF('Données projet'!$A$88&gt;35,BD19+BC20-BL19,IF(A20&lt;'Données projet'!$A$88,$BA$205^A20,IF(A20='Données projet'!$A$88,'Données projet'!$B$88,BD19+BC20-BL19)))</f>
        <v>151.54916666666668</v>
      </c>
      <c r="BE20" s="13">
        <f>BD20*VLOOKUP('Données projet'!$B$11,Paramètres!$A$1:$I$89,3,0)*VLOOKUP('Données projet'!$B$11,Paramètres!$A$1:$I$89,5,0)</f>
        <v>73.525593700000002</v>
      </c>
      <c r="BF20" s="13">
        <f t="shared" si="37"/>
        <v>20.546467182840068</v>
      </c>
      <c r="BG20" s="20">
        <f t="shared" si="7"/>
        <v>163.84217270427979</v>
      </c>
      <c r="BH20" s="59">
        <f t="shared" si="8"/>
        <v>441.28661714872425</v>
      </c>
      <c r="BI20" s="59">
        <f ca="1">AVERAGE(OFFSET($BH$3,0,0,'Données projet'!$E$11+1,1))-AVERAGE(OFFSET($H$3,0,0,'Données projet'!$E$11+1,1))</f>
        <v>88.478637356802039</v>
      </c>
      <c r="BJ20" s="59">
        <f t="shared" si="38"/>
        <v>239.55411297259155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2.9369658119658117</v>
      </c>
      <c r="BY20" s="12">
        <f>IF('Données projet'!$A$114&gt;35,BY19+BX20-CG19,IF(A20&lt;'Données projet'!$A$114,$BV$205^A20,IF(A20='Données projet'!$A$114,'Données projet'!$B$114,BY19+BX20-CG19)))</f>
        <v>12.652550594818589</v>
      </c>
      <c r="BZ20" s="13">
        <f>BY20*VLOOKUP('Données projet'!$B$12,Paramètres!$A$1:$I$89,3,0)*VLOOKUP('Données projet'!$B$12,Paramètres!$A$1:$I$89,5,0)</f>
        <v>11.448027778191859</v>
      </c>
      <c r="CA20" s="13">
        <f t="shared" si="39"/>
        <v>3.9723406897783899</v>
      </c>
      <c r="CB20" s="20">
        <f t="shared" si="10"/>
        <v>26.857141748381519</v>
      </c>
      <c r="CC20" s="59">
        <f t="shared" si="11"/>
        <v>304.30158619282599</v>
      </c>
      <c r="CD20" s="59">
        <f ca="1">AVERAGE(OFFSET($CC$3,0,0,'Données projet'!$E$12+1,1))-AVERAGE(OFFSET($H$3,0,0,'Données projet'!$E$12+1,1))</f>
        <v>437.94387006020412</v>
      </c>
      <c r="CE20" s="59">
        <f t="shared" si="40"/>
        <v>213.95083535531376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1.995897435897436</v>
      </c>
      <c r="CT20" s="12">
        <f>IF('Données projet'!$A$140&gt;35,CT19+CS20-DB19,IF(A20&lt;'Données projet'!$A$140,$CQ$205^A20,IF(A20='Données projet'!$A$140,'Données projet'!$B$140,CT19+CS20-DB19)))</f>
        <v>10.165147913876792</v>
      </c>
      <c r="CU20" s="17">
        <f>CT20*VLOOKUP('Données projet'!$B$13,Paramètres!$A$1:$I$89,3,0)*VLOOKUP('Données projet'!$B$13,Paramètres!$A$1:$I$89,5,0)</f>
        <v>4.8894361465747371</v>
      </c>
      <c r="CV20" s="13">
        <f t="shared" si="41"/>
        <v>1.8731869428997689</v>
      </c>
      <c r="CW20" s="20">
        <f t="shared" si="13"/>
        <v>11.778235214168097</v>
      </c>
      <c r="CX20" s="59">
        <f t="shared" si="14"/>
        <v>289.22267965861255</v>
      </c>
      <c r="CY20" s="59">
        <f ca="1">AVERAGE(OFFSET($CX$3,0,0,'Données projet'!$E$13+1,1))-AVERAGE(OFFSET($H$3,0,0,'Données projet'!$E$13+1,1))</f>
        <v>258.42493116335032</v>
      </c>
      <c r="CZ20" s="59">
        <f t="shared" si="42"/>
        <v>102.46122697336466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11.2</v>
      </c>
      <c r="DO20" s="12">
        <f>IF('Données projet'!$A$166&gt;35,DO19+DN20-DW19,IF(A20&lt;'Données projet'!$A$166,$DL$205^A20,IF(A20='Données projet'!$A$166,'Données projet'!$B$166,DO19+DN20-DW19)))</f>
        <v>95.399999999999991</v>
      </c>
      <c r="DP20" s="17">
        <f>DO20*VLOOKUP('Données projet'!$B$14,Paramètres!$A$1:$I$89,3,0)*VLOOKUP('Données projet'!$B$14,Paramètres!$A$1:$I$89,5,0)</f>
        <v>83.341440000000006</v>
      </c>
      <c r="DQ20" s="13">
        <f t="shared" si="43"/>
        <v>22.952227742446681</v>
      </c>
      <c r="DR20" s="20">
        <f t="shared" si="16"/>
        <v>185.12813798476131</v>
      </c>
      <c r="DS20" s="59">
        <f t="shared" si="17"/>
        <v>462.5725824292058</v>
      </c>
      <c r="DT20" s="59">
        <f ca="1">AVERAGE(OFFSET($DS$3,0,0,'Données projet'!$E$14+1,1))-AVERAGE(OFFSET($H$3,0,0,'Données projet'!$E$14+1,1))</f>
        <v>354.24684313982857</v>
      </c>
      <c r="DU20" s="59">
        <f t="shared" si="44"/>
        <v>322.65043486962185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6.7360323886639675</v>
      </c>
      <c r="N21" s="13">
        <f>IF('Données projet'!$A$36&gt;35,N20+M21-V20,IF(A21&lt;'Données projet'!$A$36,$K$205^A21,IF(A21='Données projet'!$A$36,'Données projet'!$B$36,N20+M21-V20)))</f>
        <v>99.141326918115112</v>
      </c>
      <c r="O21" s="13">
        <f>N21*VLOOKUP('Données projet'!$B$9,Paramètres!$A$1:$I$89,3,0)*VLOOKUP('Données projet'!$B$9,Paramètres!$A$1:$I$89,5,0)</f>
        <v>59.286513497032843</v>
      </c>
      <c r="P21" s="13">
        <f t="shared" si="33"/>
        <v>16.987751837061783</v>
      </c>
      <c r="Q21" s="20">
        <f t="shared" si="2"/>
        <v>132.84434545688146</v>
      </c>
      <c r="R21" s="59">
        <f t="shared" si="0"/>
        <v>411.51101212354814</v>
      </c>
      <c r="S21" s="59">
        <f ca="1">AVERAGE(OFFSET($R$3,0,0,'Données projet'!$E$9+1,1))-AVERAGE(OFFSET($H$3,0,0,'Données projet'!$E$9+1,1))</f>
        <v>355.09162485318728</v>
      </c>
      <c r="T21" s="59">
        <f t="shared" si="34"/>
        <v>320.06572891923685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3.4425641025641025</v>
      </c>
      <c r="AI21" s="13">
        <f>IF('Données projet'!$A$62&gt;35,AI20+AH21-AQ20,IF(A21&lt;'Données projet'!$A$62,$AF$205^A21,IF(A21='Données projet'!$A$62,'Données projet'!$B$62,AI20+AH21-AQ20)))</f>
        <v>16.158534666859676</v>
      </c>
      <c r="AJ21" s="13">
        <f>AI21*VLOOKUP('Données projet'!$B$10,Paramètres!$A$1:$I$89,3,0)*VLOOKUP('Données projet'!$B$10,Paramètres!$A$1:$I$89,5,0)</f>
        <v>7.5621942240903284</v>
      </c>
      <c r="AK21" s="13">
        <f t="shared" si="35"/>
        <v>2.7537549140858508</v>
      </c>
      <c r="AL21" s="20">
        <f t="shared" si="4"/>
        <v>17.96694474899018</v>
      </c>
      <c r="AM21" s="59">
        <f t="shared" si="5"/>
        <v>296.63361141565684</v>
      </c>
      <c r="AN21" s="59">
        <f ca="1">AVERAGE(OFFSET($AM$3,0,0,'Données projet'!$E$10+1,1))-AVERAGE(OFFSET($H$3,0,0,'Données projet'!$E$10+1,1))</f>
        <v>246.72166704460847</v>
      </c>
      <c r="AO21" s="59">
        <f t="shared" si="36"/>
        <v>145.54897745089966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>
        <f>VLOOKUP(A21,'Données projet'!$A$87:$I$107,2,0)</f>
        <v>167.69666666666663</v>
      </c>
      <c r="BB21" s="12">
        <f>VLOOKUP(A21,'Données projet'!$A$87:$I$107,9,0)</f>
        <v>16.147499999999951</v>
      </c>
      <c r="BC21" s="12">
        <f t="array" ref="BC21">INDEX(BB:BB,MIN(IF(ISNUMBER(BB21:BB217),ROW(BB21:BB217),"")))</f>
        <v>16.147499999999951</v>
      </c>
      <c r="BD21" s="12">
        <f>IF('Données projet'!$A$88&gt;35,BD20+BC21-BL20,IF(A21&lt;'Données projet'!$A$88,$BA$205^A21,IF(A21='Données projet'!$A$88,'Données projet'!$B$88,BD20+BC21-BL20)))</f>
        <v>167.69666666666663</v>
      </c>
      <c r="BE21" s="13">
        <f>BD21*VLOOKUP('Données projet'!$B$11,Paramètres!$A$1:$I$89,3,0)*VLOOKUP('Données projet'!$B$11,Paramètres!$A$1:$I$89,5,0)</f>
        <v>81.359714799999978</v>
      </c>
      <c r="BF21" s="13">
        <f t="shared" si="37"/>
        <v>22.469314663239228</v>
      </c>
      <c r="BG21" s="20">
        <f t="shared" si="7"/>
        <v>180.83555964847494</v>
      </c>
      <c r="BH21" s="59">
        <f t="shared" si="8"/>
        <v>459.50222631514163</v>
      </c>
      <c r="BI21" s="59">
        <f ca="1">AVERAGE(OFFSET($BH$3,0,0,'Données projet'!$E$11+1,1))-AVERAGE(OFFSET($H$3,0,0,'Données projet'!$E$11+1,1))</f>
        <v>88.478637356802039</v>
      </c>
      <c r="BJ21" s="59">
        <f t="shared" si="38"/>
        <v>239.55411297259155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2.9369658119658117</v>
      </c>
      <c r="BY21" s="12">
        <f>IF('Données projet'!$A$114&gt;35,BY20+BX21-CG20,IF(A21&lt;'Données projet'!$A$114,$BV$205^A21,IF(A21='Données projet'!$A$114,'Données projet'!$B$114,BY20+BX21-CG20)))</f>
        <v>14.689671620826378</v>
      </c>
      <c r="BZ21" s="13">
        <f>BY21*VLOOKUP('Données projet'!$B$12,Paramètres!$A$1:$I$89,3,0)*VLOOKUP('Données projet'!$B$12,Paramètres!$A$1:$I$89,5,0)</f>
        <v>13.291214882523706</v>
      </c>
      <c r="CA21" s="13">
        <f t="shared" si="39"/>
        <v>4.532458283867939</v>
      </c>
      <c r="CB21" s="20">
        <f t="shared" si="10"/>
        <v>31.042897431465445</v>
      </c>
      <c r="CC21" s="59">
        <f t="shared" si="11"/>
        <v>309.70956409813215</v>
      </c>
      <c r="CD21" s="59">
        <f ca="1">AVERAGE(OFFSET($CC$3,0,0,'Données projet'!$E$12+1,1))-AVERAGE(OFFSET($H$3,0,0,'Données projet'!$E$12+1,1))</f>
        <v>437.94387006020412</v>
      </c>
      <c r="CE21" s="59">
        <f t="shared" si="40"/>
        <v>213.95083535531376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1.995897435897436</v>
      </c>
      <c r="CT21" s="12">
        <f>IF('Données projet'!$A$140&gt;35,CT20+CS21-DB20,IF(A21&lt;'Données projet'!$A$140,$CQ$205^A21,IF(A21='Données projet'!$A$140,'Données projet'!$B$140,CT20+CS21-DB20)))</f>
        <v>11.650798332353446</v>
      </c>
      <c r="CU21" s="17">
        <f>CT21*VLOOKUP('Données projet'!$B$13,Paramètres!$A$1:$I$89,3,0)*VLOOKUP('Données projet'!$B$13,Paramètres!$A$1:$I$89,5,0)</f>
        <v>5.6040339978620075</v>
      </c>
      <c r="CV21" s="13">
        <f t="shared" si="41"/>
        <v>2.1131354586675957</v>
      </c>
      <c r="CW21" s="20">
        <f t="shared" si="13"/>
        <v>13.440736803455726</v>
      </c>
      <c r="CX21" s="59">
        <f t="shared" si="14"/>
        <v>292.10740347012239</v>
      </c>
      <c r="CY21" s="59">
        <f ca="1">AVERAGE(OFFSET($CX$3,0,0,'Données projet'!$E$13+1,1))-AVERAGE(OFFSET($H$3,0,0,'Données projet'!$E$13+1,1))</f>
        <v>258.42493116335032</v>
      </c>
      <c r="CZ21" s="59">
        <f t="shared" si="42"/>
        <v>102.46122697336466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11.2</v>
      </c>
      <c r="DO21" s="12">
        <f>IF('Données projet'!$A$166&gt;35,DO20+DN21-DW20,IF(A21&lt;'Données projet'!$A$166,$DL$205^A21,IF(A21='Données projet'!$A$166,'Données projet'!$B$166,DO20+DN21-DW20)))</f>
        <v>106.6</v>
      </c>
      <c r="DP21" s="17">
        <f>DO21*VLOOKUP('Données projet'!$B$14,Paramètres!$A$1:$I$89,3,0)*VLOOKUP('Données projet'!$B$14,Paramètres!$A$1:$I$89,5,0)</f>
        <v>93.125760000000014</v>
      </c>
      <c r="DQ21" s="13">
        <f t="shared" si="43"/>
        <v>25.317578585717406</v>
      </c>
      <c r="DR21" s="20">
        <f t="shared" si="16"/>
        <v>206.2888147034578</v>
      </c>
      <c r="DS21" s="59">
        <f t="shared" si="17"/>
        <v>484.95548137012452</v>
      </c>
      <c r="DT21" s="59">
        <f ca="1">AVERAGE(OFFSET($DS$3,0,0,'Données projet'!$E$14+1,1))-AVERAGE(OFFSET($H$3,0,0,'Données projet'!$E$14+1,1))</f>
        <v>354.24684313982857</v>
      </c>
      <c r="DU21" s="59">
        <f t="shared" si="44"/>
        <v>322.65043486962185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127.98461538461538</v>
      </c>
      <c r="L22" s="12">
        <f>VLOOKUP(A22,'Données projet'!$A$35:$I$55,9,0)</f>
        <v>6.7360323886639675</v>
      </c>
      <c r="M22" s="12">
        <f t="array" ref="M22">INDEX(L:L,MIN(IF(ISNUMBER(L22:L218),ROW(L22:L218),"")))</f>
        <v>6.7360323886639675</v>
      </c>
      <c r="N22" s="13">
        <f>IF('Données projet'!$A$36&gt;35,N21+M22-V21,IF(A22&lt;'Données projet'!$A$36,$K$205^A22,IF(A22='Données projet'!$A$36,'Données projet'!$B$36,N21+M22-V21)))</f>
        <v>127.98461538461538</v>
      </c>
      <c r="O22" s="13">
        <f>N22*VLOOKUP('Données projet'!$B$9,Paramètres!$A$1:$I$89,3,0)*VLOOKUP('Données projet'!$B$9,Paramètres!$A$1:$I$89,5,0)</f>
        <v>76.534800000000004</v>
      </c>
      <c r="P22" s="13">
        <f t="shared" si="33"/>
        <v>21.287753590702248</v>
      </c>
      <c r="Q22" s="20">
        <f t="shared" si="2"/>
        <v>170.37428083713976</v>
      </c>
      <c r="R22" s="59">
        <f t="shared" si="0"/>
        <v>450.26316972602865</v>
      </c>
      <c r="S22" s="59">
        <f ca="1">AVERAGE(OFFSET($R$3,0,0,'Données projet'!$E$9+1,1))-AVERAGE(OFFSET($H$3,0,0,'Données projet'!$E$9+1,1))</f>
        <v>355.09162485318728</v>
      </c>
      <c r="T22" s="59">
        <f t="shared" si="34"/>
        <v>320.06572891923685</v>
      </c>
      <c r="U22" s="15">
        <f>IF(ISNA(VLOOKUP(A22,'Données projet'!$A$35:$I$55,3,0)),0,VLOOKUP(A22,'Données projet'!$A$35:$I$55,3,0))</f>
        <v>1</v>
      </c>
      <c r="V22" s="15">
        <f>IF(ISNA(VLOOKUP(A22,'Données projet'!$A$35:$I$55,4,0)),0,VLOOKUP(A22,'Données projet'!$A$35:$I$55,4,0))</f>
        <v>46.53846153846154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0.25200000000000006</v>
      </c>
      <c r="Y22" s="16">
        <f>IF(ISNA(VLOOKUP(A22,'Données projet'!$A$35:$I$55,7,0)),0%,VLOOKUP(A22,'Données projet'!$A$35:$I$55,7,0))</f>
        <v>0.44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9.2667777110813798</v>
      </c>
      <c r="AB22" s="21">
        <f>EXP(-LN(2)/2)*AB21+(1-EXP(-LN(2)/2))/(LN(2)/2)*V22*Y22*VLOOKUP('Données projet'!$B$9,Paramètres!$A$1:$I$89,3,0)*0.475*44/12</f>
        <v>13.864410929671079</v>
      </c>
      <c r="AC22" s="22">
        <f t="shared" si="3"/>
        <v>23.131188640752459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3.4425641025641025</v>
      </c>
      <c r="AI22" s="13">
        <f>IF('Données projet'!$A$62&gt;35,AI21+AH22-AQ21,IF(A22&lt;'Données projet'!$A$62,$AF$205^A22,IF(A22='Données projet'!$A$62,'Données projet'!$B$62,AI21+AH22-AQ21)))</f>
        <v>18.859727670267663</v>
      </c>
      <c r="AJ22" s="13">
        <f>AI22*VLOOKUP('Données projet'!$B$10,Paramètres!$A$1:$I$89,3,0)*VLOOKUP('Données projet'!$B$10,Paramètres!$A$1:$I$89,5,0)</f>
        <v>8.8263525496852662</v>
      </c>
      <c r="AK22" s="13">
        <f t="shared" si="35"/>
        <v>3.1567805742066648</v>
      </c>
      <c r="AL22" s="20">
        <f t="shared" si="4"/>
        <v>20.870623524111782</v>
      </c>
      <c r="AM22" s="59">
        <f t="shared" si="5"/>
        <v>300.75951241300066</v>
      </c>
      <c r="AN22" s="59">
        <f ca="1">AVERAGE(OFFSET($AM$3,0,0,'Données projet'!$E$10+1,1))-AVERAGE(OFFSET($H$3,0,0,'Données projet'!$E$10+1,1))</f>
        <v>246.72166704460847</v>
      </c>
      <c r="AO22" s="59">
        <f t="shared" si="36"/>
        <v>145.54897745089966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>
        <f>VLOOKUP(A22,'Données projet'!$A$87:$I$107,2,0)</f>
        <v>184.00442307692299</v>
      </c>
      <c r="BB22" s="12">
        <f>VLOOKUP(A22,'Données projet'!$A$87:$I$107,9,0)</f>
        <v>16.30775641025636</v>
      </c>
      <c r="BC22" s="12">
        <f t="array" ref="BC22">INDEX(BB:BB,MIN(IF(ISNUMBER(BB22:BB218),ROW(BB22:BB218),"")))</f>
        <v>16.30775641025636</v>
      </c>
      <c r="BD22" s="12">
        <f>IF('Données projet'!$A$88&gt;35,BD21+BC22-BL21,IF(A22&lt;'Données projet'!$A$88,$BA$205^A22,IF(A22='Données projet'!$A$88,'Données projet'!$B$88,BD21+BC22-BL21)))</f>
        <v>184.00442307692299</v>
      </c>
      <c r="BE22" s="13">
        <f>BD22*VLOOKUP('Données projet'!$B$11,Paramètres!$A$1:$I$89,3,0)*VLOOKUP('Données projet'!$B$11,Paramètres!$A$1:$I$89,5,0)</f>
        <v>89.271585899999963</v>
      </c>
      <c r="BF22" s="13">
        <f t="shared" si="37"/>
        <v>24.389466052266357</v>
      </c>
      <c r="BG22" s="20">
        <f t="shared" si="7"/>
        <v>197.95966548353047</v>
      </c>
      <c r="BH22" s="59">
        <f t="shared" si="8"/>
        <v>477.84855437241936</v>
      </c>
      <c r="BI22" s="59">
        <f ca="1">AVERAGE(OFFSET($BH$3,0,0,'Données projet'!$E$11+1,1))-AVERAGE(OFFSET($H$3,0,0,'Données projet'!$E$11+1,1))</f>
        <v>88.478637356802039</v>
      </c>
      <c r="BJ22" s="59">
        <f t="shared" si="38"/>
        <v>239.55411297259155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2.9369658119658117</v>
      </c>
      <c r="BY22" s="12">
        <f>IF('Données projet'!$A$114&gt;35,BY21+BX22-CG21,IF(A22&lt;'Données projet'!$A$114,$BV$205^A22,IF(A22='Données projet'!$A$114,'Données projet'!$B$114,BY21+BX22-CG21)))</f>
        <v>17.054778853528529</v>
      </c>
      <c r="BZ22" s="13">
        <f>BY22*VLOOKUP('Données projet'!$B$12,Paramètres!$A$1:$I$89,3,0)*VLOOKUP('Données projet'!$B$12,Paramètres!$A$1:$I$89,5,0)</f>
        <v>15.431163906672614</v>
      </c>
      <c r="CA22" s="13">
        <f t="shared" si="39"/>
        <v>5.1715549343148535</v>
      </c>
      <c r="CB22" s="20">
        <f t="shared" si="10"/>
        <v>35.883068648053175</v>
      </c>
      <c r="CC22" s="59">
        <f t="shared" si="11"/>
        <v>315.77195753694201</v>
      </c>
      <c r="CD22" s="59">
        <f ca="1">AVERAGE(OFFSET($CC$3,0,0,'Données projet'!$E$12+1,1))-AVERAGE(OFFSET($H$3,0,0,'Données projet'!$E$12+1,1))</f>
        <v>437.94387006020412</v>
      </c>
      <c r="CE22" s="59">
        <f t="shared" si="40"/>
        <v>213.95083535531376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1.995897435897436</v>
      </c>
      <c r="CT22" s="12">
        <f>IF('Données projet'!$A$140&gt;35,CT21+CS22-DB21,IF(A22&lt;'Données projet'!$A$140,$CQ$205^A22,IF(A22='Données projet'!$A$140,'Données projet'!$B$140,CT21+CS22-DB21)))</f>
        <v>13.353578613043595</v>
      </c>
      <c r="CU22" s="17">
        <f>CT22*VLOOKUP('Données projet'!$B$13,Paramètres!$A$1:$I$89,3,0)*VLOOKUP('Données projet'!$B$13,Paramètres!$A$1:$I$89,5,0)</f>
        <v>6.4230713128739696</v>
      </c>
      <c r="CV22" s="13">
        <f t="shared" si="41"/>
        <v>2.3838205170092546</v>
      </c>
      <c r="CW22" s="20">
        <f t="shared" si="13"/>
        <v>15.338669937046612</v>
      </c>
      <c r="CX22" s="59">
        <f t="shared" si="14"/>
        <v>295.22755882593549</v>
      </c>
      <c r="CY22" s="59">
        <f ca="1">AVERAGE(OFFSET($CX$3,0,0,'Données projet'!$E$13+1,1))-AVERAGE(OFFSET($H$3,0,0,'Données projet'!$E$13+1,1))</f>
        <v>258.42493116335032</v>
      </c>
      <c r="CZ22" s="59">
        <f t="shared" si="42"/>
        <v>102.46122697336466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11.2</v>
      </c>
      <c r="DO22" s="12">
        <f>IF('Données projet'!$A$166&gt;35,DO21+DN22-DW21,IF(A22&lt;'Données projet'!$A$166,$DL$205^A22,IF(A22='Données projet'!$A$166,'Données projet'!$B$166,DO21+DN22-DW21)))</f>
        <v>117.8</v>
      </c>
      <c r="DP22" s="17">
        <f>DO22*VLOOKUP('Données projet'!$B$14,Paramètres!$A$1:$I$89,3,0)*VLOOKUP('Données projet'!$B$14,Paramètres!$A$1:$I$89,5,0)</f>
        <v>102.91008000000001</v>
      </c>
      <c r="DQ22" s="13">
        <f t="shared" si="43"/>
        <v>27.654122306790427</v>
      </c>
      <c r="DR22" s="20">
        <f t="shared" si="16"/>
        <v>227.39931901765999</v>
      </c>
      <c r="DS22" s="59">
        <f t="shared" si="17"/>
        <v>507.28820790654885</v>
      </c>
      <c r="DT22" s="59">
        <f ca="1">AVERAGE(OFFSET($DS$3,0,0,'Données projet'!$E$14+1,1))-AVERAGE(OFFSET($H$3,0,0,'Données projet'!$E$14+1,1))</f>
        <v>354.24684313982857</v>
      </c>
      <c r="DU22" s="59">
        <f t="shared" si="44"/>
        <v>322.65043486962185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15.7</v>
      </c>
      <c r="N23" s="13">
        <f>IF('Données projet'!$A$36&gt;35,N22+M23-V22,IF(A23&lt;'Données projet'!$A$36,$K$205^A23,IF(A23='Données projet'!$A$36,'Données projet'!$B$36,N22+M23-V22)))</f>
        <v>97.146153846153823</v>
      </c>
      <c r="O23" s="13">
        <f>N23*VLOOKUP('Données projet'!$B$9,Paramètres!$A$1:$I$89,3,0)*VLOOKUP('Données projet'!$B$9,Paramètres!$A$1:$I$89,5,0)</f>
        <v>58.093399999999988</v>
      </c>
      <c r="P23" s="13">
        <f t="shared" si="33"/>
        <v>16.68531848887627</v>
      </c>
      <c r="Q23" s="20">
        <f t="shared" si="2"/>
        <v>130.23960136812613</v>
      </c>
      <c r="R23" s="59">
        <f t="shared" si="0"/>
        <v>411.35071247923725</v>
      </c>
      <c r="S23" s="59">
        <f ca="1">AVERAGE(OFFSET($R$3,0,0,'Données projet'!$E$9+1,1))-AVERAGE(OFFSET($H$3,0,0,'Données projet'!$E$9+1,1))</f>
        <v>355.09162485318728</v>
      </c>
      <c r="T23" s="59">
        <f t="shared" si="34"/>
        <v>320.06572891923685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9.0133771872531998</v>
      </c>
      <c r="AB23" s="21">
        <f>EXP(-LN(2)/2)*AB22+(1-EXP(-LN(2)/2))/(LN(2)/2)*V23*Y23*VLOOKUP('Données projet'!$B$9,Paramètres!$A$1:$I$89,3,0)*0.475*44/12</f>
        <v>9.8036189855273062</v>
      </c>
      <c r="AC23" s="22">
        <f t="shared" si="3"/>
        <v>18.816996172780506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3.4425641025641025</v>
      </c>
      <c r="AI23" s="13">
        <f>IF('Données projet'!$A$62&gt;35,AI22+AH23-AQ22,IF(A23&lt;'Données projet'!$A$62,$AF$205^A23,IF(A23='Données projet'!$A$62,'Données projet'!$B$62,AI22+AH23-AQ22)))</f>
        <v>22.012474220583886</v>
      </c>
      <c r="AJ23" s="13">
        <f>AI23*VLOOKUP('Données projet'!$B$10,Paramètres!$A$1:$I$89,3,0)*VLOOKUP('Données projet'!$B$10,Paramètres!$A$1:$I$89,5,0)</f>
        <v>10.301837935233259</v>
      </c>
      <c r="AK23" s="13">
        <f t="shared" si="35"/>
        <v>3.6187910342764393</v>
      </c>
      <c r="AL23" s="20">
        <f t="shared" si="4"/>
        <v>24.245095455229389</v>
      </c>
      <c r="AM23" s="59">
        <f t="shared" si="5"/>
        <v>305.35620656634052</v>
      </c>
      <c r="AN23" s="59">
        <f ca="1">AVERAGE(OFFSET($AM$3,0,0,'Données projet'!$E$10+1,1))-AVERAGE(OFFSET($H$3,0,0,'Données projet'!$E$10+1,1))</f>
        <v>246.72166704460847</v>
      </c>
      <c r="AO23" s="59">
        <f t="shared" si="36"/>
        <v>145.54897745089966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200.36974358974356</v>
      </c>
      <c r="BB23" s="12">
        <f>VLOOKUP(A23,'Données projet'!$A$87:$I$107,9,0)</f>
        <v>16.365320512820574</v>
      </c>
      <c r="BC23" s="12">
        <f t="array" ref="BC23">INDEX(BB:BB,MIN(IF(ISNUMBER(BB23:BB219),ROW(BB23:BB219),"")))</f>
        <v>16.365320512820574</v>
      </c>
      <c r="BD23" s="12">
        <f>IF('Données projet'!$A$88&gt;35,BD22+BC23-BL22,IF(A23&lt;'Données projet'!$A$88,$BA$205^A23,IF(A23='Données projet'!$A$88,'Données projet'!$B$88,BD22+BC23-BL22)))</f>
        <v>200.36974358974356</v>
      </c>
      <c r="BE23" s="13">
        <f>BD23*VLOOKUP('Données projet'!$B$11,Paramètres!$A$1:$I$89,3,0)*VLOOKUP('Données projet'!$B$11,Paramètres!$A$1:$I$89,5,0)</f>
        <v>97.21138479999999</v>
      </c>
      <c r="BF23" s="13">
        <f t="shared" si="37"/>
        <v>26.296558852524687</v>
      </c>
      <c r="BG23" s="20">
        <f t="shared" si="7"/>
        <v>215.10966852814713</v>
      </c>
      <c r="BH23" s="59">
        <f t="shared" si="8"/>
        <v>496.22077963925824</v>
      </c>
      <c r="BI23" s="59">
        <f ca="1">AVERAGE(OFFSET($BH$3,0,0,'Données projet'!$E$11+1,1))-AVERAGE(OFFSET($H$3,0,0,'Données projet'!$E$11+1,1))</f>
        <v>88.478637356802039</v>
      </c>
      <c r="BJ23" s="59">
        <f t="shared" si="38"/>
        <v>239.55411297259155</v>
      </c>
      <c r="BK23" s="15" t="str">
        <f>IF(ISNA(VLOOKUP(A23,'Données projet'!$A$87:$I$107,3,0)),0,VLOOKUP(A23,'Données projet'!$A$87:$I$107,3,0))</f>
        <v>CR</v>
      </c>
      <c r="BL23" s="15">
        <f>IF(ISNA(VLOOKUP(A23,'Données projet'!$A$87:$I$107,4,0)),0,VLOOKUP(A23,'Données projet'!$A$87:$I$107,4,0))</f>
        <v>200.36974358974356</v>
      </c>
      <c r="BM23" s="16">
        <f>IF(ISNA(VLOOKUP(A23,'Données projet'!$A$87:$I$107,5,0)),0%,VLOOKUP(A23,'Données projet'!$A$87:$I$107,5,0)*VLOOKUP('Données projet'!$B$11,Paramètres!$A$1:$I$89,7,0))</f>
        <v>0.42</v>
      </c>
      <c r="BN23" s="16">
        <f>IF(ISNA(VLOOKUP(A23,'Données projet'!$A$87:$I$107,6,0)),0%,VLOOKUP(A23,'Données projet'!$A$87:$I$107,6,0)*VLOOKUP('Données projet'!$B$11,Paramètres!$A$1:$I$89,7,0))</f>
        <v>0.09</v>
      </c>
      <c r="BO23" s="16">
        <f>IF(ISNA(VLOOKUP(A23,'Données projet'!$A$87:$I$107,7,0)),0%,VLOOKUP(A23,'Données projet'!$A$87:$I$107,7,0))</f>
        <v>0.15</v>
      </c>
      <c r="BP23" s="21">
        <f>EXP(-LN(2)/35)*BP22+(1-EXP(-LN(2)/35))/(LN(2)/35)*BL23*BM23*VLOOKUP('Données projet'!$B$11,Paramètres!$A$1:$I$89,3,0)*0.475*44/12</f>
        <v>45.135008708907456</v>
      </c>
      <c r="BQ23" s="21">
        <f>EXP(-LN(2)/25)*BQ22+(1-EXP(-LN(2)/25))/(LN(2)/25)*Calculateur!BL23*Calculateur!BN23*VLOOKUP('Données projet'!$B$11,Paramètres!$A$1:$I$89,3,0)*0.475*44/12</f>
        <v>9.6337060675358313</v>
      </c>
      <c r="BR23" s="21">
        <f>EXP(-LN(2)/2)*BR22+(1-EXP(-LN(2)/2))/(LN(2)/2)*BL23*BO23*VLOOKUP('Données projet'!$B$11,Paramètres!$A$1:$I$89,3,0)*0.475*44/12</f>
        <v>13.758233694729169</v>
      </c>
      <c r="BS23" s="22">
        <f t="shared" si="9"/>
        <v>68.52694847117246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2.9369658119658117</v>
      </c>
      <c r="BY23" s="12">
        <f>IF('Données projet'!$A$114&gt;35,BY22+BX23-CG22,IF(A23&lt;'Données projet'!$A$114,$BV$205^A23,IF(A23='Données projet'!$A$114,'Données projet'!$B$114,BY22+BX23-CG22)))</f>
        <v>19.800679637411868</v>
      </c>
      <c r="BZ23" s="13">
        <f>BY23*VLOOKUP('Données projet'!$B$12,Paramètres!$A$1:$I$89,3,0)*VLOOKUP('Données projet'!$B$12,Paramètres!$A$1:$I$89,5,0)</f>
        <v>17.915654935930256</v>
      </c>
      <c r="CA23" s="13">
        <f t="shared" si="39"/>
        <v>5.9007670371347549</v>
      </c>
      <c r="CB23" s="20">
        <f t="shared" si="10"/>
        <v>41.480268269754895</v>
      </c>
      <c r="CC23" s="59">
        <f t="shared" si="11"/>
        <v>322.59137938086604</v>
      </c>
      <c r="CD23" s="59">
        <f ca="1">AVERAGE(OFFSET($CC$3,0,0,'Données projet'!$E$12+1,1))-AVERAGE(OFFSET($H$3,0,0,'Données projet'!$E$12+1,1))</f>
        <v>437.94387006020412</v>
      </c>
      <c r="CE23" s="59">
        <f t="shared" si="40"/>
        <v>213.95083535531376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1.995897435897436</v>
      </c>
      <c r="CT23" s="12">
        <f>IF('Données projet'!$A$140&gt;35,CT22+CS23-DB22,IF(A23&lt;'Données projet'!$A$140,$CQ$205^A23,IF(A23='Données projet'!$A$140,'Données projet'!$B$140,CT22+CS23-DB22)))</f>
        <v>15.305222585439372</v>
      </c>
      <c r="CU23" s="17">
        <f>CT23*VLOOKUP('Données projet'!$B$13,Paramètres!$A$1:$I$89,3,0)*VLOOKUP('Données projet'!$B$13,Paramètres!$A$1:$I$89,5,0)</f>
        <v>7.3618120635963384</v>
      </c>
      <c r="CV23" s="13">
        <f t="shared" si="41"/>
        <v>2.6891793585714292</v>
      </c>
      <c r="CW23" s="20">
        <f t="shared" si="13"/>
        <v>17.505476726942195</v>
      </c>
      <c r="CX23" s="59">
        <f t="shared" si="14"/>
        <v>298.61658783805336</v>
      </c>
      <c r="CY23" s="59">
        <f ca="1">AVERAGE(OFFSET($CX$3,0,0,'Données projet'!$E$13+1,1))-AVERAGE(OFFSET($H$3,0,0,'Données projet'!$E$13+1,1))</f>
        <v>258.42493116335032</v>
      </c>
      <c r="CZ23" s="59">
        <f t="shared" si="42"/>
        <v>102.46122697336466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129</v>
      </c>
      <c r="DM23" s="12">
        <f>VLOOKUP(A23,'Données projet'!$A$165:$I$185,9,0)</f>
        <v>11.2</v>
      </c>
      <c r="DN23" s="12">
        <f t="array" ref="DN23">INDEX(DM:DM,MIN(IF(ISNUMBER(DM23:DM219),ROW(DM23:DM219),"")))</f>
        <v>11.2</v>
      </c>
      <c r="DO23" s="12">
        <f>IF('Données projet'!$A$166&gt;35,DO22+DN23-DW22,IF(A23&lt;'Données projet'!$A$166,$DL$205^A23,IF(A23='Données projet'!$A$166,'Données projet'!$B$166,DO22+DN23-DW22)))</f>
        <v>129</v>
      </c>
      <c r="DP23" s="17">
        <f>DO23*VLOOKUP('Données projet'!$B$14,Paramètres!$A$1:$I$89,3,0)*VLOOKUP('Données projet'!$B$14,Paramètres!$A$1:$I$89,5,0)</f>
        <v>112.69440000000002</v>
      </c>
      <c r="DQ23" s="13">
        <f t="shared" si="43"/>
        <v>29.964909381330632</v>
      </c>
      <c r="DR23" s="20">
        <f t="shared" si="16"/>
        <v>248.46496383915087</v>
      </c>
      <c r="DS23" s="59">
        <f t="shared" si="17"/>
        <v>529.57607495026195</v>
      </c>
      <c r="DT23" s="59">
        <f ca="1">AVERAGE(OFFSET($DS$3,0,0,'Données projet'!$E$14+1,1))-AVERAGE(OFFSET($H$3,0,0,'Données projet'!$E$14+1,1))</f>
        <v>354.24684313982857</v>
      </c>
      <c r="DU23" s="59">
        <f t="shared" si="44"/>
        <v>322.65043486962185</v>
      </c>
      <c r="DV23" s="15">
        <f>IF(ISNA(VLOOKUP(A23,'Données projet'!$A$165:$I$185,3,0)),0,VLOOKUP(A23,'Données projet'!$A$165:$I$185,3,0))</f>
        <v>1</v>
      </c>
      <c r="DW23" s="15" t="str">
        <f>IF(ISNA(VLOOKUP(A23,'Données projet'!$A$165:$I$185,4,0)),0,VLOOKUP(A23,'Données projet'!$A$165:$I$185,4,0))</f>
        <v>54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15.7</v>
      </c>
      <c r="N24" s="13">
        <f>IF('Données projet'!$A$36&gt;35,N23+M24-V23,IF(A24&lt;'Données projet'!$A$36,$K$205^A24,IF(A24='Données projet'!$A$36,'Données projet'!$B$36,N23+M24-V23)))</f>
        <v>112.84615384615383</v>
      </c>
      <c r="O24" s="13">
        <f>N24*VLOOKUP('Données projet'!$B$9,Paramètres!$A$1:$I$89,3,0)*VLOOKUP('Données projet'!$B$9,Paramètres!$A$1:$I$89,5,0)</f>
        <v>67.481999999999985</v>
      </c>
      <c r="P24" s="13">
        <f t="shared" si="33"/>
        <v>19.046822454976283</v>
      </c>
      <c r="Q24" s="20">
        <f t="shared" si="2"/>
        <v>150.70436577575032</v>
      </c>
      <c r="R24" s="59">
        <f t="shared" si="0"/>
        <v>433.03769910908363</v>
      </c>
      <c r="S24" s="59">
        <f ca="1">AVERAGE(OFFSET($R$3,0,0,'Données projet'!$E$9+1,1))-AVERAGE(OFFSET($H$3,0,0,'Données projet'!$E$9+1,1))</f>
        <v>355.09162485318728</v>
      </c>
      <c r="T24" s="59">
        <f t="shared" si="34"/>
        <v>320.06572891923685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8.7669059140748544</v>
      </c>
      <c r="AB24" s="21">
        <f>EXP(-LN(2)/2)*AB23+(1-EXP(-LN(2)/2))/(LN(2)/2)*V24*Y24*VLOOKUP('Données projet'!$B$9,Paramètres!$A$1:$I$89,3,0)*0.475*44/12</f>
        <v>6.9322054648355405</v>
      </c>
      <c r="AC24" s="22">
        <f t="shared" si="3"/>
        <v>15.699111378910395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3.4425641025641025</v>
      </c>
      <c r="AI24" s="13">
        <f>IF('Données projet'!$A$62&gt;35,AI23+AH24-AQ23,IF(A24&lt;'Données projet'!$A$62,$AF$205^A24,IF(A24='Données projet'!$A$62,'Données projet'!$B$62,AI23+AH24-AQ23)))</f>
        <v>25.692259707215236</v>
      </c>
      <c r="AJ24" s="13">
        <f>AI24*VLOOKUP('Données projet'!$B$10,Paramètres!$A$1:$I$89,3,0)*VLOOKUP('Données projet'!$B$10,Paramètres!$A$1:$I$89,5,0)</f>
        <v>12.023977542976729</v>
      </c>
      <c r="AK24" s="13">
        <f t="shared" si="35"/>
        <v>4.1484190116858626</v>
      </c>
      <c r="AL24" s="20">
        <f t="shared" si="4"/>
        <v>28.166923999370677</v>
      </c>
      <c r="AM24" s="59">
        <f t="shared" si="5"/>
        <v>310.500257332704</v>
      </c>
      <c r="AN24" s="59">
        <f ca="1">AVERAGE(OFFSET($AM$3,0,0,'Données projet'!$E$10+1,1))-AVERAGE(OFFSET($H$3,0,0,'Données projet'!$E$10+1,1))</f>
        <v>246.72166704460847</v>
      </c>
      <c r="AO24" s="59">
        <f t="shared" si="36"/>
        <v>145.54897745089966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>
        <f>BD24*VLOOKUP('Données projet'!$B$11,Paramètres!$A$1:$I$89,3,0)*VLOOKUP('Données projet'!$B$11,Paramètres!$A$1:$I$89,5,0)</f>
        <v>0</v>
      </c>
      <c r="BF24" s="13" t="e">
        <f t="shared" si="37"/>
        <v>#NUM!</v>
      </c>
      <c r="BG24" s="20" t="e">
        <f t="shared" si="7"/>
        <v>#NUM!</v>
      </c>
      <c r="BH24" s="59" t="e">
        <f t="shared" si="8"/>
        <v>#NUM!</v>
      </c>
      <c r="BI24" s="59">
        <f ca="1">AVERAGE(OFFSET($BH$3,0,0,'Données projet'!$E$11+1,1))-AVERAGE(OFFSET($H$3,0,0,'Données projet'!$E$11+1,1))</f>
        <v>88.478637356802039</v>
      </c>
      <c r="BJ24" s="59">
        <f t="shared" si="38"/>
        <v>239.55411297259155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44.249938717762767</v>
      </c>
      <c r="BQ24" s="21">
        <f>EXP(-LN(2)/25)*BQ23+(1-EXP(-LN(2)/25))/(LN(2)/25)*Calculateur!BL24*Calculateur!BN24*VLOOKUP('Données projet'!$B$11,Paramètres!$A$1:$I$89,3,0)*0.475*44/12</f>
        <v>9.3702718685044797</v>
      </c>
      <c r="BR24" s="21">
        <f>EXP(-LN(2)/2)*BR23+(1-EXP(-LN(2)/2))/(LN(2)/2)*BL24*BO24*VLOOKUP('Données projet'!$B$11,Paramètres!$A$1:$I$89,3,0)*0.475*44/12</f>
        <v>9.728540342692245</v>
      </c>
      <c r="BS24" s="22">
        <f t="shared" si="9"/>
        <v>63.34875092895949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2.9369658119658117</v>
      </c>
      <c r="BY24" s="12">
        <f>IF('Données projet'!$A$114&gt;35,BY23+BX24-CG23,IF(A24&lt;'Données projet'!$A$114,$BV$205^A24,IF(A24='Données projet'!$A$114,'Données projet'!$B$114,BY23+BX24-CG23)))</f>
        <v>22.98868355143173</v>
      </c>
      <c r="BZ24" s="13">
        <f>BY24*VLOOKUP('Données projet'!$B$12,Paramètres!$A$1:$I$89,3,0)*VLOOKUP('Données projet'!$B$12,Paramètres!$A$1:$I$89,5,0)</f>
        <v>20.800160877335429</v>
      </c>
      <c r="CA24" s="13">
        <f t="shared" si="39"/>
        <v>6.732801269401782</v>
      </c>
      <c r="CB24" s="20">
        <f t="shared" si="10"/>
        <v>47.953242405567302</v>
      </c>
      <c r="CC24" s="59">
        <f t="shared" si="11"/>
        <v>330.28657573890064</v>
      </c>
      <c r="CD24" s="59">
        <f ca="1">AVERAGE(OFFSET($CC$3,0,0,'Données projet'!$E$12+1,1))-AVERAGE(OFFSET($H$3,0,0,'Données projet'!$E$12+1,1))</f>
        <v>437.94387006020412</v>
      </c>
      <c r="CE24" s="59">
        <f t="shared" si="40"/>
        <v>213.95083535531376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1.995897435897436</v>
      </c>
      <c r="CT24" s="12">
        <f>IF('Données projet'!$A$140&gt;35,CT23+CS24-DB23,IF(A24&lt;'Données projet'!$A$140,$CQ$205^A24,IF(A24='Données projet'!$A$140,'Données projet'!$B$140,CT23+CS24-DB23)))</f>
        <v>17.54210202207754</v>
      </c>
      <c r="CU24" s="17">
        <f>CT24*VLOOKUP('Données projet'!$B$13,Paramètres!$A$1:$I$89,3,0)*VLOOKUP('Données projet'!$B$13,Paramètres!$A$1:$I$89,5,0)</f>
        <v>8.4377510726192977</v>
      </c>
      <c r="CV24" s="13">
        <f t="shared" si="41"/>
        <v>3.0336535703785001</v>
      </c>
      <c r="CW24" s="20">
        <f t="shared" si="13"/>
        <v>19.979363086554496</v>
      </c>
      <c r="CX24" s="59">
        <f t="shared" si="14"/>
        <v>302.3126964198878</v>
      </c>
      <c r="CY24" s="59">
        <f ca="1">AVERAGE(OFFSET($CX$3,0,0,'Données projet'!$E$13+1,1))-AVERAGE(OFFSET($H$3,0,0,'Données projet'!$E$13+1,1))</f>
        <v>258.42493116335032</v>
      </c>
      <c r="CZ24" s="59">
        <f t="shared" si="42"/>
        <v>102.46122697336466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10.199999999999999</v>
      </c>
      <c r="DO24" s="12">
        <f>IF('Données projet'!$A$166&gt;35,DO23+DN24-DW23,IF(A24&lt;'Données projet'!$A$166,$DL$205^A24,IF(A24='Données projet'!$A$166,'Données projet'!$B$166,DO23+DN24-DW23)))</f>
        <v>85.199999999999989</v>
      </c>
      <c r="DP24" s="17">
        <f>DO24*VLOOKUP('Données projet'!$B$14,Paramètres!$A$1:$I$89,3,0)*VLOOKUP('Données projet'!$B$14,Paramètres!$A$1:$I$89,5,0)</f>
        <v>74.430719999999994</v>
      </c>
      <c r="DQ24" s="13">
        <f t="shared" si="43"/>
        <v>20.76980057385482</v>
      </c>
      <c r="DR24" s="20">
        <f t="shared" si="16"/>
        <v>165.80757333279712</v>
      </c>
      <c r="DS24" s="59">
        <f t="shared" si="17"/>
        <v>448.14090666613043</v>
      </c>
      <c r="DT24" s="59">
        <f ca="1">AVERAGE(OFFSET($DS$3,0,0,'Données projet'!$E$14+1,1))-AVERAGE(OFFSET($H$3,0,0,'Données projet'!$E$14+1,1))</f>
        <v>354.24684313982857</v>
      </c>
      <c r="DU24" s="59">
        <f t="shared" si="44"/>
        <v>322.65043486962185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15.7</v>
      </c>
      <c r="N25" s="13">
        <f>IF('Données projet'!$A$36&gt;35,N24+M25-V24,IF(A25&lt;'Données projet'!$A$36,$K$205^A25,IF(A25='Données projet'!$A$36,'Données projet'!$B$36,N24+M25-V24)))</f>
        <v>128.54615384615383</v>
      </c>
      <c r="O25" s="13">
        <f>N25*VLOOKUP('Données projet'!$B$9,Paramètres!$A$1:$I$89,3,0)*VLOOKUP('Données projet'!$B$9,Paramètres!$A$1:$I$89,5,0)</f>
        <v>76.870599999999996</v>
      </c>
      <c r="P25" s="13">
        <f t="shared" si="33"/>
        <v>21.370261683634599</v>
      </c>
      <c r="Q25" s="20">
        <f t="shared" si="2"/>
        <v>171.10283409899691</v>
      </c>
      <c r="R25" s="59">
        <f t="shared" si="0"/>
        <v>454.65838965455248</v>
      </c>
      <c r="S25" s="59">
        <f ca="1">AVERAGE(OFFSET($R$3,0,0,'Données projet'!$E$9+1,1))-AVERAGE(OFFSET($H$3,0,0,'Données projet'!$E$9+1,1))</f>
        <v>355.09162485318728</v>
      </c>
      <c r="T25" s="59">
        <f t="shared" si="34"/>
        <v>320.06572891923685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8.5271744108229317</v>
      </c>
      <c r="AB25" s="21">
        <f>EXP(-LN(2)/2)*AB24+(1-EXP(-LN(2)/2))/(LN(2)/2)*V25*Y25*VLOOKUP('Données projet'!$B$9,Paramètres!$A$1:$I$89,3,0)*0.475*44/12</f>
        <v>4.901809492763654</v>
      </c>
      <c r="AC25" s="22">
        <f t="shared" si="3"/>
        <v>13.428983903586586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3.4425641025641025</v>
      </c>
      <c r="AI25" s="13">
        <f>IF('Données projet'!$A$62&gt;35,AI24+AH25-AQ24,IF(A25&lt;'Données projet'!$A$62,$AF$205^A25,IF(A25='Données projet'!$A$62,'Données projet'!$B$62,AI24+AH25-AQ24)))</f>
        <v>29.987188275534368</v>
      </c>
      <c r="AJ25" s="13">
        <f>AI25*VLOOKUP('Données projet'!$B$10,Paramètres!$A$1:$I$89,3,0)*VLOOKUP('Données projet'!$B$10,Paramètres!$A$1:$I$89,5,0)</f>
        <v>14.034004112950084</v>
      </c>
      <c r="AK25" s="13">
        <f t="shared" si="35"/>
        <v>4.7555606647394173</v>
      </c>
      <c r="AL25" s="20">
        <f t="shared" si="4"/>
        <v>32.725158654475884</v>
      </c>
      <c r="AM25" s="59">
        <f t="shared" si="5"/>
        <v>316.28071421003142</v>
      </c>
      <c r="AN25" s="59">
        <f ca="1">AVERAGE(OFFSET($AM$3,0,0,'Données projet'!$E$10+1,1))-AVERAGE(OFFSET($H$3,0,0,'Données projet'!$E$10+1,1))</f>
        <v>246.72166704460847</v>
      </c>
      <c r="AO25" s="59">
        <f t="shared" si="36"/>
        <v>145.54897745089966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>
        <f>BD25*VLOOKUP('Données projet'!$B$11,Paramètres!$A$1:$I$89,3,0)*VLOOKUP('Données projet'!$B$11,Paramètres!$A$1:$I$89,5,0)</f>
        <v>0</v>
      </c>
      <c r="BF25" s="13" t="e">
        <f t="shared" si="37"/>
        <v>#NUM!</v>
      </c>
      <c r="BG25" s="20" t="e">
        <f t="shared" si="7"/>
        <v>#NUM!</v>
      </c>
      <c r="BH25" s="59" t="e">
        <f t="shared" si="8"/>
        <v>#NUM!</v>
      </c>
      <c r="BI25" s="59">
        <f ca="1">AVERAGE(OFFSET($BH$3,0,0,'Données projet'!$E$11+1,1))-AVERAGE(OFFSET($H$3,0,0,'Données projet'!$E$11+1,1))</f>
        <v>88.478637356802039</v>
      </c>
      <c r="BJ25" s="59">
        <f t="shared" si="38"/>
        <v>239.55411297259155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43.382224409305039</v>
      </c>
      <c r="BQ25" s="21">
        <f>EXP(-LN(2)/25)*BQ24+(1-EXP(-LN(2)/25))/(LN(2)/25)*Calculateur!BL25*Calculateur!BN25*VLOOKUP('Données projet'!$B$11,Paramètres!$A$1:$I$89,3,0)*0.475*44/12</f>
        <v>9.1140412914990439</v>
      </c>
      <c r="BR25" s="21">
        <f>EXP(-LN(2)/2)*BR24+(1-EXP(-LN(2)/2))/(LN(2)/2)*BL25*BO25*VLOOKUP('Données projet'!$B$11,Paramètres!$A$1:$I$89,3,0)*0.475*44/12</f>
        <v>6.8791168473645854</v>
      </c>
      <c r="BS25" s="22">
        <f t="shared" si="9"/>
        <v>59.375382548168666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2.9369658119658117</v>
      </c>
      <c r="BY25" s="12">
        <f>IF('Données projet'!$A$114&gt;35,BY24+BX25-CG24,IF(A25&lt;'Données projet'!$A$114,$BV$205^A25,IF(A25='Données projet'!$A$114,'Données projet'!$B$114,BY24+BX25-CG24)))</f>
        <v>26.689971309335569</v>
      </c>
      <c r="BZ25" s="13">
        <f>BY25*VLOOKUP('Données projet'!$B$12,Paramètres!$A$1:$I$89,3,0)*VLOOKUP('Données projet'!$B$12,Paramètres!$A$1:$I$89,5,0)</f>
        <v>24.149086040686822</v>
      </c>
      <c r="CA25" s="13">
        <f t="shared" si="39"/>
        <v>7.6821560058180971</v>
      </c>
      <c r="CB25" s="20">
        <f t="shared" si="10"/>
        <v>55.43941323099606</v>
      </c>
      <c r="CC25" s="59">
        <f t="shared" si="11"/>
        <v>338.99496878655162</v>
      </c>
      <c r="CD25" s="59">
        <f ca="1">AVERAGE(OFFSET($CC$3,0,0,'Données projet'!$E$12+1,1))-AVERAGE(OFFSET($H$3,0,0,'Données projet'!$E$12+1,1))</f>
        <v>437.94387006020412</v>
      </c>
      <c r="CE25" s="59">
        <f t="shared" si="40"/>
        <v>213.95083535531376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1.995897435897436</v>
      </c>
      <c r="CT25" s="12">
        <f>IF('Données projet'!$A$140&gt;35,CT24+CS25-DB24,IF(A25&lt;'Données projet'!$A$140,$CQ$205^A25,IF(A25='Données projet'!$A$140,'Données projet'!$B$140,CT24+CS25-DB24)))</f>
        <v>20.105904480326309</v>
      </c>
      <c r="CU25" s="17">
        <f>CT25*VLOOKUP('Données projet'!$B$13,Paramètres!$A$1:$I$89,3,0)*VLOOKUP('Données projet'!$B$13,Paramètres!$A$1:$I$89,5,0)</f>
        <v>9.6709400550369544</v>
      </c>
      <c r="CV25" s="13">
        <f t="shared" si="41"/>
        <v>3.4222536907910621</v>
      </c>
      <c r="CW25" s="20">
        <f t="shared" si="13"/>
        <v>22.803979107317129</v>
      </c>
      <c r="CX25" s="59">
        <f t="shared" si="14"/>
        <v>306.35953466287265</v>
      </c>
      <c r="CY25" s="59">
        <f ca="1">AVERAGE(OFFSET($CX$3,0,0,'Données projet'!$E$13+1,1))-AVERAGE(OFFSET($H$3,0,0,'Données projet'!$E$13+1,1))</f>
        <v>258.42493116335032</v>
      </c>
      <c r="CZ25" s="59">
        <f t="shared" si="42"/>
        <v>102.46122697336466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10.199999999999999</v>
      </c>
      <c r="DO25" s="12">
        <f>IF('Données projet'!$A$166&gt;35,DO24+DN25-DW24,IF(A25&lt;'Données projet'!$A$166,$DL$205^A25,IF(A25='Données projet'!$A$166,'Données projet'!$B$166,DO24+DN25-DW24)))</f>
        <v>95.399999999999991</v>
      </c>
      <c r="DP25" s="17">
        <f>DO25*VLOOKUP('Données projet'!$B$14,Paramètres!$A$1:$I$89,3,0)*VLOOKUP('Données projet'!$B$14,Paramètres!$A$1:$I$89,5,0)</f>
        <v>83.341440000000006</v>
      </c>
      <c r="DQ25" s="13">
        <f t="shared" si="43"/>
        <v>22.952227742446681</v>
      </c>
      <c r="DR25" s="20">
        <f t="shared" si="16"/>
        <v>185.12813798476131</v>
      </c>
      <c r="DS25" s="59">
        <f t="shared" si="17"/>
        <v>468.68369354031688</v>
      </c>
      <c r="DT25" s="59">
        <f ca="1">AVERAGE(OFFSET($DS$3,0,0,'Données projet'!$E$14+1,1))-AVERAGE(OFFSET($H$3,0,0,'Données projet'!$E$14+1,1))</f>
        <v>354.24684313982857</v>
      </c>
      <c r="DU25" s="59">
        <f t="shared" si="44"/>
        <v>322.65043486962185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15.7</v>
      </c>
      <c r="N26" s="13">
        <f>IF('Données projet'!$A$36&gt;35,N25+M26-V25,IF(A26&lt;'Données projet'!$A$36,$K$205^A26,IF(A26='Données projet'!$A$36,'Données projet'!$B$36,N25+M26-V25)))</f>
        <v>144.24615384615382</v>
      </c>
      <c r="O26" s="13">
        <f>N26*VLOOKUP('Données projet'!$B$9,Paramètres!$A$1:$I$89,3,0)*VLOOKUP('Données projet'!$B$9,Paramètres!$A$1:$I$89,5,0)</f>
        <v>86.259199999999993</v>
      </c>
      <c r="P26" s="13">
        <f t="shared" si="33"/>
        <v>23.660817147545782</v>
      </c>
      <c r="Q26" s="20">
        <f t="shared" si="2"/>
        <v>191.44402986530886</v>
      </c>
      <c r="R26" s="59">
        <f t="shared" si="0"/>
        <v>476.22180764308666</v>
      </c>
      <c r="S26" s="59">
        <f ca="1">AVERAGE(OFFSET($R$3,0,0,'Données projet'!$E$9+1,1))-AVERAGE(OFFSET($H$3,0,0,'Données projet'!$E$9+1,1))</f>
        <v>355.09162485318728</v>
      </c>
      <c r="T26" s="59">
        <f t="shared" si="34"/>
        <v>320.06572891923685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8.2939983781343649</v>
      </c>
      <c r="AB26" s="21">
        <f>EXP(-LN(2)/2)*AB25+(1-EXP(-LN(2)/2))/(LN(2)/2)*V26*Y26*VLOOKUP('Données projet'!$B$9,Paramètres!$A$1:$I$89,3,0)*0.475*44/12</f>
        <v>3.4661027324177707</v>
      </c>
      <c r="AC26" s="22">
        <f t="shared" si="3"/>
        <v>11.760101110552135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3.4425641025641025</v>
      </c>
      <c r="AI26" s="13">
        <f>IF('Données projet'!$A$62&gt;35,AI25+AH26-AQ25,IF(A26&lt;'Données projet'!$A$62,$AF$205^A26,IF(A26='Données projet'!$A$62,'Données projet'!$B$62,AI25+AH26-AQ25)))</f>
        <v>35.000092281482424</v>
      </c>
      <c r="AJ26" s="13">
        <f>AI26*VLOOKUP('Données projet'!$B$10,Paramètres!$A$1:$I$89,3,0)*VLOOKUP('Données projet'!$B$10,Paramètres!$A$1:$I$89,5,0)</f>
        <v>16.380043187733772</v>
      </c>
      <c r="AK26" s="13">
        <f t="shared" si="35"/>
        <v>5.4515605034859353</v>
      </c>
      <c r="AL26" s="20">
        <f t="shared" si="4"/>
        <v>38.023376428874322</v>
      </c>
      <c r="AM26" s="59">
        <f t="shared" si="5"/>
        <v>322.80115420665209</v>
      </c>
      <c r="AN26" s="59">
        <f ca="1">AVERAGE(OFFSET($AM$3,0,0,'Données projet'!$E$10+1,1))-AVERAGE(OFFSET($H$3,0,0,'Données projet'!$E$10+1,1))</f>
        <v>246.72166704460847</v>
      </c>
      <c r="AO26" s="59">
        <f t="shared" si="36"/>
        <v>145.54897745089966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>
        <f>BD26*VLOOKUP('Données projet'!$B$11,Paramètres!$A$1:$I$89,3,0)*VLOOKUP('Données projet'!$B$11,Paramètres!$A$1:$I$89,5,0)</f>
        <v>0</v>
      </c>
      <c r="BF26" s="13" t="e">
        <f t="shared" si="37"/>
        <v>#NUM!</v>
      </c>
      <c r="BG26" s="20" t="e">
        <f t="shared" si="7"/>
        <v>#NUM!</v>
      </c>
      <c r="BH26" s="59" t="e">
        <f t="shared" si="8"/>
        <v>#NUM!</v>
      </c>
      <c r="BI26" s="59">
        <f ca="1">AVERAGE(OFFSET($BH$3,0,0,'Données projet'!$E$11+1,1))-AVERAGE(OFFSET($H$3,0,0,'Données projet'!$E$11+1,1))</f>
        <v>88.478637356802039</v>
      </c>
      <c r="BJ26" s="59">
        <f t="shared" si="38"/>
        <v>239.55411297259155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42.531525449182695</v>
      </c>
      <c r="BQ26" s="21">
        <f>EXP(-LN(2)/25)*BQ25+(1-EXP(-LN(2)/25))/(LN(2)/25)*Calculateur!BL26*Calculateur!BN26*VLOOKUP('Données projet'!$B$11,Paramètres!$A$1:$I$89,3,0)*0.475*44/12</f>
        <v>8.8648173530964023</v>
      </c>
      <c r="BR26" s="21">
        <f>EXP(-LN(2)/2)*BR25+(1-EXP(-LN(2)/2))/(LN(2)/2)*BL26*BO26*VLOOKUP('Données projet'!$B$11,Paramètres!$A$1:$I$89,3,0)*0.475*44/12</f>
        <v>4.8642701713461225</v>
      </c>
      <c r="BS26" s="22">
        <f t="shared" si="9"/>
        <v>56.260612973625214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2.9369658119658117</v>
      </c>
      <c r="BY26" s="12">
        <f>IF('Données projet'!$A$114&gt;35,BY25+BX26-CG25,IF(A26&lt;'Données projet'!$A$114,$BV$205^A26,IF(A26='Données projet'!$A$114,'Données projet'!$B$114,BY25+BX26-CG25)))</f>
        <v>30.987184059471321</v>
      </c>
      <c r="BZ26" s="13">
        <f>BY26*VLOOKUP('Données projet'!$B$12,Paramètres!$A$1:$I$89,3,0)*VLOOKUP('Données projet'!$B$12,Paramètres!$A$1:$I$89,5,0)</f>
        <v>28.037204137009649</v>
      </c>
      <c r="CA26" s="13">
        <f t="shared" si="39"/>
        <v>8.7653739559983634</v>
      </c>
      <c r="CB26" s="20">
        <f t="shared" si="10"/>
        <v>64.097823511988949</v>
      </c>
      <c r="CC26" s="59">
        <f t="shared" si="11"/>
        <v>348.87560128976673</v>
      </c>
      <c r="CD26" s="59">
        <f ca="1">AVERAGE(OFFSET($CC$3,0,0,'Données projet'!$E$12+1,1))-AVERAGE(OFFSET($H$3,0,0,'Données projet'!$E$12+1,1))</f>
        <v>437.94387006020412</v>
      </c>
      <c r="CE26" s="59">
        <f t="shared" si="40"/>
        <v>213.95083535531376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1.995897435897436</v>
      </c>
      <c r="CT26" s="12">
        <f>IF('Données projet'!$A$140&gt;35,CT25+CS26-DB25,IF(A26&lt;'Données projet'!$A$140,$CQ$205^A26,IF(A26='Données projet'!$A$140,'Données projet'!$B$140,CT25+CS26-DB25)))</f>
        <v>23.044410211686241</v>
      </c>
      <c r="CU26" s="17">
        <f>CT26*VLOOKUP('Données projet'!$B$13,Paramètres!$A$1:$I$89,3,0)*VLOOKUP('Données projet'!$B$13,Paramètres!$A$1:$I$89,5,0)</f>
        <v>11.084361311821082</v>
      </c>
      <c r="CV26" s="13">
        <f t="shared" si="41"/>
        <v>3.8606320901274831</v>
      </c>
      <c r="CW26" s="20">
        <f t="shared" si="13"/>
        <v>26.029196841727085</v>
      </c>
      <c r="CX26" s="59">
        <f t="shared" si="14"/>
        <v>310.80697461950484</v>
      </c>
      <c r="CY26" s="59">
        <f ca="1">AVERAGE(OFFSET($CX$3,0,0,'Données projet'!$E$13+1,1))-AVERAGE(OFFSET($H$3,0,0,'Données projet'!$E$13+1,1))</f>
        <v>258.42493116335032</v>
      </c>
      <c r="CZ26" s="59">
        <f t="shared" si="42"/>
        <v>102.46122697336466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10.199999999999999</v>
      </c>
      <c r="DO26" s="12">
        <f>IF('Données projet'!$A$166&gt;35,DO25+DN26-DW25,IF(A26&lt;'Données projet'!$A$166,$DL$205^A26,IF(A26='Données projet'!$A$166,'Données projet'!$B$166,DO25+DN26-DW25)))</f>
        <v>105.6</v>
      </c>
      <c r="DP26" s="17">
        <f>DO26*VLOOKUP('Données projet'!$B$14,Paramètres!$A$1:$I$89,3,0)*VLOOKUP('Données projet'!$B$14,Paramètres!$A$1:$I$89,5,0)</f>
        <v>92.252160000000003</v>
      </c>
      <c r="DQ26" s="13">
        <f t="shared" si="43"/>
        <v>25.107607958259987</v>
      </c>
      <c r="DR26" s="20">
        <f t="shared" si="16"/>
        <v>204.40159586063612</v>
      </c>
      <c r="DS26" s="59">
        <f t="shared" si="17"/>
        <v>489.17937363841389</v>
      </c>
      <c r="DT26" s="59">
        <f ca="1">AVERAGE(OFFSET($DS$3,0,0,'Données projet'!$E$14+1,1))-AVERAGE(OFFSET($H$3,0,0,'Données projet'!$E$14+1,1))</f>
        <v>354.24684313982857</v>
      </c>
      <c r="DU26" s="59">
        <f t="shared" si="44"/>
        <v>322.65043486962185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159.94615384615383</v>
      </c>
      <c r="L27" s="12">
        <f>VLOOKUP(A27,'Données projet'!$A$35:$I$55,9,0)</f>
        <v>15.7</v>
      </c>
      <c r="M27" s="12">
        <f t="array" ref="M27">INDEX(L:L,MIN(IF(ISNUMBER(L27:L223),ROW(L27:L223),"")))</f>
        <v>15.7</v>
      </c>
      <c r="N27" s="13">
        <f>IF('Données projet'!$A$36&gt;35,N26+M27-V26,IF(A27&lt;'Données projet'!$A$36,$K$205^A27,IF(A27='Données projet'!$A$36,'Données projet'!$B$36,N26+M27-V26)))</f>
        <v>159.94615384615381</v>
      </c>
      <c r="O27" s="13">
        <f>N27*VLOOKUP('Données projet'!$B$9,Paramètres!$A$1:$I$89,3,0)*VLOOKUP('Données projet'!$B$9,Paramètres!$A$1:$I$89,5,0)</f>
        <v>95.647799999999989</v>
      </c>
      <c r="P27" s="13">
        <f t="shared" si="33"/>
        <v>25.922476046044615</v>
      </c>
      <c r="Q27" s="20">
        <f t="shared" si="2"/>
        <v>211.73489744686097</v>
      </c>
      <c r="R27" s="59">
        <f t="shared" si="0"/>
        <v>497.73489744686094</v>
      </c>
      <c r="S27" s="59">
        <f ca="1">AVERAGE(OFFSET($R$3,0,0,'Données projet'!$E$9+1,1))-AVERAGE(OFFSET($H$3,0,0,'Données projet'!$E$9+1,1))</f>
        <v>355.09162485318728</v>
      </c>
      <c r="T27" s="59">
        <f t="shared" si="34"/>
        <v>320.06572891923685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40.41538461538461</v>
      </c>
      <c r="W27" s="16">
        <f>IF(ISNA(VLOOKUP(A27,'Données projet'!$A$35:$I$55,5,0)),0%,VLOOKUP(A27,'Données projet'!$A$35:$I$55,5,0)*VLOOKUP('Données projet'!$B$9,Paramètres!$A$1:$I$89,7,0))</f>
        <v>0.315</v>
      </c>
      <c r="X27" s="16">
        <f>IF(ISNA(VLOOKUP(A27,'Données projet'!$A$35:$I$55,6,0)),0%,VLOOKUP(A27,'Données projet'!$A$35:$I$55,6,0)*VLOOKUP('Données projet'!$B$9,Paramètres!$A$1:$I$89,7,0))</f>
        <v>7.5600000000000001E-2</v>
      </c>
      <c r="Y27" s="16">
        <f>IF(ISNA(VLOOKUP(A27,'Données projet'!$A$35:$I$55,7,0)),0%,VLOOKUP(A27,'Données projet'!$A$35:$I$55,7,0))</f>
        <v>0.13200000000000001</v>
      </c>
      <c r="Z27" s="21">
        <f>EXP(-LN(2)/35)*Z26+(1-EXP(-LN(2)/35))/(LN(2)/35)*V27*W27*VLOOKUP('Données projet'!$B$9,Paramètres!$A$1:$I$89,3,0)*0.475*44/12</f>
        <v>10.099196221226169</v>
      </c>
      <c r="AA27" s="21">
        <f>EXP(-LN(2)/25)*AA26+(1-EXP(-LN(2)/25))/(LN(2)/25)*Calculateur!V27*Calculateur!X27*VLOOKUP('Données projet'!$B$9,Paramètres!$A$1:$I$89,3,0)*0.475*44/12</f>
        <v>10.481462197347724</v>
      </c>
      <c r="AB27" s="21">
        <f>EXP(-LN(2)/2)*AB26+(1-EXP(-LN(2)/2))/(LN(2)/2)*V27*Y27*VLOOKUP('Données projet'!$B$9,Paramètres!$A$1:$I$89,3,0)*0.475*44/12</f>
        <v>6.0629848302409268</v>
      </c>
      <c r="AC27" s="22">
        <f t="shared" si="3"/>
        <v>26.643643248814818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3.4425641025641025</v>
      </c>
      <c r="AI27" s="13">
        <f>IF('Données projet'!$A$62&gt;35,AI26+AH27-AQ26,IF(A27&lt;'Données projet'!$A$62,$AF$205^A27,IF(A27='Données projet'!$A$62,'Données projet'!$B$62,AI26+AH27-AQ26)))</f>
        <v>40.850994379880916</v>
      </c>
      <c r="AJ27" s="13">
        <f>AI27*VLOOKUP('Données projet'!$B$10,Paramètres!$A$1:$I$89,3,0)*VLOOKUP('Données projet'!$B$10,Paramètres!$A$1:$I$89,5,0)</f>
        <v>19.118265369784268</v>
      </c>
      <c r="AK27" s="13">
        <f t="shared" si="35"/>
        <v>6.2494233631643379</v>
      </c>
      <c r="AL27" s="20">
        <f t="shared" si="4"/>
        <v>44.182057876552157</v>
      </c>
      <c r="AM27" s="59">
        <f t="shared" si="5"/>
        <v>330.18205787655216</v>
      </c>
      <c r="AN27" s="59">
        <f ca="1">AVERAGE(OFFSET($AM$3,0,0,'Données projet'!$E$10+1,1))-AVERAGE(OFFSET($H$3,0,0,'Données projet'!$E$10+1,1))</f>
        <v>246.72166704460847</v>
      </c>
      <c r="AO27" s="59">
        <f t="shared" si="36"/>
        <v>145.54897745089966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>
        <f>BD27*VLOOKUP('Données projet'!$B$11,Paramètres!$A$1:$I$89,3,0)*VLOOKUP('Données projet'!$B$11,Paramètres!$A$1:$I$89,5,0)</f>
        <v>0</v>
      </c>
      <c r="BF27" s="13" t="e">
        <f t="shared" si="37"/>
        <v>#NUM!</v>
      </c>
      <c r="BG27" s="20" t="e">
        <f t="shared" si="7"/>
        <v>#NUM!</v>
      </c>
      <c r="BH27" s="59" t="e">
        <f t="shared" si="8"/>
        <v>#NUM!</v>
      </c>
      <c r="BI27" s="59">
        <f ca="1">AVERAGE(OFFSET($BH$3,0,0,'Données projet'!$E$11+1,1))-AVERAGE(OFFSET($H$3,0,0,'Données projet'!$E$11+1,1))</f>
        <v>88.478637356802039</v>
      </c>
      <c r="BJ27" s="59">
        <f t="shared" si="38"/>
        <v>239.55411297259155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41.697508176793221</v>
      </c>
      <c r="BQ27" s="21">
        <f>EXP(-LN(2)/25)*BQ26+(1-EXP(-LN(2)/25))/(LN(2)/25)*Calculateur!BL27*Calculateur!BN27*VLOOKUP('Données projet'!$B$11,Paramètres!$A$1:$I$89,3,0)*0.475*44/12</f>
        <v>8.6224084563954975</v>
      </c>
      <c r="BR27" s="21">
        <f>EXP(-LN(2)/2)*BR26+(1-EXP(-LN(2)/2))/(LN(2)/2)*BL27*BO27*VLOOKUP('Données projet'!$B$11,Paramètres!$A$1:$I$89,3,0)*0.475*44/12</f>
        <v>3.4395584236822927</v>
      </c>
      <c r="BS27" s="22">
        <f t="shared" si="9"/>
        <v>53.759475056871011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2.9369658119658117</v>
      </c>
      <c r="BY27" s="12">
        <f>IF('Données projet'!$A$114&gt;35,BY26+BX27-CG26,IF(A27&lt;'Données projet'!$A$114,$BV$205^A27,IF(A27='Données projet'!$A$114,'Données projet'!$B$114,BY26+BX27-CG26)))</f>
        <v>35.976268569449324</v>
      </c>
      <c r="BZ27" s="13">
        <f>BY27*VLOOKUP('Données projet'!$B$12,Paramètres!$A$1:$I$89,3,0)*VLOOKUP('Données projet'!$B$12,Paramètres!$A$1:$I$89,5,0)</f>
        <v>32.551327801637747</v>
      </c>
      <c r="CA27" s="13">
        <f t="shared" si="39"/>
        <v>10.001330424727856</v>
      </c>
      <c r="CB27" s="20">
        <f t="shared" si="10"/>
        <v>74.112546410920089</v>
      </c>
      <c r="CC27" s="59">
        <f t="shared" si="11"/>
        <v>360.11254641092012</v>
      </c>
      <c r="CD27" s="59">
        <f ca="1">AVERAGE(OFFSET($CC$3,0,0,'Données projet'!$E$12+1,1))-AVERAGE(OFFSET($H$3,0,0,'Données projet'!$E$12+1,1))</f>
        <v>437.94387006020412</v>
      </c>
      <c r="CE27" s="59">
        <f t="shared" si="40"/>
        <v>213.95083535531376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1.995897435897436</v>
      </c>
      <c r="CT27" s="12">
        <f>IF('Données projet'!$A$140&gt;35,CT26+CS27-DB26,IF(A27&lt;'Données projet'!$A$140,$CQ$205^A27,IF(A27='Données projet'!$A$140,'Données projet'!$B$140,CT26+CS27-DB26)))</f>
        <v>26.412382617459375</v>
      </c>
      <c r="CU27" s="17">
        <f>CT27*VLOOKUP('Données projet'!$B$13,Paramètres!$A$1:$I$89,3,0)*VLOOKUP('Données projet'!$B$13,Paramètres!$A$1:$I$89,5,0)</f>
        <v>12.704356038997961</v>
      </c>
      <c r="CV27" s="13">
        <f t="shared" si="41"/>
        <v>4.355165187031151</v>
      </c>
      <c r="CW27" s="20">
        <f t="shared" si="13"/>
        <v>29.711999468667369</v>
      </c>
      <c r="CX27" s="59">
        <f t="shared" si="14"/>
        <v>315.71199946866739</v>
      </c>
      <c r="CY27" s="59">
        <f ca="1">AVERAGE(OFFSET($CX$3,0,0,'Données projet'!$E$13+1,1))-AVERAGE(OFFSET($H$3,0,0,'Données projet'!$E$13+1,1))</f>
        <v>258.42493116335032</v>
      </c>
      <c r="CZ27" s="59">
        <f t="shared" si="42"/>
        <v>102.46122697336466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10.199999999999999</v>
      </c>
      <c r="DO27" s="12">
        <f>IF('Données projet'!$A$166&gt;35,DO26+DN27-DW26,IF(A27&lt;'Données projet'!$A$166,$DL$205^A27,IF(A27='Données projet'!$A$166,'Données projet'!$B$166,DO26+DN27-DW26)))</f>
        <v>115.8</v>
      </c>
      <c r="DP27" s="17">
        <f>DO27*VLOOKUP('Données projet'!$B$14,Paramètres!$A$1:$I$89,3,0)*VLOOKUP('Données projet'!$B$14,Paramètres!$A$1:$I$89,5,0)</f>
        <v>101.16288</v>
      </c>
      <c r="DQ27" s="13">
        <f t="shared" si="43"/>
        <v>27.238850979377386</v>
      </c>
      <c r="DR27" s="20">
        <f t="shared" si="16"/>
        <v>223.63301478908227</v>
      </c>
      <c r="DS27" s="59">
        <f t="shared" si="17"/>
        <v>509.63301478908227</v>
      </c>
      <c r="DT27" s="59">
        <f ca="1">AVERAGE(OFFSET($DS$3,0,0,'Données projet'!$E$14+1,1))-AVERAGE(OFFSET($H$3,0,0,'Données projet'!$E$14+1,1))</f>
        <v>354.24684313982857</v>
      </c>
      <c r="DU27" s="59">
        <f t="shared" si="44"/>
        <v>322.65043486962185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16.020512820512824</v>
      </c>
      <c r="N28" s="13">
        <f>IF('Données projet'!$A$36&gt;35,N27+M28-V27,IF(A28&lt;'Données projet'!$A$36,$K$205^A28,IF(A28='Données projet'!$A$36,'Données projet'!$B$36,N27+M28-V27)))</f>
        <v>135.55128205128204</v>
      </c>
      <c r="O28" s="13">
        <f>N28*VLOOKUP('Données projet'!$B$9,Paramètres!$A$1:$I$89,3,0)*VLOOKUP('Données projet'!$B$9,Paramètres!$A$1:$I$89,5,0)</f>
        <v>81.059666666666672</v>
      </c>
      <c r="P28" s="13">
        <f t="shared" si="33"/>
        <v>22.396079377742645</v>
      </c>
      <c r="Q28" s="20">
        <f t="shared" si="2"/>
        <v>180.18542436067958</v>
      </c>
      <c r="R28" s="59">
        <f t="shared" si="0"/>
        <v>467.4076465829018</v>
      </c>
      <c r="S28" s="59">
        <f ca="1">AVERAGE(OFFSET($R$3,0,0,'Données projet'!$E$9+1,1))-AVERAGE(OFFSET($H$3,0,0,'Données projet'!$E$9+1,1))</f>
        <v>355.09162485318728</v>
      </c>
      <c r="T28" s="59">
        <f t="shared" si="34"/>
        <v>320.06572891923685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9.9011571432293799</v>
      </c>
      <c r="AA28" s="21">
        <f>EXP(-LN(2)/25)*AA27+(1-EXP(-LN(2)/25))/(LN(2)/25)*Calculateur!V28*Calculateur!X28*VLOOKUP('Données projet'!$B$9,Paramètres!$A$1:$I$89,3,0)*0.475*44/12</f>
        <v>10.19484606236511</v>
      </c>
      <c r="AB28" s="21">
        <f>EXP(-LN(2)/2)*AB27+(1-EXP(-LN(2)/2))/(LN(2)/2)*V28*Y28*VLOOKUP('Données projet'!$B$9,Paramètres!$A$1:$I$89,3,0)*0.475*44/12</f>
        <v>4.2871776876945287</v>
      </c>
      <c r="AC28" s="22">
        <f t="shared" si="3"/>
        <v>24.383180893289023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3.4425641025641025</v>
      </c>
      <c r="AI28" s="13">
        <f>IF('Données projet'!$A$62&gt;35,AI27+AH28-AQ27,IF(A28&lt;'Données projet'!$A$62,$AF$205^A28,IF(A28='Données projet'!$A$62,'Données projet'!$B$62,AI27+AH28-AQ27)))</f>
        <v>47.679981195591871</v>
      </c>
      <c r="AJ28" s="13">
        <f>AI28*VLOOKUP('Données projet'!$B$10,Paramètres!$A$1:$I$89,3,0)*VLOOKUP('Données projet'!$B$10,Paramètres!$A$1:$I$89,5,0)</f>
        <v>22.314231199536998</v>
      </c>
      <c r="AK28" s="13">
        <f t="shared" si="35"/>
        <v>7.1640574010122027</v>
      </c>
      <c r="AL28" s="20">
        <f t="shared" si="4"/>
        <v>51.341352645956526</v>
      </c>
      <c r="AM28" s="59">
        <f t="shared" si="5"/>
        <v>338.56357486817876</v>
      </c>
      <c r="AN28" s="59">
        <f ca="1">AVERAGE(OFFSET($AM$3,0,0,'Données projet'!$E$10+1,1))-AVERAGE(OFFSET($H$3,0,0,'Données projet'!$E$10+1,1))</f>
        <v>246.72166704460847</v>
      </c>
      <c r="AO28" s="59">
        <f t="shared" si="36"/>
        <v>145.54897745089966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>
        <f>BD28*VLOOKUP('Données projet'!$B$11,Paramètres!$A$1:$I$89,3,0)*VLOOKUP('Données projet'!$B$11,Paramètres!$A$1:$I$89,5,0)</f>
        <v>0</v>
      </c>
      <c r="BF28" s="13" t="e">
        <f t="shared" si="37"/>
        <v>#NUM!</v>
      </c>
      <c r="BG28" s="20" t="e">
        <f t="shared" si="7"/>
        <v>#NUM!</v>
      </c>
      <c r="BH28" s="59" t="e">
        <f t="shared" si="8"/>
        <v>#NUM!</v>
      </c>
      <c r="BI28" s="59">
        <f ca="1">AVERAGE(OFFSET($BH$3,0,0,'Données projet'!$E$11+1,1))-AVERAGE(OFFSET($H$3,0,0,'Données projet'!$E$11+1,1))</f>
        <v>88.478637356802039</v>
      </c>
      <c r="BJ28" s="59">
        <f t="shared" si="38"/>
        <v>239.55411297259155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40.879845474414999</v>
      </c>
      <c r="BQ28" s="21">
        <f>EXP(-LN(2)/25)*BQ27+(1-EXP(-LN(2)/25))/(LN(2)/25)*Calculateur!BL28*Calculateur!BN28*VLOOKUP('Données projet'!$B$11,Paramètres!$A$1:$I$89,3,0)*0.475*44/12</f>
        <v>8.3866282437226083</v>
      </c>
      <c r="BR28" s="21">
        <f>EXP(-LN(2)/2)*BR27+(1-EXP(-LN(2)/2))/(LN(2)/2)*BL28*BO28*VLOOKUP('Données projet'!$B$11,Paramètres!$A$1:$I$89,3,0)*0.475*44/12</f>
        <v>2.4321350856730612</v>
      </c>
      <c r="BS28" s="22">
        <f t="shared" si="9"/>
        <v>51.698608803810664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2.9369658119658117</v>
      </c>
      <c r="BY28" s="12">
        <f>IF('Données projet'!$A$114&gt;35,BY27+BX28-CG27,IF(A28&lt;'Données projet'!$A$114,$BV$205^A28,IF(A28='Données projet'!$A$114,'Données projet'!$B$114,BY27+BX28-CG27)))</f>
        <v>41.768619494340385</v>
      </c>
      <c r="BZ28" s="13">
        <f>BY28*VLOOKUP('Données projet'!$B$12,Paramètres!$A$1:$I$89,3,0)*VLOOKUP('Données projet'!$B$12,Paramètres!$A$1:$I$89,5,0)</f>
        <v>37.792246918479179</v>
      </c>
      <c r="CA28" s="13">
        <f t="shared" si="39"/>
        <v>11.411562218191092</v>
      </c>
      <c r="CB28" s="20">
        <f t="shared" si="10"/>
        <v>85.696634246367395</v>
      </c>
      <c r="CC28" s="59">
        <f t="shared" si="11"/>
        <v>372.91885646858964</v>
      </c>
      <c r="CD28" s="59">
        <f ca="1">AVERAGE(OFFSET($CC$3,0,0,'Données projet'!$E$12+1,1))-AVERAGE(OFFSET($H$3,0,0,'Données projet'!$E$12+1,1))</f>
        <v>437.94387006020412</v>
      </c>
      <c r="CE28" s="59">
        <f t="shared" si="40"/>
        <v>213.95083535531376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1.995897435897436</v>
      </c>
      <c r="CT28" s="12">
        <f>IF('Données projet'!$A$140&gt;35,CT27+CS28-DB27,IF(A28&lt;'Données projet'!$A$140,$CQ$205^A28,IF(A28='Données projet'!$A$140,'Données projet'!$B$140,CT27+CS28-DB27)))</f>
        <v>30.272588845745219</v>
      </c>
      <c r="CU28" s="17">
        <f>CT28*VLOOKUP('Données projet'!$B$13,Paramètres!$A$1:$I$89,3,0)*VLOOKUP('Données projet'!$B$13,Paramètres!$A$1:$I$89,5,0)</f>
        <v>14.56111523480345</v>
      </c>
      <c r="CV28" s="13">
        <f t="shared" si="41"/>
        <v>4.9130461964589163</v>
      </c>
      <c r="CW28" s="20">
        <f t="shared" si="13"/>
        <v>33.917497826115287</v>
      </c>
      <c r="CX28" s="59">
        <f t="shared" si="14"/>
        <v>321.13972004833749</v>
      </c>
      <c r="CY28" s="59">
        <f ca="1">AVERAGE(OFFSET($CX$3,0,0,'Données projet'!$E$13+1,1))-AVERAGE(OFFSET($H$3,0,0,'Données projet'!$E$13+1,1))</f>
        <v>258.42493116335032</v>
      </c>
      <c r="CZ28" s="59">
        <f t="shared" si="42"/>
        <v>102.46122697336466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126</v>
      </c>
      <c r="DM28" s="12">
        <f>VLOOKUP(A28,'Données projet'!$A$165:$I$185,9,0)</f>
        <v>10.199999999999999</v>
      </c>
      <c r="DN28" s="12">
        <f t="array" ref="DN28">INDEX(DM:DM,MIN(IF(ISNUMBER(DM28:DM224),ROW(DM28:DM224),"")))</f>
        <v>10.199999999999999</v>
      </c>
      <c r="DO28" s="12">
        <f>IF('Données projet'!$A$166&gt;35,DO27+DN28-DW27,IF(A28&lt;'Données projet'!$A$166,$DL$205^A28,IF(A28='Données projet'!$A$166,'Données projet'!$B$166,DO27+DN28-DW27)))</f>
        <v>126</v>
      </c>
      <c r="DP28" s="17">
        <f>DO28*VLOOKUP('Données projet'!$B$14,Paramètres!$A$1:$I$89,3,0)*VLOOKUP('Données projet'!$B$14,Paramètres!$A$1:$I$89,5,0)</f>
        <v>110.07360000000001</v>
      </c>
      <c r="DQ28" s="13">
        <f t="shared" si="43"/>
        <v>29.348324631518828</v>
      </c>
      <c r="DR28" s="20">
        <f t="shared" si="16"/>
        <v>242.8265187332286</v>
      </c>
      <c r="DS28" s="59">
        <f t="shared" si="17"/>
        <v>530.04874095545085</v>
      </c>
      <c r="DT28" s="59">
        <f ca="1">AVERAGE(OFFSET($DS$3,0,0,'Données projet'!$E$14+1,1))-AVERAGE(OFFSET($H$3,0,0,'Données projet'!$E$14+1,1))</f>
        <v>354.24684313982857</v>
      </c>
      <c r="DU28" s="59">
        <f t="shared" si="44"/>
        <v>322.65043486962185</v>
      </c>
      <c r="DV28" s="15">
        <f>IF(ISNA(VLOOKUP(A28,'Données projet'!$A$165:$I$185,3,0)),0,VLOOKUP(A28,'Données projet'!$A$165:$I$185,3,0))</f>
        <v>2</v>
      </c>
      <c r="DW28" s="15" t="str">
        <f>IF(ISNA(VLOOKUP(A28,'Données projet'!$A$165:$I$185,4,0)),0,VLOOKUP(A28,'Données projet'!$A$165:$I$185,4,0))</f>
        <v>26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16.020512820512824</v>
      </c>
      <c r="N29" s="13">
        <f>IF('Données projet'!$A$36&gt;35,N28+M29-V28,IF(A29&lt;'Données projet'!$A$36,$K$205^A29,IF(A29='Données projet'!$A$36,'Données projet'!$B$36,N28+M29-V28)))</f>
        <v>151.57179487179488</v>
      </c>
      <c r="O29" s="13">
        <f>N29*VLOOKUP('Données projet'!$B$9,Paramètres!$A$1:$I$89,3,0)*VLOOKUP('Données projet'!$B$9,Paramètres!$A$1:$I$89,5,0)</f>
        <v>90.639933333333346</v>
      </c>
      <c r="P29" s="13">
        <f t="shared" si="33"/>
        <v>24.719497804626467</v>
      </c>
      <c r="Q29" s="20">
        <f t="shared" si="2"/>
        <v>200.91767589861334</v>
      </c>
      <c r="R29" s="59">
        <f t="shared" si="0"/>
        <v>489.36212034305777</v>
      </c>
      <c r="S29" s="59">
        <f ca="1">AVERAGE(OFFSET($R$3,0,0,'Données projet'!$E$9+1,1))-AVERAGE(OFFSET($H$3,0,0,'Données projet'!$E$9+1,1))</f>
        <v>355.09162485318728</v>
      </c>
      <c r="T29" s="59">
        <f t="shared" si="34"/>
        <v>320.06572891923685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9.7070014907601969</v>
      </c>
      <c r="AA29" s="21">
        <f>EXP(-LN(2)/25)*AA28+(1-EXP(-LN(2)/25))/(LN(2)/25)*Calculateur!V29*Calculateur!X29*VLOOKUP('Données projet'!$B$9,Paramètres!$A$1:$I$89,3,0)*0.475*44/12</f>
        <v>9.916067460666083</v>
      </c>
      <c r="AB29" s="21">
        <f>EXP(-LN(2)/2)*AB28+(1-EXP(-LN(2)/2))/(LN(2)/2)*V29*Y29*VLOOKUP('Données projet'!$B$9,Paramètres!$A$1:$I$89,3,0)*0.475*44/12</f>
        <v>3.0314924151204639</v>
      </c>
      <c r="AC29" s="22">
        <f t="shared" si="3"/>
        <v>22.654561366546744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3.4425641025641025</v>
      </c>
      <c r="AI29" s="13">
        <f>IF('Données projet'!$A$62&gt;35,AI28+AH29-AQ28,IF(A29&lt;'Données projet'!$A$62,$AF$205^A29,IF(A29='Données projet'!$A$62,'Données projet'!$B$62,AI28+AH29-AQ28)))</f>
        <v>55.650557381086244</v>
      </c>
      <c r="AJ29" s="13">
        <f>AI29*VLOOKUP('Données projet'!$B$10,Paramètres!$A$1:$I$89,3,0)*VLOOKUP('Données projet'!$B$10,Paramètres!$A$1:$I$89,5,0)</f>
        <v>26.044460854348362</v>
      </c>
      <c r="AK29" s="13">
        <f t="shared" si="35"/>
        <v>8.2125526568599181</v>
      </c>
      <c r="AL29" s="20">
        <f t="shared" si="4"/>
        <v>59.664298532021071</v>
      </c>
      <c r="AM29" s="59">
        <f t="shared" si="5"/>
        <v>348.10874297646552</v>
      </c>
      <c r="AN29" s="59">
        <f ca="1">AVERAGE(OFFSET($AM$3,0,0,'Données projet'!$E$10+1,1))-AVERAGE(OFFSET($H$3,0,0,'Données projet'!$E$10+1,1))</f>
        <v>246.72166704460847</v>
      </c>
      <c r="AO29" s="59">
        <f t="shared" si="36"/>
        <v>145.54897745089966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>
        <f>BD29*VLOOKUP('Données projet'!$B$11,Paramètres!$A$1:$I$89,3,0)*VLOOKUP('Données projet'!$B$11,Paramètres!$A$1:$I$89,5,0)</f>
        <v>0</v>
      </c>
      <c r="BF29" s="13" t="e">
        <f t="shared" si="37"/>
        <v>#NUM!</v>
      </c>
      <c r="BG29" s="20" t="e">
        <f t="shared" si="7"/>
        <v>#NUM!</v>
      </c>
      <c r="BH29" s="59" t="e">
        <f t="shared" si="8"/>
        <v>#NUM!</v>
      </c>
      <c r="BI29" s="59">
        <f ca="1">AVERAGE(OFFSET($BH$3,0,0,'Données projet'!$E$11+1,1))-AVERAGE(OFFSET($H$3,0,0,'Données projet'!$E$11+1,1))</f>
        <v>88.478637356802039</v>
      </c>
      <c r="BJ29" s="59">
        <f t="shared" si="38"/>
        <v>239.55411297259155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40.07821663890541</v>
      </c>
      <c r="BQ29" s="21">
        <f>EXP(-LN(2)/25)*BQ28+(1-EXP(-LN(2)/25))/(LN(2)/25)*Calculateur!BL29*Calculateur!BN29*VLOOKUP('Données projet'!$B$11,Paramètres!$A$1:$I$89,3,0)*0.475*44/12</f>
        <v>8.1572954533644015</v>
      </c>
      <c r="BR29" s="21">
        <f>EXP(-LN(2)/2)*BR28+(1-EXP(-LN(2)/2))/(LN(2)/2)*BL29*BO29*VLOOKUP('Données projet'!$B$11,Paramètres!$A$1:$I$89,3,0)*0.475*44/12</f>
        <v>1.7197792118411463</v>
      </c>
      <c r="BS29" s="22">
        <f t="shared" si="9"/>
        <v>49.955291304110958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2.9369658119658117</v>
      </c>
      <c r="BY29" s="12">
        <f>IF('Données projet'!$A$114&gt;35,BY28+BX29-CG28,IF(A29&lt;'Données projet'!$A$114,$BV$205^A29,IF(A29='Données projet'!$A$114,'Données projet'!$B$114,BY28+BX29-CG28)))</f>
        <v>48.493566560276982</v>
      </c>
      <c r="BZ29" s="13">
        <f>BY29*VLOOKUP('Données projet'!$B$12,Paramètres!$A$1:$I$89,3,0)*VLOOKUP('Données projet'!$B$12,Paramètres!$A$1:$I$89,5,0)</f>
        <v>43.876979023738613</v>
      </c>
      <c r="CA29" s="13">
        <f t="shared" si="39"/>
        <v>13.020642927432318</v>
      </c>
      <c r="CB29" s="20">
        <f t="shared" si="10"/>
        <v>99.096691564956032</v>
      </c>
      <c r="CC29" s="59">
        <f t="shared" si="11"/>
        <v>387.54113600940047</v>
      </c>
      <c r="CD29" s="59">
        <f ca="1">AVERAGE(OFFSET($CC$3,0,0,'Données projet'!$E$12+1,1))-AVERAGE(OFFSET($H$3,0,0,'Données projet'!$E$12+1,1))</f>
        <v>437.94387006020412</v>
      </c>
      <c r="CE29" s="59">
        <f t="shared" si="40"/>
        <v>213.95083535531376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1.995897435897436</v>
      </c>
      <c r="CT29" s="12">
        <f>IF('Données projet'!$A$140&gt;35,CT28+CS29-DB28,IF(A29&lt;'Données projet'!$A$140,$CQ$205^A29,IF(A29='Données projet'!$A$140,'Données projet'!$B$140,CT28+CS29-DB28)))</f>
        <v>34.696969550098459</v>
      </c>
      <c r="CU29" s="17">
        <f>CT29*VLOOKUP('Données projet'!$B$13,Paramètres!$A$1:$I$89,3,0)*VLOOKUP('Données projet'!$B$13,Paramètres!$A$1:$I$89,5,0)</f>
        <v>16.689242353597358</v>
      </c>
      <c r="CV29" s="13">
        <f t="shared" si="41"/>
        <v>5.542389758353564</v>
      </c>
      <c r="CW29" s="20">
        <f t="shared" si="13"/>
        <v>38.720092594981189</v>
      </c>
      <c r="CX29" s="59">
        <f t="shared" si="14"/>
        <v>327.16453703942562</v>
      </c>
      <c r="CY29" s="59">
        <f ca="1">AVERAGE(OFFSET($CX$3,0,0,'Données projet'!$E$13+1,1))-AVERAGE(OFFSET($H$3,0,0,'Données projet'!$E$13+1,1))</f>
        <v>258.42493116335032</v>
      </c>
      <c r="CZ29" s="59">
        <f t="shared" si="42"/>
        <v>102.46122697336466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9.8000000000000007</v>
      </c>
      <c r="DO29" s="12">
        <f>IF('Données projet'!$A$166&gt;35,DO28+DN29-DW28,IF(A29&lt;'Données projet'!$A$166,$DL$205^A29,IF(A29='Données projet'!$A$166,'Données projet'!$B$166,DO28+DN29-DW28)))</f>
        <v>109.80000000000001</v>
      </c>
      <c r="DP29" s="17">
        <f>DO29*VLOOKUP('Données projet'!$B$14,Paramètres!$A$1:$I$89,3,0)*VLOOKUP('Données projet'!$B$14,Paramètres!$A$1:$I$89,5,0)</f>
        <v>95.921280000000024</v>
      </c>
      <c r="DQ29" s="13">
        <f t="shared" si="43"/>
        <v>25.98795633328076</v>
      </c>
      <c r="DR29" s="20">
        <f t="shared" si="16"/>
        <v>212.32525328046404</v>
      </c>
      <c r="DS29" s="59">
        <f t="shared" si="17"/>
        <v>500.7696977249085</v>
      </c>
      <c r="DT29" s="59">
        <f ca="1">AVERAGE(OFFSET($DS$3,0,0,'Données projet'!$E$14+1,1))-AVERAGE(OFFSET($H$3,0,0,'Données projet'!$E$14+1,1))</f>
        <v>354.24684313982857</v>
      </c>
      <c r="DU29" s="59">
        <f t="shared" si="44"/>
        <v>322.65043486962185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16.020512820512824</v>
      </c>
      <c r="N30" s="13">
        <f>IF('Données projet'!$A$36&gt;35,N29+M30-V29,IF(A30&lt;'Données projet'!$A$36,$K$205^A30,IF(A30='Données projet'!$A$36,'Données projet'!$B$36,N29+M30-V29)))</f>
        <v>167.59230769230771</v>
      </c>
      <c r="O30" s="13">
        <f>N30*VLOOKUP('Données projet'!$B$9,Paramètres!$A$1:$I$89,3,0)*VLOOKUP('Données projet'!$B$9,Paramètres!$A$1:$I$89,5,0)</f>
        <v>100.22020000000002</v>
      </c>
      <c r="P30" s="13">
        <f t="shared" si="33"/>
        <v>27.014450444334749</v>
      </c>
      <c r="Q30" s="20">
        <f t="shared" si="2"/>
        <v>221.60034952388301</v>
      </c>
      <c r="R30" s="59">
        <f t="shared" si="0"/>
        <v>511.26701619054973</v>
      </c>
      <c r="S30" s="59">
        <f ca="1">AVERAGE(OFFSET($R$3,0,0,'Données projet'!$E$9+1,1))-AVERAGE(OFFSET($H$3,0,0,'Données projet'!$E$9+1,1))</f>
        <v>355.09162485318728</v>
      </c>
      <c r="T30" s="59">
        <f t="shared" si="34"/>
        <v>320.06572891923685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9.5166531122126798</v>
      </c>
      <c r="AA30" s="21">
        <f>EXP(-LN(2)/25)*AA29+(1-EXP(-LN(2)/25))/(LN(2)/25)*Calculateur!V30*Calculateur!X30*VLOOKUP('Données projet'!$B$9,Paramètres!$A$1:$I$89,3,0)*0.475*44/12</f>
        <v>9.6449120744908452</v>
      </c>
      <c r="AB30" s="21">
        <f>EXP(-LN(2)/2)*AB29+(1-EXP(-LN(2)/2))/(LN(2)/2)*V30*Y30*VLOOKUP('Données projet'!$B$9,Paramètres!$A$1:$I$89,3,0)*0.475*44/12</f>
        <v>2.1435888438472643</v>
      </c>
      <c r="AC30" s="22">
        <f t="shared" si="3"/>
        <v>21.305154030550792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3.4425641025641025</v>
      </c>
      <c r="AI30" s="13">
        <f>IF('Données projet'!$A$62&gt;35,AI29+AH30-AQ29,IF(A30&lt;'Données projet'!$A$62,$AF$205^A30,IF(A30='Données projet'!$A$62,'Données projet'!$B$62,AI29+AH30-AQ29)))</f>
        <v>64.953560365747308</v>
      </c>
      <c r="AJ30" s="13">
        <f>AI30*VLOOKUP('Données projet'!$B$10,Paramètres!$A$1:$I$89,3,0)*VLOOKUP('Données projet'!$B$10,Paramètres!$A$1:$I$89,5,0)</f>
        <v>30.398266251169741</v>
      </c>
      <c r="AK30" s="13">
        <f t="shared" si="35"/>
        <v>9.4145003824463398</v>
      </c>
      <c r="AL30" s="20">
        <f t="shared" si="4"/>
        <v>69.340568553547996</v>
      </c>
      <c r="AM30" s="59">
        <f t="shared" si="5"/>
        <v>359.00723522021468</v>
      </c>
      <c r="AN30" s="59">
        <f ca="1">AVERAGE(OFFSET($AM$3,0,0,'Données projet'!$E$10+1,1))-AVERAGE(OFFSET($H$3,0,0,'Données projet'!$E$10+1,1))</f>
        <v>246.72166704460847</v>
      </c>
      <c r="AO30" s="59">
        <f t="shared" si="36"/>
        <v>145.54897745089966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>
        <f>BD30*VLOOKUP('Données projet'!$B$11,Paramètres!$A$1:$I$89,3,0)*VLOOKUP('Données projet'!$B$11,Paramètres!$A$1:$I$89,5,0)</f>
        <v>0</v>
      </c>
      <c r="BF30" s="13" t="e">
        <f t="shared" si="37"/>
        <v>#NUM!</v>
      </c>
      <c r="BG30" s="20" t="e">
        <f t="shared" si="7"/>
        <v>#NUM!</v>
      </c>
      <c r="BH30" s="59" t="e">
        <f t="shared" si="8"/>
        <v>#NUM!</v>
      </c>
      <c r="BI30" s="59">
        <f ca="1">AVERAGE(OFFSET($BH$3,0,0,'Données projet'!$E$11+1,1))-AVERAGE(OFFSET($H$3,0,0,'Données projet'!$E$11+1,1))</f>
        <v>88.478637356802039</v>
      </c>
      <c r="BJ30" s="59">
        <f t="shared" si="38"/>
        <v>239.55411297259155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39.292307255914849</v>
      </c>
      <c r="BQ30" s="21">
        <f>EXP(-LN(2)/25)*BQ29+(1-EXP(-LN(2)/25))/(LN(2)/25)*Calculateur!BL30*Calculateur!BN30*VLOOKUP('Données projet'!$B$11,Paramètres!$A$1:$I$89,3,0)*0.475*44/12</f>
        <v>7.9342337802186282</v>
      </c>
      <c r="BR30" s="21">
        <f>EXP(-LN(2)/2)*BR29+(1-EXP(-LN(2)/2))/(LN(2)/2)*BL30*BO30*VLOOKUP('Données projet'!$B$11,Paramètres!$A$1:$I$89,3,0)*0.475*44/12</f>
        <v>1.2160675428365306</v>
      </c>
      <c r="BS30" s="22">
        <f t="shared" si="9"/>
        <v>48.44260857897001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2.9369658119658117</v>
      </c>
      <c r="BY30" s="12">
        <f>IF('Données projet'!$A$114&gt;35,BY29+BX30-CG29,IF(A30&lt;'Données projet'!$A$114,$BV$205^A30,IF(A30='Données projet'!$A$114,'Données projet'!$B$114,BY29+BX30-CG29)))</f>
        <v>56.301262196483592</v>
      </c>
      <c r="BZ30" s="13">
        <f>BY30*VLOOKUP('Données projet'!$B$12,Paramètres!$A$1:$I$89,3,0)*VLOOKUP('Données projet'!$B$12,Paramètres!$A$1:$I$89,5,0)</f>
        <v>50.941382035378354</v>
      </c>
      <c r="CA30" s="13">
        <f t="shared" si="39"/>
        <v>14.856611128442623</v>
      </c>
      <c r="CB30" s="20">
        <f t="shared" si="10"/>
        <v>114.59817142698819</v>
      </c>
      <c r="CC30" s="59">
        <f t="shared" si="11"/>
        <v>404.26483809365487</v>
      </c>
      <c r="CD30" s="59">
        <f ca="1">AVERAGE(OFFSET($CC$3,0,0,'Données projet'!$E$12+1,1))-AVERAGE(OFFSET($H$3,0,0,'Données projet'!$E$12+1,1))</f>
        <v>437.94387006020412</v>
      </c>
      <c r="CE30" s="59">
        <f t="shared" si="40"/>
        <v>213.95083535531376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1.995897435897436</v>
      </c>
      <c r="CT30" s="12">
        <f>IF('Données projet'!$A$140&gt;35,CT29+CS30-DB29,IF(A30&lt;'Données projet'!$A$140,$CQ$205^A30,IF(A30='Données projet'!$A$140,'Données projet'!$B$140,CT29+CS30-DB29)))</f>
        <v>39.767979610031404</v>
      </c>
      <c r="CU30" s="17">
        <f>CT30*VLOOKUP('Données projet'!$B$13,Paramètres!$A$1:$I$89,3,0)*VLOOKUP('Données projet'!$B$13,Paramètres!$A$1:$I$89,5,0)</f>
        <v>19.128398192425106</v>
      </c>
      <c r="CV30" s="13">
        <f t="shared" si="41"/>
        <v>6.2523499688731974</v>
      </c>
      <c r="CW30" s="20">
        <f t="shared" si="13"/>
        <v>44.204803047594538</v>
      </c>
      <c r="CX30" s="59">
        <f t="shared" si="14"/>
        <v>333.87146971426125</v>
      </c>
      <c r="CY30" s="59">
        <f ca="1">AVERAGE(OFFSET($CX$3,0,0,'Données projet'!$E$13+1,1))-AVERAGE(OFFSET($H$3,0,0,'Données projet'!$E$13+1,1))</f>
        <v>258.42493116335032</v>
      </c>
      <c r="CZ30" s="59">
        <f t="shared" si="42"/>
        <v>102.46122697336466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9.8000000000000007</v>
      </c>
      <c r="DO30" s="12">
        <f>IF('Données projet'!$A$166&gt;35,DO29+DN30-DW29,IF(A30&lt;'Données projet'!$A$166,$DL$205^A30,IF(A30='Données projet'!$A$166,'Données projet'!$B$166,DO29+DN30-DW29)))</f>
        <v>119.60000000000001</v>
      </c>
      <c r="DP30" s="17">
        <f>DO30*VLOOKUP('Données projet'!$B$14,Paramètres!$A$1:$I$89,3,0)*VLOOKUP('Données projet'!$B$14,Paramètres!$A$1:$I$89,5,0)</f>
        <v>104.48256000000002</v>
      </c>
      <c r="DQ30" s="13">
        <f t="shared" si="43"/>
        <v>28.02716504477474</v>
      </c>
      <c r="DR30" s="20">
        <f t="shared" si="16"/>
        <v>230.78777111964939</v>
      </c>
      <c r="DS30" s="59">
        <f t="shared" si="17"/>
        <v>520.45443778631602</v>
      </c>
      <c r="DT30" s="59">
        <f ca="1">AVERAGE(OFFSET($DS$3,0,0,'Données projet'!$E$14+1,1))-AVERAGE(OFFSET($H$3,0,0,'Données projet'!$E$14+1,1))</f>
        <v>354.24684313982857</v>
      </c>
      <c r="DU30" s="59">
        <f t="shared" si="44"/>
        <v>322.65043486962185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16.020512820512824</v>
      </c>
      <c r="N31" s="13">
        <f>IF('Données projet'!$A$36&gt;35,N30+M31-V30,IF(A31&lt;'Données projet'!$A$36,$K$205^A31,IF(A31='Données projet'!$A$36,'Données projet'!$B$36,N30+M31-V30)))</f>
        <v>183.61282051282055</v>
      </c>
      <c r="O31" s="13">
        <f>N31*VLOOKUP('Données projet'!$B$9,Paramètres!$A$1:$I$89,3,0)*VLOOKUP('Données projet'!$B$9,Paramètres!$A$1:$I$89,5,0)</f>
        <v>109.80046666666669</v>
      </c>
      <c r="P31" s="13">
        <f t="shared" si="33"/>
        <v>29.283967996494283</v>
      </c>
      <c r="Q31" s="20">
        <f t="shared" si="2"/>
        <v>242.23872370500536</v>
      </c>
      <c r="R31" s="59">
        <f t="shared" si="0"/>
        <v>533.12761259389424</v>
      </c>
      <c r="S31" s="59">
        <f ca="1">AVERAGE(OFFSET($R$3,0,0,'Données projet'!$E$9+1,1))-AVERAGE(OFFSET($H$3,0,0,'Données projet'!$E$9+1,1))</f>
        <v>355.09162485318728</v>
      </c>
      <c r="T31" s="59">
        <f t="shared" si="34"/>
        <v>320.06572891923685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9.3300373492674318</v>
      </c>
      <c r="AA31" s="21">
        <f>EXP(-LN(2)/25)*AA30+(1-EXP(-LN(2)/25))/(LN(2)/25)*Calculateur!V31*Calculateur!X31*VLOOKUP('Données projet'!$B$9,Paramètres!$A$1:$I$89,3,0)*0.475*44/12</f>
        <v>9.3811714466100113</v>
      </c>
      <c r="AB31" s="21">
        <f>EXP(-LN(2)/2)*AB30+(1-EXP(-LN(2)/2))/(LN(2)/2)*V31*Y31*VLOOKUP('Données projet'!$B$9,Paramètres!$A$1:$I$89,3,0)*0.475*44/12</f>
        <v>1.5157462075602319</v>
      </c>
      <c r="AC31" s="22">
        <f t="shared" si="3"/>
        <v>20.226955003437673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3.4425641025641025</v>
      </c>
      <c r="AI31" s="13">
        <f>IF('Données projet'!$A$62&gt;35,AI30+AH31-AQ30,IF(A31&lt;'Données projet'!$A$62,$AF$205^A31,IF(A31='Données projet'!$A$62,'Données projet'!$B$62,AI30+AH31-AQ30)))</f>
        <v>75.81172952673181</v>
      </c>
      <c r="AJ31" s="13">
        <f>AI31*VLOOKUP('Données projet'!$B$10,Paramètres!$A$1:$I$89,3,0)*VLOOKUP('Données projet'!$B$10,Paramètres!$A$1:$I$89,5,0)</f>
        <v>35.479889418510488</v>
      </c>
      <c r="AK31" s="13">
        <f t="shared" si="35"/>
        <v>10.7923591061602</v>
      </c>
      <c r="AL31" s="20">
        <f t="shared" si="4"/>
        <v>80.590832847134777</v>
      </c>
      <c r="AM31" s="59">
        <f t="shared" si="5"/>
        <v>371.47972173602363</v>
      </c>
      <c r="AN31" s="59">
        <f ca="1">AVERAGE(OFFSET($AM$3,0,0,'Données projet'!$E$10+1,1))-AVERAGE(OFFSET($H$3,0,0,'Données projet'!$E$10+1,1))</f>
        <v>246.72166704460847</v>
      </c>
      <c r="AO31" s="59">
        <f t="shared" si="36"/>
        <v>145.54897745089966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>
        <f>BD31*VLOOKUP('Données projet'!$B$11,Paramètres!$A$1:$I$89,3,0)*VLOOKUP('Données projet'!$B$11,Paramètres!$A$1:$I$89,5,0)</f>
        <v>0</v>
      </c>
      <c r="BF31" s="13" t="e">
        <f t="shared" si="37"/>
        <v>#NUM!</v>
      </c>
      <c r="BG31" s="20" t="e">
        <f t="shared" si="7"/>
        <v>#NUM!</v>
      </c>
      <c r="BH31" s="59" t="e">
        <f t="shared" si="8"/>
        <v>#NUM!</v>
      </c>
      <c r="BI31" s="59">
        <f ca="1">AVERAGE(OFFSET($BH$3,0,0,'Données projet'!$E$11+1,1))-AVERAGE(OFFSET($H$3,0,0,'Données projet'!$E$11+1,1))</f>
        <v>88.478637356802039</v>
      </c>
      <c r="BJ31" s="59">
        <f t="shared" si="38"/>
        <v>239.55411297259155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38.521809076567344</v>
      </c>
      <c r="BQ31" s="21">
        <f>EXP(-LN(2)/25)*BQ30+(1-EXP(-LN(2)/25))/(LN(2)/25)*Calculateur!BL31*Calculateur!BN31*VLOOKUP('Données projet'!$B$11,Paramètres!$A$1:$I$89,3,0)*0.475*44/12</f>
        <v>7.7172717402553292</v>
      </c>
      <c r="BR31" s="21">
        <f>EXP(-LN(2)/2)*BR30+(1-EXP(-LN(2)/2))/(LN(2)/2)*BL31*BO31*VLOOKUP('Données projet'!$B$11,Paramètres!$A$1:$I$89,3,0)*0.475*44/12</f>
        <v>0.85988960592057317</v>
      </c>
      <c r="BS31" s="22">
        <f t="shared" si="9"/>
        <v>47.098970422743243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2.9369658119658117</v>
      </c>
      <c r="BY31" s="12">
        <f>IF('Données projet'!$A$114&gt;35,BY30+BX31-CG30,IF(A31&lt;'Données projet'!$A$114,$BV$205^A31,IF(A31='Données projet'!$A$114,'Données projet'!$B$114,BY30+BX31-CG30)))</f>
        <v>65.366034089844177</v>
      </c>
      <c r="BZ31" s="13">
        <f>BY31*VLOOKUP('Données projet'!$B$12,Paramètres!$A$1:$I$89,3,0)*VLOOKUP('Données projet'!$B$12,Paramètres!$A$1:$I$89,5,0)</f>
        <v>59.143187644491007</v>
      </c>
      <c r="CA31" s="13">
        <f t="shared" si="39"/>
        <v>16.9514589603519</v>
      </c>
      <c r="CB31" s="20">
        <f t="shared" si="10"/>
        <v>132.53150950343473</v>
      </c>
      <c r="CC31" s="59">
        <f t="shared" si="11"/>
        <v>423.42039839232359</v>
      </c>
      <c r="CD31" s="59">
        <f ca="1">AVERAGE(OFFSET($CC$3,0,0,'Données projet'!$E$12+1,1))-AVERAGE(OFFSET($H$3,0,0,'Données projet'!$E$12+1,1))</f>
        <v>437.94387006020412</v>
      </c>
      <c r="CE31" s="59">
        <f t="shared" si="40"/>
        <v>213.95083535531376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1.995897435897436</v>
      </c>
      <c r="CT31" s="12">
        <f>IF('Données projet'!$A$140&gt;35,CT30+CS31-DB30,IF(A31&lt;'Données projet'!$A$140,$CQ$205^A31,IF(A31='Données projet'!$A$140,'Données projet'!$B$140,CT30+CS31-DB30)))</f>
        <v>45.580124799671019</v>
      </c>
      <c r="CU31" s="17">
        <f>CT31*VLOOKUP('Données projet'!$B$13,Paramètres!$A$1:$I$89,3,0)*VLOOKUP('Données projet'!$B$13,Paramètres!$A$1:$I$89,5,0)</f>
        <v>21.924040028641762</v>
      </c>
      <c r="CV31" s="13">
        <f t="shared" si="41"/>
        <v>7.0532535309969564</v>
      </c>
      <c r="CW31" s="20">
        <f t="shared" si="13"/>
        <v>50.468786283037424</v>
      </c>
      <c r="CX31" s="59">
        <f t="shared" si="14"/>
        <v>341.3576751719263</v>
      </c>
      <c r="CY31" s="59">
        <f ca="1">AVERAGE(OFFSET($CX$3,0,0,'Données projet'!$E$13+1,1))-AVERAGE(OFFSET($H$3,0,0,'Données projet'!$E$13+1,1))</f>
        <v>258.42493116335032</v>
      </c>
      <c r="CZ31" s="59">
        <f t="shared" si="42"/>
        <v>102.46122697336466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9.8000000000000007</v>
      </c>
      <c r="DO31" s="12">
        <f>IF('Données projet'!$A$166&gt;35,DO30+DN31-DW30,IF(A31&lt;'Données projet'!$A$166,$DL$205^A31,IF(A31='Données projet'!$A$166,'Données projet'!$B$166,DO30+DN31-DW30)))</f>
        <v>129.4</v>
      </c>
      <c r="DP31" s="17">
        <f>DO31*VLOOKUP('Données projet'!$B$14,Paramètres!$A$1:$I$89,3,0)*VLOOKUP('Données projet'!$B$14,Paramètres!$A$1:$I$89,5,0)</f>
        <v>113.04384000000002</v>
      </c>
      <c r="DQ31" s="13">
        <f t="shared" si="43"/>
        <v>30.046993788338579</v>
      </c>
      <c r="DR31" s="20">
        <f t="shared" si="16"/>
        <v>249.2165355146897</v>
      </c>
      <c r="DS31" s="59">
        <f t="shared" si="17"/>
        <v>540.10542440357858</v>
      </c>
      <c r="DT31" s="59">
        <f ca="1">AVERAGE(OFFSET($DS$3,0,0,'Données projet'!$E$14+1,1))-AVERAGE(OFFSET($H$3,0,0,'Données projet'!$E$14+1,1))</f>
        <v>354.24684313982857</v>
      </c>
      <c r="DU31" s="59">
        <f t="shared" si="44"/>
        <v>322.65043486962185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16.020512820512824</v>
      </c>
      <c r="N32" s="13">
        <f>IF('Données projet'!$A$36&gt;35,N31+M32-V31,IF(A32&lt;'Données projet'!$A$36,$K$205^A32,IF(A32='Données projet'!$A$36,'Données projet'!$B$36,N31+M32-V31)))</f>
        <v>199.63333333333338</v>
      </c>
      <c r="O32" s="13">
        <f>N32*VLOOKUP('Données projet'!$B$9,Paramètres!$A$1:$I$89,3,0)*VLOOKUP('Données projet'!$B$9,Paramètres!$A$1:$I$89,5,0)</f>
        <v>119.38073333333337</v>
      </c>
      <c r="P32" s="13">
        <f t="shared" si="33"/>
        <v>31.530522050233152</v>
      </c>
      <c r="Q32" s="20">
        <f t="shared" si="2"/>
        <v>262.83710312637839</v>
      </c>
      <c r="R32" s="59">
        <f t="shared" si="0"/>
        <v>554.94821423748954</v>
      </c>
      <c r="S32" s="59">
        <f ca="1">AVERAGE(OFFSET($R$3,0,0,'Données projet'!$E$9+1,1))-AVERAGE(OFFSET($H$3,0,0,'Données projet'!$E$9+1,1))</f>
        <v>355.09162485318728</v>
      </c>
      <c r="T32" s="59">
        <f t="shared" si="34"/>
        <v>320.06572891923685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9.1470810076091649</v>
      </c>
      <c r="AA32" s="21">
        <f>EXP(-LN(2)/25)*AA31+(1-EXP(-LN(2)/25))/(LN(2)/25)*Calculateur!V32*Calculateur!X32*VLOOKUP('Données projet'!$B$9,Paramètres!$A$1:$I$89,3,0)*0.475*44/12</f>
        <v>9.1246428200680949</v>
      </c>
      <c r="AB32" s="21">
        <f>EXP(-LN(2)/2)*AB31+(1-EXP(-LN(2)/2))/(LN(2)/2)*V32*Y32*VLOOKUP('Données projet'!$B$9,Paramètres!$A$1:$I$89,3,0)*0.475*44/12</f>
        <v>1.0717944219236322</v>
      </c>
      <c r="AC32" s="22">
        <f t="shared" si="3"/>
        <v>19.343518249600891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3.4425641025641025</v>
      </c>
      <c r="AI32" s="13">
        <f>IF('Données projet'!$A$62&gt;35,AI31+AH32-AQ31,IF(A32&lt;'Données projet'!$A$62,$AF$205^A32,IF(A32='Données projet'!$A$62,'Données projet'!$B$62,AI31+AH32-AQ31)))</f>
        <v>88.485039179856727</v>
      </c>
      <c r="AJ32" s="13">
        <f>AI32*VLOOKUP('Données projet'!$B$10,Paramètres!$A$1:$I$89,3,0)*VLOOKUP('Données projet'!$B$10,Paramètres!$A$1:$I$89,5,0)</f>
        <v>41.410998336172952</v>
      </c>
      <c r="AK32" s="13">
        <f t="shared" si="35"/>
        <v>12.371874273168087</v>
      </c>
      <c r="AL32" s="20">
        <f t="shared" si="4"/>
        <v>93.671836461268967</v>
      </c>
      <c r="AM32" s="59">
        <f t="shared" si="5"/>
        <v>385.78294757238012</v>
      </c>
      <c r="AN32" s="59">
        <f ca="1">AVERAGE(OFFSET($AM$3,0,0,'Données projet'!$E$10+1,1))-AVERAGE(OFFSET($H$3,0,0,'Données projet'!$E$10+1,1))</f>
        <v>246.72166704460847</v>
      </c>
      <c r="AO32" s="59">
        <f t="shared" si="36"/>
        <v>145.54897745089966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>
        <f>BD32*VLOOKUP('Données projet'!$B$11,Paramètres!$A$1:$I$89,3,0)*VLOOKUP('Données projet'!$B$11,Paramètres!$A$1:$I$89,5,0)</f>
        <v>0</v>
      </c>
      <c r="BF32" s="13" t="e">
        <f t="shared" si="37"/>
        <v>#NUM!</v>
      </c>
      <c r="BG32" s="20" t="e">
        <f t="shared" si="7"/>
        <v>#NUM!</v>
      </c>
      <c r="BH32" s="59" t="e">
        <f t="shared" si="8"/>
        <v>#NUM!</v>
      </c>
      <c r="BI32" s="59">
        <f ca="1">AVERAGE(OFFSET($BH$3,0,0,'Données projet'!$E$11+1,1))-AVERAGE(OFFSET($H$3,0,0,'Données projet'!$E$11+1,1))</f>
        <v>88.478637356802039</v>
      </c>
      <c r="BJ32" s="59">
        <f t="shared" si="38"/>
        <v>239.55411297259155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37.766419896559363</v>
      </c>
      <c r="BQ32" s="21">
        <f>EXP(-LN(2)/25)*BQ31+(1-EXP(-LN(2)/25))/(LN(2)/25)*Calculateur!BL32*Calculateur!BN32*VLOOKUP('Données projet'!$B$11,Paramètres!$A$1:$I$89,3,0)*0.475*44/12</f>
        <v>7.5062425386843641</v>
      </c>
      <c r="BR32" s="21">
        <f>EXP(-LN(2)/2)*BR31+(1-EXP(-LN(2)/2))/(LN(2)/2)*BL32*BO32*VLOOKUP('Données projet'!$B$11,Paramètres!$A$1:$I$89,3,0)*0.475*44/12</f>
        <v>0.60803377141826531</v>
      </c>
      <c r="BS32" s="22">
        <f t="shared" si="9"/>
        <v>45.880696206661987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2.9369658119658117</v>
      </c>
      <c r="BY32" s="12">
        <f>IF('Données projet'!$A$114&gt;35,BY31+BX32-CG31,IF(A32&lt;'Données projet'!$A$114,$BV$205^A32,IF(A32='Données projet'!$A$114,'Données projet'!$B$114,BY31+BX32-CG31)))</f>
        <v>75.890277516753997</v>
      </c>
      <c r="BZ32" s="13">
        <f>BY32*VLOOKUP('Données projet'!$B$12,Paramètres!$A$1:$I$89,3,0)*VLOOKUP('Données projet'!$B$12,Paramètres!$A$1:$I$89,5,0)</f>
        <v>68.665523097159024</v>
      </c>
      <c r="CA32" s="13">
        <f t="shared" si="39"/>
        <v>19.341689595305251</v>
      </c>
      <c r="CB32" s="20">
        <f t="shared" si="10"/>
        <v>153.27922877270862</v>
      </c>
      <c r="CC32" s="59">
        <f t="shared" si="11"/>
        <v>445.39033988381976</v>
      </c>
      <c r="CD32" s="59">
        <f ca="1">AVERAGE(OFFSET($CC$3,0,0,'Données projet'!$E$12+1,1))-AVERAGE(OFFSET($H$3,0,0,'Données projet'!$E$12+1,1))</f>
        <v>437.94387006020412</v>
      </c>
      <c r="CE32" s="59">
        <f t="shared" si="40"/>
        <v>213.95083535531376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1.995897435897436</v>
      </c>
      <c r="CT32" s="12">
        <f>IF('Données projet'!$A$140&gt;35,CT31+CS32-DB31,IF(A32&lt;'Données projet'!$A$140,$CQ$205^A32,IF(A32='Données projet'!$A$140,'Données projet'!$B$140,CT31+CS32-DB31)))</f>
        <v>52.241723042664397</v>
      </c>
      <c r="CU32" s="17">
        <f>CT32*VLOOKUP('Données projet'!$B$13,Paramètres!$A$1:$I$89,3,0)*VLOOKUP('Données projet'!$B$13,Paramètres!$A$1:$I$89,5,0)</f>
        <v>25.128268783521577</v>
      </c>
      <c r="CV32" s="13">
        <f t="shared" si="41"/>
        <v>7.9567499612448511</v>
      </c>
      <c r="CW32" s="20">
        <f t="shared" si="13"/>
        <v>57.623074313801531</v>
      </c>
      <c r="CX32" s="59">
        <f t="shared" si="14"/>
        <v>349.73418542491265</v>
      </c>
      <c r="CY32" s="59">
        <f ca="1">AVERAGE(OFFSET($CX$3,0,0,'Données projet'!$E$13+1,1))-AVERAGE(OFFSET($H$3,0,0,'Données projet'!$E$13+1,1))</f>
        <v>258.42493116335032</v>
      </c>
      <c r="CZ32" s="59">
        <f t="shared" si="42"/>
        <v>102.46122697336466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9.8000000000000007</v>
      </c>
      <c r="DO32" s="12">
        <f>IF('Données projet'!$A$166&gt;35,DO31+DN32-DW31,IF(A32&lt;'Données projet'!$A$166,$DL$205^A32,IF(A32='Données projet'!$A$166,'Données projet'!$B$166,DO31+DN32-DW31)))</f>
        <v>139.20000000000002</v>
      </c>
      <c r="DP32" s="17">
        <f>DO32*VLOOKUP('Données projet'!$B$14,Paramètres!$A$1:$I$89,3,0)*VLOOKUP('Données projet'!$B$14,Paramètres!$A$1:$I$89,5,0)</f>
        <v>121.60512000000003</v>
      </c>
      <c r="DQ32" s="13">
        <f t="shared" si="43"/>
        <v>32.049077176455789</v>
      </c>
      <c r="DR32" s="20">
        <f t="shared" si="16"/>
        <v>267.61439341566057</v>
      </c>
      <c r="DS32" s="59">
        <f t="shared" si="17"/>
        <v>559.72550452677172</v>
      </c>
      <c r="DT32" s="59">
        <f ca="1">AVERAGE(OFFSET($DS$3,0,0,'Données projet'!$E$14+1,1))-AVERAGE(OFFSET($H$3,0,0,'Données projet'!$E$14+1,1))</f>
        <v>354.24684313982857</v>
      </c>
      <c r="DU32" s="59">
        <f t="shared" si="44"/>
        <v>322.65043486962185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215.65384615384616</v>
      </c>
      <c r="L33" s="12">
        <f>VLOOKUP(A33,'Données projet'!$A$35:$I$55,9,0)</f>
        <v>16.020512820512824</v>
      </c>
      <c r="M33" s="12">
        <f t="array" ref="M33">INDEX(L:L,MIN(IF(ISNUMBER(L33:L229),ROW(L33:L229),"")))</f>
        <v>16.020512820512824</v>
      </c>
      <c r="N33" s="13">
        <f>IF('Données projet'!$A$36&gt;35,N32+M33-V32,IF(A33&lt;'Données projet'!$A$36,$K$205^A33,IF(A33='Données projet'!$A$36,'Données projet'!$B$36,N32+M33-V32)))</f>
        <v>215.65384615384622</v>
      </c>
      <c r="O33" s="13">
        <f>N33*VLOOKUP('Données projet'!$B$9,Paramètres!$A$1:$I$89,3,0)*VLOOKUP('Données projet'!$B$9,Paramètres!$A$1:$I$89,5,0)</f>
        <v>128.96100000000004</v>
      </c>
      <c r="P33" s="13">
        <f t="shared" si="33"/>
        <v>33.756164929705356</v>
      </c>
      <c r="Q33" s="20">
        <f t="shared" si="2"/>
        <v>283.39906225257022</v>
      </c>
      <c r="R33" s="59">
        <f t="shared" si="0"/>
        <v>576.73239558590353</v>
      </c>
      <c r="S33" s="59">
        <f ca="1">AVERAGE(OFFSET($R$3,0,0,'Données projet'!$E$9+1,1))-AVERAGE(OFFSET($H$3,0,0,'Données projet'!$E$9+1,1))</f>
        <v>355.09162485318728</v>
      </c>
      <c r="T33" s="59">
        <f t="shared" si="34"/>
        <v>320.06572891923685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55.869230769230761</v>
      </c>
      <c r="W33" s="16">
        <f>IF(ISNA(VLOOKUP(A33,'Données projet'!$A$35:$I$55,5,0)),0%,VLOOKUP(A33,'Données projet'!$A$35:$I$55,5,0)*VLOOKUP('Données projet'!$B$9,Paramètres!$A$1:$I$89,7,0))</f>
        <v>0.315</v>
      </c>
      <c r="X33" s="16">
        <f>IF(ISNA(VLOOKUP(A33,'Données projet'!$A$35:$I$55,6,0)),0%,VLOOKUP(A33,'Données projet'!$A$35:$I$55,6,0)*VLOOKUP('Données projet'!$B$9,Paramètres!$A$1:$I$89,7,0))</f>
        <v>7.5600000000000001E-2</v>
      </c>
      <c r="Y33" s="16">
        <f>IF(ISNA(VLOOKUP(A33,'Données projet'!$A$35:$I$55,7,0)),0%,VLOOKUP(A33,'Données projet'!$A$35:$I$55,7,0))</f>
        <v>0.13200000000000001</v>
      </c>
      <c r="Z33" s="21">
        <f>EXP(-LN(2)/35)*Z32+(1-EXP(-LN(2)/35))/(LN(2)/35)*V33*W33*VLOOKUP('Données projet'!$B$9,Paramètres!$A$1:$I$89,3,0)*0.475*44/12</f>
        <v>22.92859206837181</v>
      </c>
      <c r="AA33" s="21">
        <f>EXP(-LN(2)/25)*AA32+(1-EXP(-LN(2)/25))/(LN(2)/25)*Calculateur!V33*Calculateur!X33*VLOOKUP('Données projet'!$B$9,Paramètres!$A$1:$I$89,3,0)*0.475*44/12</f>
        <v>12.212547487214213</v>
      </c>
      <c r="AB33" s="21">
        <f>EXP(-LN(2)/2)*AB32+(1-EXP(-LN(2)/2))/(LN(2)/2)*V33*Y33*VLOOKUP('Données projet'!$B$9,Paramètres!$A$1:$I$89,3,0)*0.475*44/12</f>
        <v>5.7511235128148783</v>
      </c>
      <c r="AC33" s="22">
        <f t="shared" si="3"/>
        <v>40.892263068400901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103.27692307692307</v>
      </c>
      <c r="AG33" s="12">
        <f>VLOOKUP(A33,'Données projet'!$A$61:$I$81,9,0)</f>
        <v>3.4425641025641025</v>
      </c>
      <c r="AH33" s="12">
        <f t="array" ref="AH33">INDEX(AG:AG,MIN(IF(ISNUMBER(AG33:AG229),ROW(AG33:AG229),"")))</f>
        <v>3.4425641025641025</v>
      </c>
      <c r="AI33" s="13">
        <f>IF('Données projet'!$A$62&gt;35,AI32+AH33-AQ32,IF(A33&lt;'Données projet'!$A$62,$AF$205^A33,IF(A33='Données projet'!$A$62,'Données projet'!$B$62,AI32+AH33-AQ32)))</f>
        <v>103.27692307692307</v>
      </c>
      <c r="AJ33" s="13">
        <f>AI33*VLOOKUP('Données projet'!$B$10,Paramètres!$A$1:$I$89,3,0)*VLOOKUP('Données projet'!$B$10,Paramètres!$A$1:$I$89,5,0)</f>
        <v>48.333599999999997</v>
      </c>
      <c r="AK33" s="13">
        <f t="shared" si="35"/>
        <v>14.182559301951969</v>
      </c>
      <c r="AL33" s="20">
        <f t="shared" si="4"/>
        <v>108.88231078423301</v>
      </c>
      <c r="AM33" s="59">
        <f t="shared" si="5"/>
        <v>402.21564411756634</v>
      </c>
      <c r="AN33" s="59">
        <f ca="1">AVERAGE(OFFSET($AM$3,0,0,'Données projet'!$E$10+1,1))-AVERAGE(OFFSET($H$3,0,0,'Données projet'!$E$10+1,1))</f>
        <v>246.72166704460847</v>
      </c>
      <c r="AO33" s="59">
        <f t="shared" si="36"/>
        <v>145.54897745089966</v>
      </c>
      <c r="AP33" s="15" t="str">
        <f>IF(ISNA(VLOOKUP(A33,'Données projet'!$A$61:$I$81,3,0)),0,VLOOKUP(A33,'Données projet'!$A$61:$I$81,3,0))</f>
        <v>na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>
        <f>BD33*VLOOKUP('Données projet'!$B$11,Paramètres!$A$1:$I$89,3,0)*VLOOKUP('Données projet'!$B$11,Paramètres!$A$1:$I$89,5,0)</f>
        <v>0</v>
      </c>
      <c r="BF33" s="13" t="e">
        <f t="shared" si="37"/>
        <v>#NUM!</v>
      </c>
      <c r="BG33" s="20" t="e">
        <f t="shared" si="7"/>
        <v>#NUM!</v>
      </c>
      <c r="BH33" s="59" t="e">
        <f t="shared" si="8"/>
        <v>#NUM!</v>
      </c>
      <c r="BI33" s="59">
        <f ca="1">AVERAGE(OFFSET($BH$3,0,0,'Données projet'!$E$11+1,1))-AVERAGE(OFFSET($H$3,0,0,'Données projet'!$E$11+1,1))</f>
        <v>88.478637356802039</v>
      </c>
      <c r="BJ33" s="59">
        <f t="shared" si="38"/>
        <v>239.55411297259155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37.025843437629426</v>
      </c>
      <c r="BQ33" s="21">
        <f>EXP(-LN(2)/25)*BQ32+(1-EXP(-LN(2)/25))/(LN(2)/25)*Calculateur!BL33*Calculateur!BN33*VLOOKUP('Données projet'!$B$11,Paramètres!$A$1:$I$89,3,0)*0.475*44/12</f>
        <v>7.3009839417279006</v>
      </c>
      <c r="BR33" s="21">
        <f>EXP(-LN(2)/2)*BR32+(1-EXP(-LN(2)/2))/(LN(2)/2)*BL33*BO33*VLOOKUP('Données projet'!$B$11,Paramètres!$A$1:$I$89,3,0)*0.475*44/12</f>
        <v>0.42994480296028659</v>
      </c>
      <c r="BS33" s="22">
        <f t="shared" si="9"/>
        <v>44.756772182317611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88.108974358974351</v>
      </c>
      <c r="BW33" s="12">
        <f>VLOOKUP(A33,'Données projet'!$A$113:$I$133,9,0)</f>
        <v>2.9369658119658117</v>
      </c>
      <c r="BX33" s="12">
        <f t="array" ref="BX33">INDEX(BW:BW,MIN(IF(ISNUMBER(BW33:BW229),ROW(BW33:BW229),"")))</f>
        <v>2.9369658119658117</v>
      </c>
      <c r="BY33" s="12">
        <f>IF('Données projet'!$A$114&gt;35,BY32+BX33-CG32,IF(A33&lt;'Données projet'!$A$114,$BV$205^A33,IF(A33='Données projet'!$A$114,'Données projet'!$B$114,BY32+BX33-CG32)))</f>
        <v>88.108974358974351</v>
      </c>
      <c r="BZ33" s="13">
        <f>BY33*VLOOKUP('Données projet'!$B$12,Paramètres!$A$1:$I$89,3,0)*VLOOKUP('Données projet'!$B$12,Paramètres!$A$1:$I$89,5,0)</f>
        <v>79.720999999999989</v>
      </c>
      <c r="CA33" s="13">
        <f t="shared" si="39"/>
        <v>22.068953314055779</v>
      </c>
      <c r="CB33" s="20">
        <f t="shared" si="10"/>
        <v>177.28416868864713</v>
      </c>
      <c r="CC33" s="59">
        <f t="shared" si="11"/>
        <v>470.61750202198044</v>
      </c>
      <c r="CD33" s="59">
        <f ca="1">AVERAGE(OFFSET($CC$3,0,0,'Données projet'!$E$12+1,1))-AVERAGE(OFFSET($H$3,0,0,'Données projet'!$E$12+1,1))</f>
        <v>437.94387006020412</v>
      </c>
      <c r="CE33" s="59">
        <f t="shared" si="40"/>
        <v>213.95083535531376</v>
      </c>
      <c r="CF33" s="15" t="str">
        <f>IF(ISNA(VLOOKUP(A33,'Données projet'!$A$113:$I$133,3,0)),0,VLOOKUP(A33,'Données projet'!$A$113:$I$133,3,0))</f>
        <v>na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59.876923076923077</v>
      </c>
      <c r="CR33" s="12">
        <f>VLOOKUP(A33,'Données projet'!$A$139:$I$159,9,0)</f>
        <v>1.995897435897436</v>
      </c>
      <c r="CS33" s="12">
        <f t="array" ref="CS33">INDEX(CR:CR,MIN(IF(ISNUMBER(CR33:CR229),ROW(CR33:CR229),"")))</f>
        <v>1.995897435897436</v>
      </c>
      <c r="CT33" s="12">
        <f>IF('Données projet'!$A$140&gt;35,CT32+CS33-DB32,IF(A33&lt;'Données projet'!$A$140,$CQ$205^A33,IF(A33='Données projet'!$A$140,'Données projet'!$B$140,CT32+CS33-DB32)))</f>
        <v>59.876923076923077</v>
      </c>
      <c r="CU33" s="17">
        <f>CT33*VLOOKUP('Données projet'!$B$13,Paramètres!$A$1:$I$89,3,0)*VLOOKUP('Données projet'!$B$13,Paramètres!$A$1:$I$89,5,0)</f>
        <v>28.800800000000002</v>
      </c>
      <c r="CV33" s="13">
        <f t="shared" si="41"/>
        <v>8.975981037338574</v>
      </c>
      <c r="CW33" s="20">
        <f t="shared" si="13"/>
        <v>65.794560306698017</v>
      </c>
      <c r="CX33" s="59">
        <f t="shared" si="14"/>
        <v>359.12789364003135</v>
      </c>
      <c r="CY33" s="59">
        <f ca="1">AVERAGE(OFFSET($CX$3,0,0,'Données projet'!$E$13+1,1))-AVERAGE(OFFSET($H$3,0,0,'Données projet'!$E$13+1,1))</f>
        <v>258.42493116335032</v>
      </c>
      <c r="CZ33" s="59">
        <f t="shared" si="42"/>
        <v>102.46122697336466</v>
      </c>
      <c r="DA33" s="15" t="str">
        <f>IF(ISNA(VLOOKUP(A33,'Données projet'!$A$139:$I$159,3,0)),0,VLOOKUP(A33,'Données projet'!$A$139:$I$159,3,0))</f>
        <v>na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149</v>
      </c>
      <c r="DM33" s="12">
        <f>VLOOKUP(A33,'Données projet'!$A$165:$I$185,9,0)</f>
        <v>9.8000000000000007</v>
      </c>
      <c r="DN33" s="12">
        <f t="array" ref="DN33">INDEX(DM:DM,MIN(IF(ISNUMBER(DM33:DM229),ROW(DM33:DM229),"")))</f>
        <v>9.8000000000000007</v>
      </c>
      <c r="DO33" s="12">
        <f>IF('Données projet'!$A$166&gt;35,DO32+DN33-DW32,IF(A33&lt;'Données projet'!$A$166,$DL$205^A33,IF(A33='Données projet'!$A$166,'Données projet'!$B$166,DO32+DN33-DW32)))</f>
        <v>149.00000000000003</v>
      </c>
      <c r="DP33" s="17">
        <f>DO33*VLOOKUP('Données projet'!$B$14,Paramètres!$A$1:$I$89,3,0)*VLOOKUP('Données projet'!$B$14,Paramètres!$A$1:$I$89,5,0)</f>
        <v>130.16640000000004</v>
      </c>
      <c r="DQ33" s="13">
        <f t="shared" si="43"/>
        <v>34.034806623706302</v>
      </c>
      <c r="DR33" s="20">
        <f t="shared" si="16"/>
        <v>285.98376820295522</v>
      </c>
      <c r="DS33" s="59">
        <f t="shared" si="17"/>
        <v>579.31710153628853</v>
      </c>
      <c r="DT33" s="59">
        <f ca="1">AVERAGE(OFFSET($DS$3,0,0,'Données projet'!$E$14+1,1))-AVERAGE(OFFSET($H$3,0,0,'Données projet'!$E$14+1,1))</f>
        <v>354.24684313982857</v>
      </c>
      <c r="DU33" s="59">
        <f t="shared" si="44"/>
        <v>322.65043486962185</v>
      </c>
      <c r="DV33" s="15">
        <f>IF(ISNA(VLOOKUP(A33,'Données projet'!$A$165:$I$185,3,0)),0,VLOOKUP(A33,'Données projet'!$A$165:$I$185,3,0))</f>
        <v>3</v>
      </c>
      <c r="DW33" s="15" t="str">
        <f>IF(ISNA(VLOOKUP(A33,'Données projet'!$A$165:$I$185,4,0)),0,VLOOKUP(A33,'Données projet'!$A$165:$I$185,4,0))</f>
        <v>27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15.48351648351648</v>
      </c>
      <c r="N34" s="13">
        <f>IF('Données projet'!$A$36&gt;35,N33+M34-V33,IF(A34&lt;'Données projet'!$A$36,$K$205^A34,IF(A34='Données projet'!$A$36,'Données projet'!$B$36,N33+M34-V33)))</f>
        <v>175.26813186813192</v>
      </c>
      <c r="O34" s="13">
        <f>N34*VLOOKUP('Données projet'!$B$9,Paramètres!$A$1:$I$89,3,0)*VLOOKUP('Données projet'!$B$9,Paramètres!$A$1:$I$89,5,0)</f>
        <v>104.8103428571429</v>
      </c>
      <c r="P34" s="13">
        <f t="shared" si="33"/>
        <v>28.104843056220705</v>
      </c>
      <c r="Q34" s="20">
        <f t="shared" si="2"/>
        <v>231.49394879910827</v>
      </c>
      <c r="R34" s="59">
        <f t="shared" si="0"/>
        <v>524.82728213244161</v>
      </c>
      <c r="S34" s="59">
        <f ca="1">AVERAGE(OFFSET($R$3,0,0,'Données projet'!$E$9+1,1))-AVERAGE(OFFSET($H$3,0,0,'Données projet'!$E$9+1,1))</f>
        <v>355.09162485318728</v>
      </c>
      <c r="T34" s="59">
        <f t="shared" si="34"/>
        <v>320.06572891923685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22.478976362971292</v>
      </c>
      <c r="AA34" s="21">
        <f>EXP(-LN(2)/25)*AA33+(1-EXP(-LN(2)/25))/(LN(2)/25)*Calculateur!V34*Calculateur!X34*VLOOKUP('Données projet'!$B$9,Paramètres!$A$1:$I$89,3,0)*0.475*44/12</f>
        <v>11.878594733946381</v>
      </c>
      <c r="AB34" s="21">
        <f>EXP(-LN(2)/2)*AB33+(1-EXP(-LN(2)/2))/(LN(2)/2)*V34*Y34*VLOOKUP('Données projet'!$B$9,Paramètres!$A$1:$I$89,3,0)*0.475*44/12</f>
        <v>4.0666584353527986</v>
      </c>
      <c r="AC34" s="22">
        <f t="shared" si="3"/>
        <v>38.424229532270473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10.407692307692306</v>
      </c>
      <c r="AI34" s="13">
        <f>IF('Données projet'!$A$62&gt;35,AI33+AH34-AQ33,IF(A34&lt;'Données projet'!$A$62,$AF$205^A34,IF(A34='Données projet'!$A$62,'Données projet'!$B$62,AI33+AH34-AQ33)))</f>
        <v>113.68461538461537</v>
      </c>
      <c r="AJ34" s="13">
        <f>AI34*VLOOKUP('Données projet'!$B$10,Paramètres!$A$1:$I$89,3,0)*VLOOKUP('Données projet'!$B$10,Paramètres!$A$1:$I$89,5,0)</f>
        <v>53.204399999999993</v>
      </c>
      <c r="AK34" s="13">
        <f t="shared" si="35"/>
        <v>15.43829445428918</v>
      </c>
      <c r="AL34" s="20">
        <f t="shared" si="4"/>
        <v>119.55269284122029</v>
      </c>
      <c r="AM34" s="59">
        <f t="shared" si="5"/>
        <v>412.88602617455359</v>
      </c>
      <c r="AN34" s="59">
        <f ca="1">AVERAGE(OFFSET($AM$3,0,0,'Données projet'!$E$10+1,1))-AVERAGE(OFFSET($H$3,0,0,'Données projet'!$E$10+1,1))</f>
        <v>246.72166704460847</v>
      </c>
      <c r="AO34" s="59">
        <f t="shared" si="36"/>
        <v>145.54897745089966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>
        <f>BD34*VLOOKUP('Données projet'!$B$11,Paramètres!$A$1:$I$89,3,0)*VLOOKUP('Données projet'!$B$11,Paramètres!$A$1:$I$89,5,0)</f>
        <v>0</v>
      </c>
      <c r="BF34" s="13" t="e">
        <f t="shared" si="37"/>
        <v>#NUM!</v>
      </c>
      <c r="BG34" s="20" t="e">
        <f t="shared" si="7"/>
        <v>#NUM!</v>
      </c>
      <c r="BH34" s="59" t="e">
        <f t="shared" si="8"/>
        <v>#NUM!</v>
      </c>
      <c r="BI34" s="59">
        <f ca="1">AVERAGE(OFFSET($BH$3,0,0,'Données projet'!$E$11+1,1))-AVERAGE(OFFSET($H$3,0,0,'Données projet'!$E$11+1,1))</f>
        <v>88.478637356802039</v>
      </c>
      <c r="BJ34" s="59">
        <f t="shared" si="38"/>
        <v>239.55411297259155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36.299789231352072</v>
      </c>
      <c r="BQ34" s="21">
        <f>EXP(-LN(2)/25)*BQ33+(1-EXP(-LN(2)/25))/(LN(2)/25)*Calculateur!BL34*Calculateur!BN34*VLOOKUP('Données projet'!$B$11,Paramètres!$A$1:$I$89,3,0)*0.475*44/12</f>
        <v>7.1013381518992924</v>
      </c>
      <c r="BR34" s="21">
        <f>EXP(-LN(2)/2)*BR33+(1-EXP(-LN(2)/2))/(LN(2)/2)*BL34*BO34*VLOOKUP('Données projet'!$B$11,Paramètres!$A$1:$I$89,3,0)*0.475*44/12</f>
        <v>0.30401688570913266</v>
      </c>
      <c r="BS34" s="22">
        <f t="shared" si="9"/>
        <v>43.705144268960495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4.8846153846153868</v>
      </c>
      <c r="BY34" s="12">
        <f>IF('Données projet'!$A$114&gt;35,BY33+BX34-CG33,IF(A34&lt;'Données projet'!$A$114,$BV$205^A34,IF(A34='Données projet'!$A$114,'Données projet'!$B$114,BY33+BX34-CG33)))</f>
        <v>92.993589743589737</v>
      </c>
      <c r="BZ34" s="13">
        <f>BY34*VLOOKUP('Données projet'!$B$12,Paramètres!$A$1:$I$89,3,0)*VLOOKUP('Données projet'!$B$12,Paramètres!$A$1:$I$89,5,0)</f>
        <v>84.140599999999992</v>
      </c>
      <c r="CA34" s="13">
        <f t="shared" si="39"/>
        <v>23.146589900523288</v>
      </c>
      <c r="CB34" s="20">
        <f t="shared" si="10"/>
        <v>186.85852241007805</v>
      </c>
      <c r="CC34" s="59">
        <f t="shared" si="11"/>
        <v>480.19185574341134</v>
      </c>
      <c r="CD34" s="59">
        <f ca="1">AVERAGE(OFFSET($CC$3,0,0,'Données projet'!$E$12+1,1))-AVERAGE(OFFSET($H$3,0,0,'Données projet'!$E$12+1,1))</f>
        <v>437.94387006020412</v>
      </c>
      <c r="CE34" s="59">
        <f t="shared" si="40"/>
        <v>213.95083535531376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14.501923076923077</v>
      </c>
      <c r="CT34" s="12">
        <f>IF('Données projet'!$A$140&gt;35,CT33+CS34-DB33,IF(A34&lt;'Données projet'!$A$140,$CQ$205^A34,IF(A34='Données projet'!$A$140,'Données projet'!$B$140,CT33+CS34-DB33)))</f>
        <v>74.378846153846155</v>
      </c>
      <c r="CU34" s="17">
        <f>CT34*VLOOKUP('Données projet'!$B$13,Paramètres!$A$1:$I$89,3,0)*VLOOKUP('Données projet'!$B$13,Paramètres!$A$1:$I$89,5,0)</f>
        <v>35.776224999999997</v>
      </c>
      <c r="CV34" s="13">
        <f t="shared" si="41"/>
        <v>10.87196828249626</v>
      </c>
      <c r="CW34" s="20">
        <f t="shared" si="13"/>
        <v>81.245603300347639</v>
      </c>
      <c r="CX34" s="59">
        <f t="shared" si="14"/>
        <v>374.57893663368094</v>
      </c>
      <c r="CY34" s="59">
        <f ca="1">AVERAGE(OFFSET($CX$3,0,0,'Données projet'!$E$13+1,1))-AVERAGE(OFFSET($H$3,0,0,'Données projet'!$E$13+1,1))</f>
        <v>258.42493116335032</v>
      </c>
      <c r="CZ34" s="59">
        <f t="shared" si="42"/>
        <v>102.46122697336466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9.1999999999999993</v>
      </c>
      <c r="DO34" s="12">
        <f>IF('Données projet'!$A$166&gt;35,DO33+DN34-DW33,IF(A34&lt;'Données projet'!$A$166,$DL$205^A34,IF(A34='Données projet'!$A$166,'Données projet'!$B$166,DO33+DN34-DW33)))</f>
        <v>131.20000000000002</v>
      </c>
      <c r="DP34" s="17">
        <f>DO34*VLOOKUP('Données projet'!$B$14,Paramètres!$A$1:$I$89,3,0)*VLOOKUP('Données projet'!$B$14,Paramètres!$A$1:$I$89,5,0)</f>
        <v>114.61632000000004</v>
      </c>
      <c r="DQ34" s="13">
        <f t="shared" si="43"/>
        <v>30.416009647934409</v>
      </c>
      <c r="DR34" s="20">
        <f t="shared" si="16"/>
        <v>252.59797413681915</v>
      </c>
      <c r="DS34" s="59">
        <f t="shared" si="17"/>
        <v>545.93130747015243</v>
      </c>
      <c r="DT34" s="59">
        <f ca="1">AVERAGE(OFFSET($DS$3,0,0,'Données projet'!$E$14+1,1))-AVERAGE(OFFSET($H$3,0,0,'Données projet'!$E$14+1,1))</f>
        <v>354.24684313982857</v>
      </c>
      <c r="DU34" s="59">
        <f t="shared" si="44"/>
        <v>322.65043486962185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15.48351648351648</v>
      </c>
      <c r="N35" s="13">
        <f>IF('Données projet'!$A$36&gt;35,N34+M35-V34,IF(A35&lt;'Données projet'!$A$36,$K$205^A35,IF(A35='Données projet'!$A$36,'Données projet'!$B$36,N34+M35-V34)))</f>
        <v>190.75164835164838</v>
      </c>
      <c r="O35" s="13">
        <f>N35*VLOOKUP('Données projet'!$B$9,Paramètres!$A$1:$I$89,3,0)*VLOOKUP('Données projet'!$B$9,Paramètres!$A$1:$I$89,5,0)</f>
        <v>114.06948571428575</v>
      </c>
      <c r="P35" s="13">
        <f t="shared" si="33"/>
        <v>30.287750600607666</v>
      </c>
      <c r="Q35" s="20">
        <f t="shared" ref="Q35:Q66" si="53">(O35+P35)*0.475*44/12</f>
        <v>251.42218658177271</v>
      </c>
      <c r="R35" s="59">
        <f t="shared" si="0"/>
        <v>544.75551991510599</v>
      </c>
      <c r="S35" s="59">
        <f ca="1">AVERAGE(OFFSET($R$3,0,0,'Données projet'!$E$9+1,1))-AVERAGE(OFFSET($H$3,0,0,'Données projet'!$E$9+1,1))</f>
        <v>355.09162485318728</v>
      </c>
      <c r="T35" s="59">
        <f t="shared" si="34"/>
        <v>320.06572891923685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22.038177347315173</v>
      </c>
      <c r="AA35" s="21">
        <f>EXP(-LN(2)/25)*AA34+(1-EXP(-LN(2)/25))/(LN(2)/25)*Calculateur!V35*Calculateur!X35*VLOOKUP('Données projet'!$B$9,Paramètres!$A$1:$I$89,3,0)*0.475*44/12</f>
        <v>11.553773936278469</v>
      </c>
      <c r="AB35" s="21">
        <f>EXP(-LN(2)/2)*AB34+(1-EXP(-LN(2)/2))/(LN(2)/2)*V35*Y35*VLOOKUP('Données projet'!$B$9,Paramètres!$A$1:$I$89,3,0)*0.475*44/12</f>
        <v>2.8755617564074392</v>
      </c>
      <c r="AC35" s="22">
        <f t="shared" si="3"/>
        <v>36.46751304000108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10.407692307692306</v>
      </c>
      <c r="AI35" s="13">
        <f>IF('Données projet'!$A$62&gt;35,AI34+AH35-AQ34,IF(A35&lt;'Données projet'!$A$62,$AF$205^A35,IF(A35='Données projet'!$A$62,'Données projet'!$B$62,AI34+AH35-AQ34)))</f>
        <v>124.09230769230767</v>
      </c>
      <c r="AJ35" s="13">
        <f>AI35*VLOOKUP('Données projet'!$B$10,Paramètres!$A$1:$I$89,3,0)*VLOOKUP('Données projet'!$B$10,Paramètres!$A$1:$I$89,5,0)</f>
        <v>58.075199999999995</v>
      </c>
      <c r="AK35" s="13">
        <f t="shared" si="35"/>
        <v>16.680699544623803</v>
      </c>
      <c r="AL35" s="20">
        <f t="shared" si="4"/>
        <v>130.19985837355313</v>
      </c>
      <c r="AM35" s="59">
        <f t="shared" si="5"/>
        <v>423.53319170688644</v>
      </c>
      <c r="AN35" s="59">
        <f ca="1">AVERAGE(OFFSET($AM$3,0,0,'Données projet'!$E$10+1,1))-AVERAGE(OFFSET($H$3,0,0,'Données projet'!$E$10+1,1))</f>
        <v>246.72166704460847</v>
      </c>
      <c r="AO35" s="59">
        <f t="shared" si="36"/>
        <v>145.54897745089966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>
        <f>BD35*VLOOKUP('Données projet'!$B$11,Paramètres!$A$1:$I$89,3,0)*VLOOKUP('Données projet'!$B$11,Paramètres!$A$1:$I$89,5,0)</f>
        <v>0</v>
      </c>
      <c r="BF35" s="13" t="e">
        <f t="shared" si="37"/>
        <v>#NUM!</v>
      </c>
      <c r="BG35" s="20" t="e">
        <f t="shared" si="7"/>
        <v>#NUM!</v>
      </c>
      <c r="BH35" s="59" t="e">
        <f t="shared" si="8"/>
        <v>#NUM!</v>
      </c>
      <c r="BI35" s="59">
        <f ca="1">AVERAGE(OFFSET($BH$3,0,0,'Données projet'!$E$11+1,1))-AVERAGE(OFFSET($H$3,0,0,'Données projet'!$E$11+1,1))</f>
        <v>88.478637356802039</v>
      </c>
      <c r="BJ35" s="59">
        <f t="shared" si="38"/>
        <v>239.55411297259155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35.58797250521048</v>
      </c>
      <c r="BQ35" s="21">
        <f>EXP(-LN(2)/25)*BQ34+(1-EXP(-LN(2)/25))/(LN(2)/25)*Calculateur!BL35*Calculateur!BN35*VLOOKUP('Données projet'!$B$11,Paramètres!$A$1:$I$89,3,0)*0.475*44/12</f>
        <v>6.9071516866924636</v>
      </c>
      <c r="BR35" s="21">
        <f>EXP(-LN(2)/2)*BR34+(1-EXP(-LN(2)/2))/(LN(2)/2)*BL35*BO35*VLOOKUP('Données projet'!$B$11,Paramètres!$A$1:$I$89,3,0)*0.475*44/12</f>
        <v>0.21497240148014329</v>
      </c>
      <c r="BS35" s="22">
        <f t="shared" si="9"/>
        <v>42.710096593383092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4.8846153846153868</v>
      </c>
      <c r="BY35" s="12">
        <f>IF('Données projet'!$A$114&gt;35,BY34+BX35-CG34,IF(A35&lt;'Données projet'!$A$114,$BV$205^A35,IF(A35='Données projet'!$A$114,'Données projet'!$B$114,BY34+BX35-CG34)))</f>
        <v>97.878205128205124</v>
      </c>
      <c r="BZ35" s="13">
        <f>BY35*VLOOKUP('Données projet'!$B$12,Paramètres!$A$1:$I$89,3,0)*VLOOKUP('Données projet'!$B$12,Paramètres!$A$1:$I$89,5,0)</f>
        <v>88.560199999999995</v>
      </c>
      <c r="CA35" s="13">
        <f t="shared" si="39"/>
        <v>24.217654653284342</v>
      </c>
      <c r="CB35" s="20">
        <f t="shared" si="10"/>
        <v>196.42143018780357</v>
      </c>
      <c r="CC35" s="59">
        <f t="shared" si="11"/>
        <v>489.75476352113685</v>
      </c>
      <c r="CD35" s="59">
        <f ca="1">AVERAGE(OFFSET($CC$3,0,0,'Données projet'!$E$12+1,1))-AVERAGE(OFFSET($H$3,0,0,'Données projet'!$E$12+1,1))</f>
        <v>437.94387006020412</v>
      </c>
      <c r="CE35" s="59">
        <f t="shared" si="40"/>
        <v>213.95083535531376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14.501923076923077</v>
      </c>
      <c r="CT35" s="12">
        <f>IF('Données projet'!$A$140&gt;35,CT34+CS35-DB34,IF(A35&lt;'Données projet'!$A$140,$CQ$205^A35,IF(A35='Données projet'!$A$140,'Données projet'!$B$140,CT34+CS35-DB34)))</f>
        <v>88.880769230769232</v>
      </c>
      <c r="CU35" s="17">
        <f>CT35*VLOOKUP('Données projet'!$B$13,Paramètres!$A$1:$I$89,3,0)*VLOOKUP('Données projet'!$B$13,Paramètres!$A$1:$I$89,5,0)</f>
        <v>42.751650000000005</v>
      </c>
      <c r="CV35" s="13">
        <f t="shared" si="41"/>
        <v>12.725124219576834</v>
      </c>
      <c r="CW35" s="20">
        <f t="shared" si="13"/>
        <v>96.622048432429665</v>
      </c>
      <c r="CX35" s="59">
        <f t="shared" si="14"/>
        <v>389.95538176576298</v>
      </c>
      <c r="CY35" s="59">
        <f ca="1">AVERAGE(OFFSET($CX$3,0,0,'Données projet'!$E$13+1,1))-AVERAGE(OFFSET($H$3,0,0,'Données projet'!$E$13+1,1))</f>
        <v>258.42493116335032</v>
      </c>
      <c r="CZ35" s="59">
        <f t="shared" si="42"/>
        <v>102.46122697336466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9.1999999999999993</v>
      </c>
      <c r="DO35" s="12">
        <f>IF('Données projet'!$A$166&gt;35,DO34+DN35-DW34,IF(A35&lt;'Données projet'!$A$166,$DL$205^A35,IF(A35='Données projet'!$A$166,'Données projet'!$B$166,DO34+DN35-DW34)))</f>
        <v>140.4</v>
      </c>
      <c r="DP35" s="17">
        <f>DO35*VLOOKUP('Données projet'!$B$14,Paramètres!$A$1:$I$89,3,0)*VLOOKUP('Données projet'!$B$14,Paramètres!$A$1:$I$89,5,0)</f>
        <v>122.65344000000002</v>
      </c>
      <c r="DQ35" s="13">
        <f t="shared" si="43"/>
        <v>32.293080640759037</v>
      </c>
      <c r="DR35" s="20">
        <f t="shared" si="16"/>
        <v>269.8651901159887</v>
      </c>
      <c r="DS35" s="59">
        <f t="shared" si="17"/>
        <v>563.19852344932201</v>
      </c>
      <c r="DT35" s="59">
        <f ca="1">AVERAGE(OFFSET($DS$3,0,0,'Données projet'!$E$14+1,1))-AVERAGE(OFFSET($H$3,0,0,'Données projet'!$E$14+1,1))</f>
        <v>354.24684313982857</v>
      </c>
      <c r="DU35" s="59">
        <f t="shared" si="44"/>
        <v>322.65043486962185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15.48351648351648</v>
      </c>
      <c r="N36" s="13">
        <f>IF('Données projet'!$A$36&gt;35,N35+M36-V35,IF(A36&lt;'Données projet'!$A$36,$K$205^A36,IF(A36='Données projet'!$A$36,'Données projet'!$B$36,N35+M36-V35)))</f>
        <v>206.23516483516485</v>
      </c>
      <c r="O36" s="13">
        <f>N36*VLOOKUP('Données projet'!$B$9,Paramètres!$A$1:$I$89,3,0)*VLOOKUP('Données projet'!$B$9,Paramètres!$A$1:$I$89,5,0)</f>
        <v>123.3286285714286</v>
      </c>
      <c r="P36" s="13">
        <f t="shared" si="33"/>
        <v>32.450106672465495</v>
      </c>
      <c r="Q36" s="20">
        <f t="shared" si="53"/>
        <v>271.31463054978218</v>
      </c>
      <c r="R36" s="59">
        <f t="shared" si="0"/>
        <v>564.64796388311549</v>
      </c>
      <c r="S36" s="59">
        <f ca="1">AVERAGE(OFFSET($R$3,0,0,'Données projet'!$E$9+1,1))-AVERAGE(OFFSET($H$3,0,0,'Données projet'!$E$9+1,1))</f>
        <v>355.09162485318728</v>
      </c>
      <c r="T36" s="59">
        <f t="shared" si="34"/>
        <v>320.06572891923685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21.606022131495219</v>
      </c>
      <c r="AA36" s="21">
        <f>EXP(-LN(2)/25)*AA35+(1-EXP(-LN(2)/25))/(LN(2)/25)*Calculateur!V36*Calculateur!X36*VLOOKUP('Données projet'!$B$9,Paramètres!$A$1:$I$89,3,0)*0.475*44/12</f>
        <v>11.23783538040437</v>
      </c>
      <c r="AB36" s="21">
        <f>EXP(-LN(2)/2)*AB35+(1-EXP(-LN(2)/2))/(LN(2)/2)*V36*Y36*VLOOKUP('Données projet'!$B$9,Paramètres!$A$1:$I$89,3,0)*0.475*44/12</f>
        <v>2.0333292176763993</v>
      </c>
      <c r="AC36" s="22">
        <f t="shared" si="3"/>
        <v>34.877186729575982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10.407692307692306</v>
      </c>
      <c r="AI36" s="13">
        <f>IF('Données projet'!$A$62&gt;35,AI35+AH36-AQ35,IF(A36&lt;'Données projet'!$A$62,$AF$205^A36,IF(A36='Données projet'!$A$62,'Données projet'!$B$62,AI35+AH36-AQ35)))</f>
        <v>134.49999999999997</v>
      </c>
      <c r="AJ36" s="13">
        <f>AI36*VLOOKUP('Données projet'!$B$10,Paramètres!$A$1:$I$89,3,0)*VLOOKUP('Données projet'!$B$10,Paramètres!$A$1:$I$89,5,0)</f>
        <v>62.945999999999984</v>
      </c>
      <c r="AK36" s="13">
        <f t="shared" si="35"/>
        <v>17.911019680519317</v>
      </c>
      <c r="AL36" s="20">
        <f t="shared" si="4"/>
        <v>140.82597594357108</v>
      </c>
      <c r="AM36" s="59">
        <f t="shared" si="5"/>
        <v>434.15930927690442</v>
      </c>
      <c r="AN36" s="59">
        <f ca="1">AVERAGE(OFFSET($AM$3,0,0,'Données projet'!$E$10+1,1))-AVERAGE(OFFSET($H$3,0,0,'Données projet'!$E$10+1,1))</f>
        <v>246.72166704460847</v>
      </c>
      <c r="AO36" s="59">
        <f t="shared" si="36"/>
        <v>145.54897745089966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>
        <f>BD36*VLOOKUP('Données projet'!$B$11,Paramètres!$A$1:$I$89,3,0)*VLOOKUP('Données projet'!$B$11,Paramètres!$A$1:$I$89,5,0)</f>
        <v>0</v>
      </c>
      <c r="BF36" s="13" t="e">
        <f t="shared" si="37"/>
        <v>#NUM!</v>
      </c>
      <c r="BG36" s="20" t="e">
        <f t="shared" si="7"/>
        <v>#NUM!</v>
      </c>
      <c r="BH36" s="59" t="e">
        <f t="shared" si="8"/>
        <v>#NUM!</v>
      </c>
      <c r="BI36" s="59">
        <f ca="1">AVERAGE(OFFSET($BH$3,0,0,'Données projet'!$E$11+1,1))-AVERAGE(OFFSET($H$3,0,0,'Données projet'!$E$11+1,1))</f>
        <v>88.478637356802039</v>
      </c>
      <c r="BJ36" s="59">
        <f t="shared" si="38"/>
        <v>239.55411297259155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34.890114070903188</v>
      </c>
      <c r="BQ36" s="21">
        <f>EXP(-LN(2)/25)*BQ35+(1-EXP(-LN(2)/25))/(LN(2)/25)*Calculateur!BL36*Calculateur!BN36*VLOOKUP('Données projet'!$B$11,Paramètres!$A$1:$I$89,3,0)*0.475*44/12</f>
        <v>6.7182752605885376</v>
      </c>
      <c r="BR36" s="21">
        <f>EXP(-LN(2)/2)*BR35+(1-EXP(-LN(2)/2))/(LN(2)/2)*BL36*BO36*VLOOKUP('Données projet'!$B$11,Paramètres!$A$1:$I$89,3,0)*0.475*44/12</f>
        <v>0.15200844285456633</v>
      </c>
      <c r="BS36" s="22">
        <f t="shared" si="9"/>
        <v>41.760397774346288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4.8846153846153868</v>
      </c>
      <c r="BY36" s="12">
        <f>IF('Données projet'!$A$114&gt;35,BY35+BX36-CG35,IF(A36&lt;'Données projet'!$A$114,$BV$205^A36,IF(A36='Données projet'!$A$114,'Données projet'!$B$114,BY35+BX36-CG35)))</f>
        <v>102.76282051282051</v>
      </c>
      <c r="BZ36" s="13">
        <f>BY36*VLOOKUP('Données projet'!$B$12,Paramètres!$A$1:$I$89,3,0)*VLOOKUP('Données projet'!$B$12,Paramètres!$A$1:$I$89,5,0)</f>
        <v>92.979799999999983</v>
      </c>
      <c r="CA36" s="13">
        <f t="shared" si="39"/>
        <v>25.282512964603065</v>
      </c>
      <c r="CB36" s="20">
        <f t="shared" si="10"/>
        <v>205.97352841335029</v>
      </c>
      <c r="CC36" s="59">
        <f t="shared" si="11"/>
        <v>499.30686174668358</v>
      </c>
      <c r="CD36" s="59">
        <f ca="1">AVERAGE(OFFSET($CC$3,0,0,'Données projet'!$E$12+1,1))-AVERAGE(OFFSET($H$3,0,0,'Données projet'!$E$12+1,1))</f>
        <v>437.94387006020412</v>
      </c>
      <c r="CE36" s="59">
        <f t="shared" si="40"/>
        <v>213.95083535531376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14.501923076923077</v>
      </c>
      <c r="CT36" s="12">
        <f>IF('Données projet'!$A$140&gt;35,CT35+CS36-DB35,IF(A36&lt;'Données projet'!$A$140,$CQ$205^A36,IF(A36='Données projet'!$A$140,'Données projet'!$B$140,CT35+CS36-DB35)))</f>
        <v>103.38269230769231</v>
      </c>
      <c r="CU36" s="17">
        <f>CT36*VLOOKUP('Données projet'!$B$13,Paramètres!$A$1:$I$89,3,0)*VLOOKUP('Données projet'!$B$13,Paramètres!$A$1:$I$89,5,0)</f>
        <v>49.727074999999999</v>
      </c>
      <c r="CV36" s="13">
        <f t="shared" si="41"/>
        <v>14.543253154712993</v>
      </c>
      <c r="CW36" s="20">
        <f t="shared" si="13"/>
        <v>111.93748820279177</v>
      </c>
      <c r="CX36" s="59">
        <f t="shared" si="14"/>
        <v>405.27082153612508</v>
      </c>
      <c r="CY36" s="59">
        <f ca="1">AVERAGE(OFFSET($CX$3,0,0,'Données projet'!$E$13+1,1))-AVERAGE(OFFSET($H$3,0,0,'Données projet'!$E$13+1,1))</f>
        <v>258.42493116335032</v>
      </c>
      <c r="CZ36" s="59">
        <f t="shared" si="42"/>
        <v>102.46122697336466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9.1999999999999993</v>
      </c>
      <c r="DO36" s="12">
        <f>IF('Données projet'!$A$166&gt;35,DO35+DN36-DW35,IF(A36&lt;'Données projet'!$A$166,$DL$205^A36,IF(A36='Données projet'!$A$166,'Données projet'!$B$166,DO35+DN36-DW35)))</f>
        <v>149.6</v>
      </c>
      <c r="DP36" s="17">
        <f>DO36*VLOOKUP('Données projet'!$B$14,Paramètres!$A$1:$I$89,3,0)*VLOOKUP('Données projet'!$B$14,Paramètres!$A$1:$I$89,5,0)</f>
        <v>130.69056000000003</v>
      </c>
      <c r="DQ36" s="13">
        <f t="shared" si="43"/>
        <v>34.155878238422723</v>
      </c>
      <c r="DR36" s="20">
        <f t="shared" si="16"/>
        <v>287.10754659858628</v>
      </c>
      <c r="DS36" s="59">
        <f t="shared" si="17"/>
        <v>580.44087993191965</v>
      </c>
      <c r="DT36" s="59">
        <f ca="1">AVERAGE(OFFSET($DS$3,0,0,'Données projet'!$E$14+1,1))-AVERAGE(OFFSET($H$3,0,0,'Données projet'!$E$14+1,1))</f>
        <v>354.24684313982857</v>
      </c>
      <c r="DU36" s="59">
        <f t="shared" si="44"/>
        <v>322.65043486962185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15.48351648351648</v>
      </c>
      <c r="N37" s="13">
        <f>IF('Données projet'!$A$36&gt;35,N36+M37-V36,IF(A37&lt;'Données projet'!$A$36,$K$205^A37,IF(A37='Données projet'!$A$36,'Données projet'!$B$36,N36+M37-V36)))</f>
        <v>221.71868131868132</v>
      </c>
      <c r="O37" s="13">
        <f>N37*VLOOKUP('Données projet'!$B$9,Paramètres!$A$1:$I$89,3,0)*VLOOKUP('Données projet'!$B$9,Paramètres!$A$1:$I$89,5,0)</f>
        <v>132.58777142857144</v>
      </c>
      <c r="P37" s="13">
        <f t="shared" si="33"/>
        <v>34.593629659414489</v>
      </c>
      <c r="Q37" s="20">
        <f t="shared" si="53"/>
        <v>291.17427356157549</v>
      </c>
      <c r="R37" s="59">
        <f t="shared" si="0"/>
        <v>584.5076068949088</v>
      </c>
      <c r="S37" s="59">
        <f ca="1">AVERAGE(OFFSET($R$3,0,0,'Données projet'!$E$9+1,1))-AVERAGE(OFFSET($H$3,0,0,'Données projet'!$E$9+1,1))</f>
        <v>355.09162485318728</v>
      </c>
      <c r="T37" s="59">
        <f t="shared" si="34"/>
        <v>320.06572891923685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21.182341215868842</v>
      </c>
      <c r="AA37" s="21">
        <f>EXP(-LN(2)/25)*AA36+(1-EXP(-LN(2)/25))/(LN(2)/25)*Calculateur!V37*Calculateur!X37*VLOOKUP('Données projet'!$B$9,Paramètres!$A$1:$I$89,3,0)*0.475*44/12</f>
        <v>10.930536180955134</v>
      </c>
      <c r="AB37" s="21">
        <f>EXP(-LN(2)/2)*AB36+(1-EXP(-LN(2)/2))/(LN(2)/2)*V37*Y37*VLOOKUP('Données projet'!$B$9,Paramètres!$A$1:$I$89,3,0)*0.475*44/12</f>
        <v>1.4377808782037196</v>
      </c>
      <c r="AC37" s="22">
        <f t="shared" si="3"/>
        <v>33.550658275027693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10.407692307692306</v>
      </c>
      <c r="AI37" s="13">
        <f>IF('Données projet'!$A$62&gt;35,AI36+AH37-AQ36,IF(A37&lt;'Données projet'!$A$62,$AF$205^A37,IF(A37='Données projet'!$A$62,'Données projet'!$B$62,AI36+AH37-AQ36)))</f>
        <v>144.90769230769229</v>
      </c>
      <c r="AJ37" s="13">
        <f>AI37*VLOOKUP('Données projet'!$B$10,Paramètres!$A$1:$I$89,3,0)*VLOOKUP('Données projet'!$B$10,Paramètres!$A$1:$I$89,5,0)</f>
        <v>67.816799999999986</v>
      </c>
      <c r="AK37" s="13">
        <f t="shared" si="35"/>
        <v>19.130296326257337</v>
      </c>
      <c r="AL37" s="20">
        <f t="shared" si="4"/>
        <v>151.43285943489818</v>
      </c>
      <c r="AM37" s="59">
        <f t="shared" si="5"/>
        <v>444.76619276823146</v>
      </c>
      <c r="AN37" s="59">
        <f ca="1">AVERAGE(OFFSET($AM$3,0,0,'Données projet'!$E$10+1,1))-AVERAGE(OFFSET($H$3,0,0,'Données projet'!$E$10+1,1))</f>
        <v>246.72166704460847</v>
      </c>
      <c r="AO37" s="59">
        <f t="shared" si="36"/>
        <v>145.54897745089966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>
        <f>BD37*VLOOKUP('Données projet'!$B$11,Paramètres!$A$1:$I$89,3,0)*VLOOKUP('Données projet'!$B$11,Paramètres!$A$1:$I$89,5,0)</f>
        <v>0</v>
      </c>
      <c r="BF37" s="13" t="e">
        <f t="shared" si="37"/>
        <v>#NUM!</v>
      </c>
      <c r="BG37" s="20" t="e">
        <f t="shared" si="7"/>
        <v>#NUM!</v>
      </c>
      <c r="BH37" s="59" t="e">
        <f t="shared" si="8"/>
        <v>#NUM!</v>
      </c>
      <c r="BI37" s="59">
        <f ca="1">AVERAGE(OFFSET($BH$3,0,0,'Données projet'!$E$11+1,1))-AVERAGE(OFFSET($H$3,0,0,'Données projet'!$E$11+1,1))</f>
        <v>88.478637356802039</v>
      </c>
      <c r="BJ37" s="59">
        <f t="shared" si="38"/>
        <v>239.55411297259155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34.20594021484105</v>
      </c>
      <c r="BQ37" s="21">
        <f>EXP(-LN(2)/25)*BQ36+(1-EXP(-LN(2)/25))/(LN(2)/25)*Calculateur!BL37*Calculateur!BN37*VLOOKUP('Données projet'!$B$11,Paramètres!$A$1:$I$89,3,0)*0.475*44/12</f>
        <v>6.5345636702890033</v>
      </c>
      <c r="BR37" s="21">
        <f>EXP(-LN(2)/2)*BR36+(1-EXP(-LN(2)/2))/(LN(2)/2)*BL37*BO37*VLOOKUP('Données projet'!$B$11,Paramètres!$A$1:$I$89,3,0)*0.475*44/12</f>
        <v>0.10748620074007165</v>
      </c>
      <c r="BS37" s="22">
        <f t="shared" si="9"/>
        <v>40.847990085870123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4.8846153846153868</v>
      </c>
      <c r="BY37" s="12">
        <f>IF('Données projet'!$A$114&gt;35,BY36+BX37-CG36,IF(A37&lt;'Données projet'!$A$114,$BV$205^A37,IF(A37='Données projet'!$A$114,'Données projet'!$B$114,BY36+BX37-CG36)))</f>
        <v>107.6474358974359</v>
      </c>
      <c r="BZ37" s="13">
        <f>BY37*VLOOKUP('Données projet'!$B$12,Paramètres!$A$1:$I$89,3,0)*VLOOKUP('Données projet'!$B$12,Paramètres!$A$1:$I$89,5,0)</f>
        <v>97.3994</v>
      </c>
      <c r="CA37" s="13">
        <f t="shared" si="39"/>
        <v>26.34149352760998</v>
      </c>
      <c r="CB37" s="20">
        <f t="shared" si="10"/>
        <v>215.51538956058735</v>
      </c>
      <c r="CC37" s="59">
        <f t="shared" si="11"/>
        <v>508.84872289392069</v>
      </c>
      <c r="CD37" s="59">
        <f ca="1">AVERAGE(OFFSET($CC$3,0,0,'Données projet'!$E$12+1,1))-AVERAGE(OFFSET($H$3,0,0,'Données projet'!$E$12+1,1))</f>
        <v>437.94387006020412</v>
      </c>
      <c r="CE37" s="59">
        <f t="shared" si="40"/>
        <v>213.95083535531376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14.501923076923077</v>
      </c>
      <c r="CT37" s="12">
        <f>IF('Données projet'!$A$140&gt;35,CT36+CS37-DB36,IF(A37&lt;'Données projet'!$A$140,$CQ$205^A37,IF(A37='Données projet'!$A$140,'Données projet'!$B$140,CT36+CS37-DB36)))</f>
        <v>117.88461538461539</v>
      </c>
      <c r="CU37" s="17">
        <f>CT37*VLOOKUP('Données projet'!$B$13,Paramètres!$A$1:$I$89,3,0)*VLOOKUP('Données projet'!$B$13,Paramètres!$A$1:$I$89,5,0)</f>
        <v>56.702500000000001</v>
      </c>
      <c r="CV37" s="13">
        <f t="shared" si="41"/>
        <v>16.331834683820663</v>
      </c>
      <c r="CW37" s="20">
        <f t="shared" si="13"/>
        <v>127.20146624098764</v>
      </c>
      <c r="CX37" s="59">
        <f t="shared" si="14"/>
        <v>420.53479957432097</v>
      </c>
      <c r="CY37" s="59">
        <f ca="1">AVERAGE(OFFSET($CX$3,0,0,'Données projet'!$E$13+1,1))-AVERAGE(OFFSET($H$3,0,0,'Données projet'!$E$13+1,1))</f>
        <v>258.42493116335032</v>
      </c>
      <c r="CZ37" s="59">
        <f t="shared" si="42"/>
        <v>102.46122697336466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9.1999999999999993</v>
      </c>
      <c r="DO37" s="12">
        <f>IF('Données projet'!$A$166&gt;35,DO36+DN37-DW36,IF(A37&lt;'Données projet'!$A$166,$DL$205^A37,IF(A37='Données projet'!$A$166,'Données projet'!$B$166,DO36+DN37-DW36)))</f>
        <v>158.79999999999998</v>
      </c>
      <c r="DP37" s="17">
        <f>DO37*VLOOKUP('Données projet'!$B$14,Paramètres!$A$1:$I$89,3,0)*VLOOKUP('Données projet'!$B$14,Paramètres!$A$1:$I$89,5,0)</f>
        <v>138.72767999999999</v>
      </c>
      <c r="DQ37" s="13">
        <f t="shared" si="43"/>
        <v>36.005380160492741</v>
      </c>
      <c r="DR37" s="20">
        <f t="shared" si="16"/>
        <v>304.32674644619152</v>
      </c>
      <c r="DS37" s="59">
        <f t="shared" si="17"/>
        <v>597.66007977952484</v>
      </c>
      <c r="DT37" s="59">
        <f ca="1">AVERAGE(OFFSET($DS$3,0,0,'Données projet'!$E$14+1,1))-AVERAGE(OFFSET($H$3,0,0,'Données projet'!$E$14+1,1))</f>
        <v>354.24684313982857</v>
      </c>
      <c r="DU37" s="59">
        <f t="shared" si="44"/>
        <v>322.65043486962185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15.48351648351648</v>
      </c>
      <c r="N38" s="13">
        <f>IF('Données projet'!$A$36&gt;35,N37+M38-V37,IF(A38&lt;'Données projet'!$A$36,$K$205^A38,IF(A38='Données projet'!$A$36,'Données projet'!$B$36,N37+M38-V37)))</f>
        <v>237.20219780219779</v>
      </c>
      <c r="O38" s="13">
        <f>N38*VLOOKUP('Données projet'!$B$9,Paramètres!$A$1:$I$89,3,0)*VLOOKUP('Données projet'!$B$9,Paramètres!$A$1:$I$89,5,0)</f>
        <v>141.84691428571429</v>
      </c>
      <c r="P38" s="13">
        <f t="shared" si="33"/>
        <v>36.719784353381193</v>
      </c>
      <c r="Q38" s="20">
        <f t="shared" si="53"/>
        <v>311.00366679642457</v>
      </c>
      <c r="R38" s="59">
        <f t="shared" si="0"/>
        <v>604.33700012975783</v>
      </c>
      <c r="S38" s="59">
        <f ca="1">AVERAGE(OFFSET($R$3,0,0,'Données projet'!$E$9+1,1))-AVERAGE(OFFSET($H$3,0,0,'Données projet'!$E$9+1,1))</f>
        <v>355.09162485318728</v>
      </c>
      <c r="T38" s="59">
        <f t="shared" si="34"/>
        <v>320.06572891923685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20.766968424578057</v>
      </c>
      <c r="AA38" s="21">
        <f>EXP(-LN(2)/25)*AA37+(1-EXP(-LN(2)/25))/(LN(2)/25)*Calculateur!V38*Calculateur!X38*VLOOKUP('Données projet'!$B$9,Paramètres!$A$1:$I$89,3,0)*0.475*44/12</f>
        <v>10.631640094274999</v>
      </c>
      <c r="AB38" s="21">
        <f>EXP(-LN(2)/2)*AB37+(1-EXP(-LN(2)/2))/(LN(2)/2)*V38*Y38*VLOOKUP('Données projet'!$B$9,Paramètres!$A$1:$I$89,3,0)*0.475*44/12</f>
        <v>1.0166646088381996</v>
      </c>
      <c r="AC38" s="22">
        <f t="shared" si="3"/>
        <v>32.415273127691258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10.407692307692306</v>
      </c>
      <c r="AI38" s="13">
        <f>IF('Données projet'!$A$62&gt;35,AI37+AH38-AQ37,IF(A38&lt;'Données projet'!$A$62,$AF$205^A38,IF(A38='Données projet'!$A$62,'Données projet'!$B$62,AI37+AH38-AQ37)))</f>
        <v>155.3153846153846</v>
      </c>
      <c r="AJ38" s="13">
        <f>AI38*VLOOKUP('Données projet'!$B$10,Paramètres!$A$1:$I$89,3,0)*VLOOKUP('Données projet'!$B$10,Paramètres!$A$1:$I$89,5,0)</f>
        <v>72.687600000000003</v>
      </c>
      <c r="AK38" s="13">
        <f t="shared" si="35"/>
        <v>20.339412865653394</v>
      </c>
      <c r="AL38" s="20">
        <f t="shared" si="4"/>
        <v>162.02204740767968</v>
      </c>
      <c r="AM38" s="59">
        <f t="shared" si="5"/>
        <v>455.35538074101299</v>
      </c>
      <c r="AN38" s="59">
        <f ca="1">AVERAGE(OFFSET($AM$3,0,0,'Données projet'!$E$10+1,1))-AVERAGE(OFFSET($H$3,0,0,'Données projet'!$E$10+1,1))</f>
        <v>246.72166704460847</v>
      </c>
      <c r="AO38" s="59">
        <f t="shared" si="36"/>
        <v>145.54897745089966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>
        <f>BD38*VLOOKUP('Données projet'!$B$11,Paramètres!$A$1:$I$89,3,0)*VLOOKUP('Données projet'!$B$11,Paramètres!$A$1:$I$89,5,0)</f>
        <v>0</v>
      </c>
      <c r="BF38" s="13" t="e">
        <f t="shared" si="37"/>
        <v>#NUM!</v>
      </c>
      <c r="BG38" s="20" t="e">
        <f t="shared" si="7"/>
        <v>#NUM!</v>
      </c>
      <c r="BH38" s="59" t="e">
        <f t="shared" si="8"/>
        <v>#NUM!</v>
      </c>
      <c r="BI38" s="59">
        <f ca="1">AVERAGE(OFFSET($BH$3,0,0,'Données projet'!$E$11+1,1))-AVERAGE(OFFSET($H$3,0,0,'Données projet'!$E$11+1,1))</f>
        <v>88.478637356802039</v>
      </c>
      <c r="BJ38" s="59">
        <f t="shared" si="38"/>
        <v>239.55411297259155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33.535182590791443</v>
      </c>
      <c r="BQ38" s="21">
        <f>EXP(-LN(2)/25)*BQ37+(1-EXP(-LN(2)/25))/(LN(2)/25)*Calculateur!BL38*Calculateur!BN38*VLOOKUP('Données projet'!$B$11,Paramètres!$A$1:$I$89,3,0)*0.475*44/12</f>
        <v>6.3558756830871816</v>
      </c>
      <c r="BR38" s="21">
        <f>EXP(-LN(2)/2)*BR37+(1-EXP(-LN(2)/2))/(LN(2)/2)*BL38*BO38*VLOOKUP('Données projet'!$B$11,Paramètres!$A$1:$I$89,3,0)*0.475*44/12</f>
        <v>7.6004221427283164E-2</v>
      </c>
      <c r="BS38" s="22">
        <f t="shared" si="9"/>
        <v>39.96706249530591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4.8846153846153868</v>
      </c>
      <c r="BY38" s="12">
        <f>IF('Données projet'!$A$114&gt;35,BY37+BX38-CG37,IF(A38&lt;'Données projet'!$A$114,$BV$205^A38,IF(A38='Données projet'!$A$114,'Données projet'!$B$114,BY37+BX38-CG37)))</f>
        <v>112.53205128205128</v>
      </c>
      <c r="BZ38" s="13">
        <f>BY38*VLOOKUP('Données projet'!$B$12,Paramètres!$A$1:$I$89,3,0)*VLOOKUP('Données projet'!$B$12,Paramètres!$A$1:$I$89,5,0)</f>
        <v>101.819</v>
      </c>
      <c r="CA38" s="13">
        <f t="shared" si="39"/>
        <v>27.394893519662986</v>
      </c>
      <c r="CB38" s="20">
        <f t="shared" si="10"/>
        <v>225.04753121341301</v>
      </c>
      <c r="CC38" s="59">
        <f t="shared" si="11"/>
        <v>518.38086454674635</v>
      </c>
      <c r="CD38" s="59">
        <f ca="1">AVERAGE(OFFSET($CC$3,0,0,'Données projet'!$E$12+1,1))-AVERAGE(OFFSET($H$3,0,0,'Données projet'!$E$12+1,1))</f>
        <v>437.94387006020412</v>
      </c>
      <c r="CE38" s="59">
        <f t="shared" si="40"/>
        <v>213.95083535531376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14.501923076923077</v>
      </c>
      <c r="CT38" s="12">
        <f>IF('Données projet'!$A$140&gt;35,CT37+CS38-DB37,IF(A38&lt;'Données projet'!$A$140,$CQ$205^A38,IF(A38='Données projet'!$A$140,'Données projet'!$B$140,CT37+CS38-DB37)))</f>
        <v>132.38653846153846</v>
      </c>
      <c r="CU38" s="17">
        <f>CT38*VLOOKUP('Données projet'!$B$13,Paramètres!$A$1:$I$89,3,0)*VLOOKUP('Données projet'!$B$13,Paramètres!$A$1:$I$89,5,0)</f>
        <v>63.677925000000002</v>
      </c>
      <c r="CV38" s="13">
        <f t="shared" si="41"/>
        <v>18.094919678067885</v>
      </c>
      <c r="CW38" s="20">
        <f t="shared" si="13"/>
        <v>142.42103781430157</v>
      </c>
      <c r="CX38" s="59">
        <f t="shared" si="14"/>
        <v>435.75437114763486</v>
      </c>
      <c r="CY38" s="59">
        <f ca="1">AVERAGE(OFFSET($CX$3,0,0,'Données projet'!$E$13+1,1))-AVERAGE(OFFSET($H$3,0,0,'Données projet'!$E$13+1,1))</f>
        <v>258.42493116335032</v>
      </c>
      <c r="CZ38" s="59">
        <f t="shared" si="42"/>
        <v>102.46122697336466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168</v>
      </c>
      <c r="DM38" s="12">
        <f>VLOOKUP(A38,'Données projet'!$A$165:$I$185,9,0)</f>
        <v>9.1999999999999993</v>
      </c>
      <c r="DN38" s="12">
        <f t="array" ref="DN38">INDEX(DM:DM,MIN(IF(ISNUMBER(DM38:DM234),ROW(DM38:DM234),"")))</f>
        <v>9.1999999999999993</v>
      </c>
      <c r="DO38" s="12">
        <f>IF('Données projet'!$A$166&gt;35,DO37+DN38-DW37,IF(A38&lt;'Données projet'!$A$166,$DL$205^A38,IF(A38='Données projet'!$A$166,'Données projet'!$B$166,DO37+DN38-DW37)))</f>
        <v>167.99999999999997</v>
      </c>
      <c r="DP38" s="17">
        <f>DO38*VLOOKUP('Données projet'!$B$14,Paramètres!$A$1:$I$89,3,0)*VLOOKUP('Données projet'!$B$14,Paramètres!$A$1:$I$89,5,0)</f>
        <v>146.76480000000001</v>
      </c>
      <c r="DQ38" s="13">
        <f t="shared" si="43"/>
        <v>37.842444439956665</v>
      </c>
      <c r="DR38" s="20">
        <f t="shared" si="16"/>
        <v>321.52428406625785</v>
      </c>
      <c r="DS38" s="59">
        <f t="shared" si="17"/>
        <v>614.85761739959116</v>
      </c>
      <c r="DT38" s="59">
        <f ca="1">AVERAGE(OFFSET($DS$3,0,0,'Données projet'!$E$14+1,1))-AVERAGE(OFFSET($H$3,0,0,'Données projet'!$E$14+1,1))</f>
        <v>354.24684313982857</v>
      </c>
      <c r="DU38" s="59">
        <f t="shared" si="44"/>
        <v>322.65043486962185</v>
      </c>
      <c r="DV38" s="15">
        <f>IF(ISNA(VLOOKUP(A38,'Données projet'!$A$165:$I$185,3,0)),0,VLOOKUP(A38,'Données projet'!$A$165:$I$185,3,0))</f>
        <v>4</v>
      </c>
      <c r="DW38" s="15" t="str">
        <f>IF(ISNA(VLOOKUP(A38,'Données projet'!$A$165:$I$185,4,0)),0,VLOOKUP(A38,'Données projet'!$A$165:$I$185,4,0))</f>
        <v>27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0.215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5.5840410425740084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5.5840410425740084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15.48351648351648</v>
      </c>
      <c r="N39" s="13">
        <f>IF('Données projet'!$A$36&gt;35,N38+M39-V38,IF(A39&lt;'Données projet'!$A$36,$K$205^A39,IF(A39='Données projet'!$A$36,'Données projet'!$B$36,N38+M39-V38)))</f>
        <v>252.68571428571425</v>
      </c>
      <c r="O39" s="13">
        <f>N39*VLOOKUP('Données projet'!$B$9,Paramètres!$A$1:$I$89,3,0)*VLOOKUP('Données projet'!$B$9,Paramètres!$A$1:$I$89,5,0)</f>
        <v>151.10605714285714</v>
      </c>
      <c r="P39" s="13">
        <f t="shared" si="33"/>
        <v>38.829833501111224</v>
      </c>
      <c r="Q39" s="20">
        <f t="shared" si="53"/>
        <v>330.80500953824486</v>
      </c>
      <c r="R39" s="59">
        <f t="shared" si="0"/>
        <v>624.13834287157817</v>
      </c>
      <c r="S39" s="59">
        <f ca="1">AVERAGE(OFFSET($R$3,0,0,'Données projet'!$E$9+1,1))-AVERAGE(OFFSET($H$3,0,0,'Données projet'!$E$9+1,1))</f>
        <v>355.09162485318728</v>
      </c>
      <c r="T39" s="59">
        <f t="shared" si="34"/>
        <v>320.06572891923685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20.359740840372098</v>
      </c>
      <c r="AA39" s="21">
        <f>EXP(-LN(2)/25)*AA38+(1-EXP(-LN(2)/25))/(LN(2)/25)*Calculateur!V39*Calculateur!X39*VLOOKUP('Données projet'!$B$9,Paramètres!$A$1:$I$89,3,0)*0.475*44/12</f>
        <v>10.340917336803395</v>
      </c>
      <c r="AB39" s="21">
        <f>EXP(-LN(2)/2)*AB38+(1-EXP(-LN(2)/2))/(LN(2)/2)*V39*Y39*VLOOKUP('Données projet'!$B$9,Paramètres!$A$1:$I$89,3,0)*0.475*44/12</f>
        <v>0.71889043910185979</v>
      </c>
      <c r="AC39" s="22">
        <f t="shared" si="3"/>
        <v>31.41954861627735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10.407692307692306</v>
      </c>
      <c r="AI39" s="13">
        <f>IF('Données projet'!$A$62&gt;35,AI38+AH39-AQ38,IF(A39&lt;'Données projet'!$A$62,$AF$205^A39,IF(A39='Données projet'!$A$62,'Données projet'!$B$62,AI38+AH39-AQ38)))</f>
        <v>165.72307692307692</v>
      </c>
      <c r="AJ39" s="13">
        <f>AI39*VLOOKUP('Données projet'!$B$10,Paramètres!$A$1:$I$89,3,0)*VLOOKUP('Données projet'!$B$10,Paramètres!$A$1:$I$89,5,0)</f>
        <v>77.558400000000006</v>
      </c>
      <c r="AK39" s="13">
        <f t="shared" si="35"/>
        <v>21.539127592741618</v>
      </c>
      <c r="AL39" s="20">
        <f t="shared" si="4"/>
        <v>172.59486055735832</v>
      </c>
      <c r="AM39" s="59">
        <f t="shared" si="5"/>
        <v>465.92819389069166</v>
      </c>
      <c r="AN39" s="59">
        <f ca="1">AVERAGE(OFFSET($AM$3,0,0,'Données projet'!$E$10+1,1))-AVERAGE(OFFSET($H$3,0,0,'Données projet'!$E$10+1,1))</f>
        <v>246.72166704460847</v>
      </c>
      <c r="AO39" s="59">
        <f t="shared" si="36"/>
        <v>145.54897745089966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>
        <f>BD39*VLOOKUP('Données projet'!$B$11,Paramètres!$A$1:$I$89,3,0)*VLOOKUP('Données projet'!$B$11,Paramètres!$A$1:$I$89,5,0)</f>
        <v>0</v>
      </c>
      <c r="BF39" s="13" t="e">
        <f t="shared" si="37"/>
        <v>#NUM!</v>
      </c>
      <c r="BG39" s="20" t="e">
        <f t="shared" si="7"/>
        <v>#NUM!</v>
      </c>
      <c r="BH39" s="59" t="e">
        <f t="shared" si="8"/>
        <v>#NUM!</v>
      </c>
      <c r="BI39" s="59">
        <f ca="1">AVERAGE(OFFSET($BH$3,0,0,'Données projet'!$E$11+1,1))-AVERAGE(OFFSET($H$3,0,0,'Données projet'!$E$11+1,1))</f>
        <v>88.478637356802039</v>
      </c>
      <c r="BJ39" s="59">
        <f t="shared" si="38"/>
        <v>239.55411297259155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32.877578114627696</v>
      </c>
      <c r="BQ39" s="21">
        <f>EXP(-LN(2)/25)*BQ38+(1-EXP(-LN(2)/25))/(LN(2)/25)*Calculateur!BL39*Calculateur!BN39*VLOOKUP('Données projet'!$B$11,Paramètres!$A$1:$I$89,3,0)*0.475*44/12</f>
        <v>6.182073928292187</v>
      </c>
      <c r="BR39" s="21">
        <f>EXP(-LN(2)/2)*BR38+(1-EXP(-LN(2)/2))/(LN(2)/2)*BL39*BO39*VLOOKUP('Données projet'!$B$11,Paramètres!$A$1:$I$89,3,0)*0.475*44/12</f>
        <v>5.3743100370035823E-2</v>
      </c>
      <c r="BS39" s="22">
        <f t="shared" si="9"/>
        <v>39.113395143289914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>
        <f>VLOOKUP(A39,'Données projet'!$A$113:$I$133,2,0)</f>
        <v>117.41666666666667</v>
      </c>
      <c r="BW39" s="12">
        <f>VLOOKUP(A39,'Données projet'!$A$113:$I$133,9,0)</f>
        <v>4.8846153846153868</v>
      </c>
      <c r="BX39" s="12">
        <f t="array" ref="BX39">INDEX(BW:BW,MIN(IF(ISNUMBER(BW39:BW235),ROW(BW39:BW235),"")))</f>
        <v>4.8846153846153868</v>
      </c>
      <c r="BY39" s="12">
        <f>IF('Données projet'!$A$114&gt;35,BY38+BX39-CG38,IF(A39&lt;'Données projet'!$A$114,$BV$205^A39,IF(A39='Données projet'!$A$114,'Données projet'!$B$114,BY38+BX39-CG38)))</f>
        <v>117.41666666666667</v>
      </c>
      <c r="BZ39" s="13">
        <f>BY39*VLOOKUP('Données projet'!$B$12,Paramètres!$A$1:$I$89,3,0)*VLOOKUP('Données projet'!$B$12,Paramètres!$A$1:$I$89,5,0)</f>
        <v>106.23859999999999</v>
      </c>
      <c r="CA39" s="13">
        <f t="shared" si="39"/>
        <v>28.442982860350558</v>
      </c>
      <c r="CB39" s="20">
        <f t="shared" si="10"/>
        <v>234.5704234817772</v>
      </c>
      <c r="CC39" s="59">
        <f t="shared" si="11"/>
        <v>527.90375681511046</v>
      </c>
      <c r="CD39" s="59">
        <f ca="1">AVERAGE(OFFSET($CC$3,0,0,'Données projet'!$E$12+1,1))-AVERAGE(OFFSET($H$3,0,0,'Données projet'!$E$12+1,1))</f>
        <v>437.94387006020412</v>
      </c>
      <c r="CE39" s="59">
        <f t="shared" si="40"/>
        <v>213.95083535531376</v>
      </c>
      <c r="CF39" s="15">
        <f>IF(ISNA(VLOOKUP(A39,'Données projet'!$A$113:$I$133,3,0)),0,VLOOKUP(A39,'Données projet'!$A$113:$I$133,3,0))</f>
        <v>1</v>
      </c>
      <c r="CG39" s="15">
        <f>IF(ISNA(VLOOKUP(A39,'Données projet'!$A$113:$I$133,4,0)),0,VLOOKUP(A39,'Données projet'!$A$113:$I$133,4,0))</f>
        <v>54.224358974358978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14.501923076923077</v>
      </c>
      <c r="CT39" s="12">
        <f>IF('Données projet'!$A$140&gt;35,CT38+CS39-DB38,IF(A39&lt;'Données projet'!$A$140,$CQ$205^A39,IF(A39='Données projet'!$A$140,'Données projet'!$B$140,CT38+CS39-DB38)))</f>
        <v>146.88846153846154</v>
      </c>
      <c r="CU39" s="17">
        <f>CT39*VLOOKUP('Données projet'!$B$13,Paramètres!$A$1:$I$89,3,0)*VLOOKUP('Données projet'!$B$13,Paramètres!$A$1:$I$89,5,0)</f>
        <v>70.653350000000003</v>
      </c>
      <c r="CV39" s="13">
        <f t="shared" si="41"/>
        <v>19.835619571593945</v>
      </c>
      <c r="CW39" s="20">
        <f t="shared" si="13"/>
        <v>157.60162200385943</v>
      </c>
      <c r="CX39" s="59">
        <f t="shared" si="14"/>
        <v>450.93495533719272</v>
      </c>
      <c r="CY39" s="59">
        <f ca="1">AVERAGE(OFFSET($CX$3,0,0,'Données projet'!$E$13+1,1))-AVERAGE(OFFSET($H$3,0,0,'Données projet'!$E$13+1,1))</f>
        <v>258.42493116335032</v>
      </c>
      <c r="CZ39" s="59">
        <f t="shared" si="42"/>
        <v>102.46122697336466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8.8000000000000007</v>
      </c>
      <c r="DO39" s="12">
        <f>IF('Données projet'!$A$166&gt;35,DO38+DN39-DW38,IF(A39&lt;'Données projet'!$A$166,$DL$205^A39,IF(A39='Données projet'!$A$166,'Données projet'!$B$166,DO38+DN39-DW38)))</f>
        <v>149.79999999999998</v>
      </c>
      <c r="DP39" s="17">
        <f>DO39*VLOOKUP('Données projet'!$B$14,Paramètres!$A$1:$I$89,3,0)*VLOOKUP('Données projet'!$B$14,Paramètres!$A$1:$I$89,5,0)</f>
        <v>130.86528000000001</v>
      </c>
      <c r="DQ39" s="13">
        <f t="shared" si="43"/>
        <v>34.19622287336729</v>
      </c>
      <c r="DR39" s="20">
        <f t="shared" si="16"/>
        <v>287.48211750444801</v>
      </c>
      <c r="DS39" s="59">
        <f t="shared" si="17"/>
        <v>580.81545083778133</v>
      </c>
      <c r="DT39" s="59">
        <f ca="1">AVERAGE(OFFSET($DS$3,0,0,'Données projet'!$E$14+1,1))-AVERAGE(OFFSET($H$3,0,0,'Données projet'!$E$14+1,1))</f>
        <v>354.24684313982857</v>
      </c>
      <c r="DU39" s="59">
        <f t="shared" si="44"/>
        <v>322.65043486962185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5.4313451466128662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5.4313451466128662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>
        <f>VLOOKUP(A40,'Données projet'!$A$35:$I$55,2,0)</f>
        <v>268.16923076923075</v>
      </c>
      <c r="L40" s="12">
        <f>VLOOKUP(A40,'Données projet'!$A$35:$I$55,9,0)</f>
        <v>15.48351648351648</v>
      </c>
      <c r="M40" s="12">
        <f t="array" ref="M40">INDEX(L:L,MIN(IF(ISNUMBER(L40:L236),ROW(L40:L236),"")))</f>
        <v>15.48351648351648</v>
      </c>
      <c r="N40" s="13">
        <f>IF('Données projet'!$A$36&gt;35,N39+M40-V39,IF(A40&lt;'Données projet'!$A$36,$K$205^A40,IF(A40='Données projet'!$A$36,'Données projet'!$B$36,N39+M40-V39)))</f>
        <v>268.16923076923075</v>
      </c>
      <c r="O40" s="13">
        <f>N40*VLOOKUP('Données projet'!$B$9,Paramètres!$A$1:$I$89,3,0)*VLOOKUP('Données projet'!$B$9,Paramètres!$A$1:$I$89,5,0)</f>
        <v>160.36520000000002</v>
      </c>
      <c r="P40" s="13">
        <f t="shared" si="33"/>
        <v>40.924876352970031</v>
      </c>
      <c r="Q40" s="20">
        <f t="shared" si="53"/>
        <v>350.58021631475617</v>
      </c>
      <c r="R40" s="59">
        <f t="shared" si="0"/>
        <v>643.91354964808943</v>
      </c>
      <c r="S40" s="59">
        <f ca="1">AVERAGE(OFFSET($R$3,0,0,'Données projet'!$E$9+1,1))-AVERAGE(OFFSET($H$3,0,0,'Données projet'!$E$9+1,1))</f>
        <v>355.09162485318728</v>
      </c>
      <c r="T40" s="59">
        <f t="shared" si="34"/>
        <v>320.06572891923685</v>
      </c>
      <c r="U40" s="15">
        <f>IF(ISNA(VLOOKUP(A40,'Données projet'!$A$35:$I$55,3,0)),0,VLOOKUP(A40,'Données projet'!$A$35:$I$55,3,0))</f>
        <v>4</v>
      </c>
      <c r="V40" s="15">
        <f>IF(ISNA(VLOOKUP(A40,'Données projet'!$A$35:$I$55,4,0)),0,VLOOKUP(A40,'Données projet'!$A$35:$I$55,4,0))</f>
        <v>43.623076923076923</v>
      </c>
      <c r="W40" s="16">
        <f>IF(ISNA(VLOOKUP(A40,'Données projet'!$A$35:$I$55,5,0)),0%,VLOOKUP(A40,'Données projet'!$A$35:$I$55,5,0)*VLOOKUP('Données projet'!$B$9,Paramètres!$A$1:$I$89,7,0))</f>
        <v>0.315</v>
      </c>
      <c r="X40" s="16">
        <f>IF(ISNA(VLOOKUP(A40,'Données projet'!$A$35:$I$55,6,0)),0%,VLOOKUP(A40,'Données projet'!$A$35:$I$55,6,0)*VLOOKUP('Données projet'!$B$9,Paramètres!$A$1:$I$89,7,0))</f>
        <v>7.5600000000000001E-2</v>
      </c>
      <c r="Y40" s="16">
        <f>IF(ISNA(VLOOKUP(A40,'Données projet'!$A$35:$I$55,7,0)),0%,VLOOKUP(A40,'Données projet'!$A$35:$I$55,7,0))</f>
        <v>0.13200000000000001</v>
      </c>
      <c r="Z40" s="21">
        <f>EXP(-LN(2)/35)*Z39+(1-EXP(-LN(2)/35))/(LN(2)/35)*V40*W40*VLOOKUP('Données projet'!$B$9,Paramètres!$A$1:$I$89,3,0)*0.475*44/12</f>
        <v>30.861248982537887</v>
      </c>
      <c r="AA40" s="21">
        <f>EXP(-LN(2)/25)*AA39+(1-EXP(-LN(2)/25))/(LN(2)/25)*Calculateur!V40*Calculateur!X40*VLOOKUP('Données projet'!$B$9,Paramètres!$A$1:$I$89,3,0)*0.475*44/12</f>
        <v>12.664023568731189</v>
      </c>
      <c r="AB40" s="21">
        <f>EXP(-LN(2)/2)*AB39+(1-EXP(-LN(2)/2))/(LN(2)/2)*V40*Y40*VLOOKUP('Données projet'!$B$9,Paramètres!$A$1:$I$89,3,0)*0.475*44/12</f>
        <v>4.4070963233694158</v>
      </c>
      <c r="AC40" s="22">
        <f t="shared" si="3"/>
        <v>47.932368874638492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10.407692307692306</v>
      </c>
      <c r="AI40" s="13">
        <f>IF('Données projet'!$A$62&gt;35,AI39+AH40-AQ39,IF(A40&lt;'Données projet'!$A$62,$AF$205^A40,IF(A40='Données projet'!$A$62,'Données projet'!$B$62,AI39+AH40-AQ39)))</f>
        <v>176.13076923076923</v>
      </c>
      <c r="AJ40" s="13">
        <f>AI40*VLOOKUP('Données projet'!$B$10,Paramètres!$A$1:$I$89,3,0)*VLOOKUP('Données projet'!$B$10,Paramètres!$A$1:$I$89,5,0)</f>
        <v>82.429199999999994</v>
      </c>
      <c r="AK40" s="13">
        <f t="shared" si="35"/>
        <v>22.730098173705116</v>
      </c>
      <c r="AL40" s="20">
        <f t="shared" si="4"/>
        <v>183.15244431920306</v>
      </c>
      <c r="AM40" s="59">
        <f t="shared" si="5"/>
        <v>476.4857776525364</v>
      </c>
      <c r="AN40" s="59">
        <f ca="1">AVERAGE(OFFSET($AM$3,0,0,'Données projet'!$E$10+1,1))-AVERAGE(OFFSET($H$3,0,0,'Données projet'!$E$10+1,1))</f>
        <v>246.72166704460847</v>
      </c>
      <c r="AO40" s="59">
        <f t="shared" si="36"/>
        <v>145.54897745089966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>
        <f>BD40*VLOOKUP('Données projet'!$B$11,Paramètres!$A$1:$I$89,3,0)*VLOOKUP('Données projet'!$B$11,Paramètres!$A$1:$I$89,5,0)</f>
        <v>0</v>
      </c>
      <c r="BF40" s="13" t="e">
        <f t="shared" si="37"/>
        <v>#NUM!</v>
      </c>
      <c r="BG40" s="20" t="e">
        <f t="shared" si="7"/>
        <v>#NUM!</v>
      </c>
      <c r="BH40" s="59" t="e">
        <f t="shared" si="8"/>
        <v>#NUM!</v>
      </c>
      <c r="BI40" s="59">
        <f ca="1">AVERAGE(OFFSET($BH$3,0,0,'Données projet'!$E$11+1,1))-AVERAGE(OFFSET($H$3,0,0,'Données projet'!$E$11+1,1))</f>
        <v>88.478637356802039</v>
      </c>
      <c r="BJ40" s="59">
        <f t="shared" si="38"/>
        <v>239.55411297259155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32.232868861142393</v>
      </c>
      <c r="BQ40" s="21">
        <f>EXP(-LN(2)/25)*BQ39+(1-EXP(-LN(2)/25))/(LN(2)/25)*Calculateur!BL40*Calculateur!BN40*VLOOKUP('Données projet'!$B$11,Paramètres!$A$1:$I$89,3,0)*0.475*44/12</f>
        <v>6.0130247916218984</v>
      </c>
      <c r="BR40" s="21">
        <f>EXP(-LN(2)/2)*BR39+(1-EXP(-LN(2)/2))/(LN(2)/2)*BL40*BO40*VLOOKUP('Données projet'!$B$11,Paramètres!$A$1:$I$89,3,0)*0.475*44/12</f>
        <v>3.8002110713641582E-2</v>
      </c>
      <c r="BS40" s="22">
        <f t="shared" si="9"/>
        <v>38.283895763477936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6.063301282051281</v>
      </c>
      <c r="BY40" s="12">
        <f>IF('Données projet'!$A$114&gt;35,BY39+BX40-CG39,IF(A40&lt;'Données projet'!$A$114,$BV$205^A40,IF(A40='Données projet'!$A$114,'Données projet'!$B$114,BY39+BX40-CG39)))</f>
        <v>69.255608974358978</v>
      </c>
      <c r="BZ40" s="13">
        <f>BY40*VLOOKUP('Données projet'!$B$12,Paramètres!$A$1:$I$89,3,0)*VLOOKUP('Données projet'!$B$12,Paramètres!$A$1:$I$89,5,0)</f>
        <v>62.662475000000001</v>
      </c>
      <c r="CA40" s="13">
        <f t="shared" si="39"/>
        <v>17.839715783604991</v>
      </c>
      <c r="CB40" s="20">
        <f t="shared" si="10"/>
        <v>140.20798228144534</v>
      </c>
      <c r="CC40" s="59">
        <f t="shared" si="11"/>
        <v>433.54131561477868</v>
      </c>
      <c r="CD40" s="59">
        <f ca="1">AVERAGE(OFFSET($CC$3,0,0,'Données projet'!$E$12+1,1))-AVERAGE(OFFSET($H$3,0,0,'Données projet'!$E$12+1,1))</f>
        <v>437.94387006020412</v>
      </c>
      <c r="CE40" s="59">
        <f t="shared" si="40"/>
        <v>213.95083535531376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14.501923076923077</v>
      </c>
      <c r="CT40" s="12">
        <f>IF('Données projet'!$A$140&gt;35,CT39+CS40-DB39,IF(A40&lt;'Données projet'!$A$140,$CQ$205^A40,IF(A40='Données projet'!$A$140,'Données projet'!$B$140,CT39+CS40-DB39)))</f>
        <v>161.39038461538462</v>
      </c>
      <c r="CU40" s="17">
        <f>CT40*VLOOKUP('Données projet'!$B$13,Paramètres!$A$1:$I$89,3,0)*VLOOKUP('Données projet'!$B$13,Paramètres!$A$1:$I$89,5,0)</f>
        <v>77.628775000000005</v>
      </c>
      <c r="CV40" s="13">
        <f t="shared" si="41"/>
        <v>21.556395927336656</v>
      </c>
      <c r="CW40" s="20">
        <f t="shared" si="13"/>
        <v>172.74750603177799</v>
      </c>
      <c r="CX40" s="59">
        <f t="shared" si="14"/>
        <v>466.08083936511127</v>
      </c>
      <c r="CY40" s="59">
        <f ca="1">AVERAGE(OFFSET($CX$3,0,0,'Données projet'!$E$13+1,1))-AVERAGE(OFFSET($H$3,0,0,'Données projet'!$E$13+1,1))</f>
        <v>258.42493116335032</v>
      </c>
      <c r="CZ40" s="59">
        <f t="shared" si="42"/>
        <v>102.46122697336466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8.8000000000000007</v>
      </c>
      <c r="DO40" s="12">
        <f>IF('Données projet'!$A$166&gt;35,DO39+DN40-DW39,IF(A40&lt;'Données projet'!$A$166,$DL$205^A40,IF(A40='Données projet'!$A$166,'Données projet'!$B$166,DO39+DN40-DW39)))</f>
        <v>158.6</v>
      </c>
      <c r="DP40" s="17">
        <f>DO40*VLOOKUP('Données projet'!$B$14,Paramètres!$A$1:$I$89,3,0)*VLOOKUP('Données projet'!$B$14,Paramètres!$A$1:$I$89,5,0)</f>
        <v>138.55296000000001</v>
      </c>
      <c r="DQ40" s="13">
        <f t="shared" si="43"/>
        <v>35.965308766301796</v>
      </c>
      <c r="DR40" s="20">
        <f t="shared" si="16"/>
        <v>303.95265143464229</v>
      </c>
      <c r="DS40" s="59">
        <f t="shared" si="17"/>
        <v>597.28598476797561</v>
      </c>
      <c r="DT40" s="59">
        <f ca="1">AVERAGE(OFFSET($DS$3,0,0,'Données projet'!$E$14+1,1))-AVERAGE(OFFSET($H$3,0,0,'Données projet'!$E$14+1,1))</f>
        <v>354.24684313982857</v>
      </c>
      <c r="DU40" s="59">
        <f t="shared" si="44"/>
        <v>322.65043486962185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5.2828247279567098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5.2828247279567098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15.364102564102561</v>
      </c>
      <c r="N41" s="13">
        <f>IF('Données projet'!$A$36&gt;35,N40+M41-V40,IF(A41&lt;'Données projet'!$A$36,$K$205^A41,IF(A41='Données projet'!$A$36,'Données projet'!$B$36,N40+M41-V40)))</f>
        <v>239.91025641025638</v>
      </c>
      <c r="O41" s="13">
        <f>N41*VLOOKUP('Données projet'!$B$9,Paramètres!$A$1:$I$89,3,0)*VLOOKUP('Données projet'!$B$9,Paramètres!$A$1:$I$89,5,0)</f>
        <v>143.46633333333332</v>
      </c>
      <c r="P41" s="13">
        <f t="shared" si="33"/>
        <v>37.089959908428597</v>
      </c>
      <c r="Q41" s="20">
        <f t="shared" si="53"/>
        <v>314.46887739606865</v>
      </c>
      <c r="R41" s="59">
        <f t="shared" si="0"/>
        <v>607.80221072940196</v>
      </c>
      <c r="S41" s="59">
        <f ca="1">AVERAGE(OFFSET($R$3,0,0,'Données projet'!$E$9+1,1))-AVERAGE(OFFSET($H$3,0,0,'Données projet'!$E$9+1,1))</f>
        <v>355.09162485318728</v>
      </c>
      <c r="T41" s="59">
        <f t="shared" si="34"/>
        <v>320.06572891923685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30.256078713493533</v>
      </c>
      <c r="AA41" s="21">
        <f>EXP(-LN(2)/25)*AA40+(1-EXP(-LN(2)/25))/(LN(2)/25)*Calculateur!V41*Calculateur!X41*VLOOKUP('Données projet'!$B$9,Paramètres!$A$1:$I$89,3,0)*0.475*44/12</f>
        <v>12.317725178272179</v>
      </c>
      <c r="AB41" s="21">
        <f>EXP(-LN(2)/2)*AB40+(1-EXP(-LN(2)/2))/(LN(2)/2)*V41*Y41*VLOOKUP('Données projet'!$B$9,Paramètres!$A$1:$I$89,3,0)*0.475*44/12</f>
        <v>3.116287695596816</v>
      </c>
      <c r="AC41" s="22">
        <f t="shared" si="3"/>
        <v>45.690091587362531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10.407692307692306</v>
      </c>
      <c r="AI41" s="13">
        <f>IF('Données projet'!$A$62&gt;35,AI40+AH41-AQ40,IF(A41&lt;'Données projet'!$A$62,$AF$205^A41,IF(A41='Données projet'!$A$62,'Données projet'!$B$62,AI40+AH41-AQ40)))</f>
        <v>186.53846153846155</v>
      </c>
      <c r="AJ41" s="13">
        <f>AI41*VLOOKUP('Données projet'!$B$10,Paramètres!$A$1:$I$89,3,0)*VLOOKUP('Données projet'!$B$10,Paramètres!$A$1:$I$89,5,0)</f>
        <v>87.300000000000011</v>
      </c>
      <c r="AK41" s="13">
        <f t="shared" si="35"/>
        <v>23.912900160000429</v>
      </c>
      <c r="AL41" s="20">
        <f t="shared" si="4"/>
        <v>193.69580111200079</v>
      </c>
      <c r="AM41" s="59">
        <f t="shared" si="5"/>
        <v>487.02913444533408</v>
      </c>
      <c r="AN41" s="59">
        <f ca="1">AVERAGE(OFFSET($AM$3,0,0,'Données projet'!$E$10+1,1))-AVERAGE(OFFSET($H$3,0,0,'Données projet'!$E$10+1,1))</f>
        <v>246.72166704460847</v>
      </c>
      <c r="AO41" s="59">
        <f t="shared" si="36"/>
        <v>145.54897745089966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>
        <f>BD41*VLOOKUP('Données projet'!$B$11,Paramètres!$A$1:$I$89,3,0)*VLOOKUP('Données projet'!$B$11,Paramètres!$A$1:$I$89,5,0)</f>
        <v>0</v>
      </c>
      <c r="BF41" s="13" t="e">
        <f t="shared" si="37"/>
        <v>#NUM!</v>
      </c>
      <c r="BG41" s="20" t="e">
        <f t="shared" si="7"/>
        <v>#NUM!</v>
      </c>
      <c r="BH41" s="59" t="e">
        <f t="shared" si="8"/>
        <v>#NUM!</v>
      </c>
      <c r="BI41" s="59">
        <f ca="1">AVERAGE(OFFSET($BH$3,0,0,'Données projet'!$E$11+1,1))-AVERAGE(OFFSET($H$3,0,0,'Données projet'!$E$11+1,1))</f>
        <v>88.478637356802039</v>
      </c>
      <c r="BJ41" s="59">
        <f t="shared" si="38"/>
        <v>239.55411297259155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31.60080196288412</v>
      </c>
      <c r="BQ41" s="21">
        <f>EXP(-LN(2)/25)*BQ40+(1-EXP(-LN(2)/25))/(LN(2)/25)*Calculateur!BL41*Calculateur!BN41*VLOOKUP('Données projet'!$B$11,Paramètres!$A$1:$I$89,3,0)*0.475*44/12</f>
        <v>5.8485983124837668</v>
      </c>
      <c r="BR41" s="21">
        <f>EXP(-LN(2)/2)*BR40+(1-EXP(-LN(2)/2))/(LN(2)/2)*BL41*BO41*VLOOKUP('Données projet'!$B$11,Paramètres!$A$1:$I$89,3,0)*0.475*44/12</f>
        <v>2.6871550185017912E-2</v>
      </c>
      <c r="BS41" s="22">
        <f t="shared" si="9"/>
        <v>37.476271825552907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6.063301282051281</v>
      </c>
      <c r="BY41" s="12">
        <f>IF('Données projet'!$A$114&gt;35,BY40+BX41-CG40,IF(A41&lt;'Données projet'!$A$114,$BV$205^A41,IF(A41='Données projet'!$A$114,'Données projet'!$B$114,BY40+BX41-CG40)))</f>
        <v>75.318910256410263</v>
      </c>
      <c r="BZ41" s="13">
        <f>BY41*VLOOKUP('Données projet'!$B$12,Paramètres!$A$1:$I$89,3,0)*VLOOKUP('Données projet'!$B$12,Paramètres!$A$1:$I$89,5,0)</f>
        <v>68.14855</v>
      </c>
      <c r="CA41" s="13">
        <f t="shared" si="39"/>
        <v>19.212962455628702</v>
      </c>
      <c r="CB41" s="20">
        <f t="shared" si="10"/>
        <v>152.15463419355333</v>
      </c>
      <c r="CC41" s="59">
        <f t="shared" si="11"/>
        <v>445.48796752688668</v>
      </c>
      <c r="CD41" s="59">
        <f ca="1">AVERAGE(OFFSET($CC$3,0,0,'Données projet'!$E$12+1,1))-AVERAGE(OFFSET($H$3,0,0,'Données projet'!$E$12+1,1))</f>
        <v>437.94387006020412</v>
      </c>
      <c r="CE41" s="59">
        <f t="shared" si="40"/>
        <v>213.95083535531376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14.501923076923077</v>
      </c>
      <c r="CT41" s="12">
        <f>IF('Données projet'!$A$140&gt;35,CT40+CS41-DB40,IF(A41&lt;'Données projet'!$A$140,$CQ$205^A41,IF(A41='Données projet'!$A$140,'Données projet'!$B$140,CT40+CS41-DB40)))</f>
        <v>175.8923076923077</v>
      </c>
      <c r="CU41" s="17">
        <f>CT41*VLOOKUP('Données projet'!$B$13,Paramètres!$A$1:$I$89,3,0)*VLOOKUP('Données projet'!$B$13,Paramètres!$A$1:$I$89,5,0)</f>
        <v>84.604200000000006</v>
      </c>
      <c r="CV41" s="13">
        <f t="shared" si="41"/>
        <v>23.259242584527009</v>
      </c>
      <c r="CW41" s="20">
        <f t="shared" si="13"/>
        <v>187.86216250138452</v>
      </c>
      <c r="CX41" s="59">
        <f t="shared" si="14"/>
        <v>481.1954958347178</v>
      </c>
      <c r="CY41" s="59">
        <f ca="1">AVERAGE(OFFSET($CX$3,0,0,'Données projet'!$E$13+1,1))-AVERAGE(OFFSET($H$3,0,0,'Données projet'!$E$13+1,1))</f>
        <v>258.42493116335032</v>
      </c>
      <c r="CZ41" s="59">
        <f t="shared" si="42"/>
        <v>102.46122697336466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8.8000000000000007</v>
      </c>
      <c r="DO41" s="12">
        <f>IF('Données projet'!$A$166&gt;35,DO40+DN41-DW40,IF(A41&lt;'Données projet'!$A$166,$DL$205^A41,IF(A41='Données projet'!$A$166,'Données projet'!$B$166,DO40+DN41-DW40)))</f>
        <v>167.4</v>
      </c>
      <c r="DP41" s="17">
        <f>DO41*VLOOKUP('Données projet'!$B$14,Paramètres!$A$1:$I$89,3,0)*VLOOKUP('Données projet'!$B$14,Paramètres!$A$1:$I$89,5,0)</f>
        <v>146.24064000000001</v>
      </c>
      <c r="DQ41" s="13">
        <f t="shared" si="43"/>
        <v>37.722999642090628</v>
      </c>
      <c r="DR41" s="20">
        <f t="shared" si="16"/>
        <v>320.40333904330788</v>
      </c>
      <c r="DS41" s="59">
        <f t="shared" si="17"/>
        <v>613.7366723766412</v>
      </c>
      <c r="DT41" s="59">
        <f ca="1">AVERAGE(OFFSET($DS$3,0,0,'Données projet'!$E$14+1,1))-AVERAGE(OFFSET($H$3,0,0,'Données projet'!$E$14+1,1))</f>
        <v>354.24684313982857</v>
      </c>
      <c r="DU41" s="59">
        <f t="shared" si="44"/>
        <v>322.65043486962185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5.1383656079590549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5.1383656079590549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15.364102564102561</v>
      </c>
      <c r="N42" s="13">
        <f>IF('Données projet'!$A$36&gt;35,N41+M42-V41,IF(A42&lt;'Données projet'!$A$36,$K$205^A42,IF(A42='Données projet'!$A$36,'Données projet'!$B$36,N41+M42-V41)))</f>
        <v>255.27435897435893</v>
      </c>
      <c r="O42" s="13">
        <f>N42*VLOOKUP('Données projet'!$B$9,Paramètres!$A$1:$I$89,3,0)*VLOOKUP('Données projet'!$B$9,Paramètres!$A$1:$I$89,5,0)</f>
        <v>152.65406666666664</v>
      </c>
      <c r="P42" s="13">
        <f t="shared" si="33"/>
        <v>39.18111473980327</v>
      </c>
      <c r="Q42" s="20">
        <f t="shared" si="53"/>
        <v>334.11294094960175</v>
      </c>
      <c r="R42" s="59">
        <f t="shared" si="0"/>
        <v>627.44627428293506</v>
      </c>
      <c r="S42" s="59">
        <f ca="1">AVERAGE(OFFSET($R$3,0,0,'Données projet'!$E$9+1,1))-AVERAGE(OFFSET($H$3,0,0,'Données projet'!$E$9+1,1))</f>
        <v>355.09162485318728</v>
      </c>
      <c r="T42" s="59">
        <f t="shared" si="34"/>
        <v>320.06572891923685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29.662775464307721</v>
      </c>
      <c r="AA42" s="21">
        <f>EXP(-LN(2)/25)*AA41+(1-EXP(-LN(2)/25))/(LN(2)/25)*Calculateur!V42*Calculateur!X42*VLOOKUP('Données projet'!$B$9,Paramètres!$A$1:$I$89,3,0)*0.475*44/12</f>
        <v>11.980896335511311</v>
      </c>
      <c r="AB42" s="21">
        <f>EXP(-LN(2)/2)*AB41+(1-EXP(-LN(2)/2))/(LN(2)/2)*V42*Y42*VLOOKUP('Données projet'!$B$9,Paramètres!$A$1:$I$89,3,0)*0.475*44/12</f>
        <v>2.2035481616847084</v>
      </c>
      <c r="AC42" s="22">
        <f t="shared" si="3"/>
        <v>43.84721996150374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10.407692307692306</v>
      </c>
      <c r="AI42" s="13">
        <f>IF('Données projet'!$A$62&gt;35,AI41+AH42-AQ41,IF(A42&lt;'Données projet'!$A$62,$AF$205^A42,IF(A42='Données projet'!$A$62,'Données projet'!$B$62,AI41+AH42-AQ41)))</f>
        <v>196.94615384615386</v>
      </c>
      <c r="AJ42" s="13">
        <f>AI42*VLOOKUP('Données projet'!$B$10,Paramètres!$A$1:$I$89,3,0)*VLOOKUP('Données projet'!$B$10,Paramètres!$A$1:$I$89,5,0)</f>
        <v>92.170800000000014</v>
      </c>
      <c r="AK42" s="13">
        <f t="shared" si="35"/>
        <v>25.088041251308066</v>
      </c>
      <c r="AL42" s="20">
        <f t="shared" si="4"/>
        <v>204.22581517936158</v>
      </c>
      <c r="AM42" s="59">
        <f t="shared" si="5"/>
        <v>497.55914851269489</v>
      </c>
      <c r="AN42" s="59">
        <f ca="1">AVERAGE(OFFSET($AM$3,0,0,'Données projet'!$E$10+1,1))-AVERAGE(OFFSET($H$3,0,0,'Données projet'!$E$10+1,1))</f>
        <v>246.72166704460847</v>
      </c>
      <c r="AO42" s="59">
        <f t="shared" si="36"/>
        <v>145.54897745089966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>
        <f>BD42*VLOOKUP('Données projet'!$B$11,Paramètres!$A$1:$I$89,3,0)*VLOOKUP('Données projet'!$B$11,Paramètres!$A$1:$I$89,5,0)</f>
        <v>0</v>
      </c>
      <c r="BF42" s="13" t="e">
        <f t="shared" si="37"/>
        <v>#NUM!</v>
      </c>
      <c r="BG42" s="20" t="e">
        <f t="shared" si="7"/>
        <v>#NUM!</v>
      </c>
      <c r="BH42" s="59" t="e">
        <f t="shared" si="8"/>
        <v>#NUM!</v>
      </c>
      <c r="BI42" s="59">
        <f ca="1">AVERAGE(OFFSET($BH$3,0,0,'Données projet'!$E$11+1,1))-AVERAGE(OFFSET($H$3,0,0,'Données projet'!$E$11+1,1))</f>
        <v>88.478637356802039</v>
      </c>
      <c r="BJ42" s="59">
        <f t="shared" si="38"/>
        <v>239.55411297259155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30.981129510977951</v>
      </c>
      <c r="BQ42" s="21">
        <f>EXP(-LN(2)/25)*BQ41+(1-EXP(-LN(2)/25))/(LN(2)/25)*Calculateur!BL42*Calculateur!BN42*VLOOKUP('Données projet'!$B$11,Paramètres!$A$1:$I$89,3,0)*0.475*44/12</f>
        <v>5.6886680840644805</v>
      </c>
      <c r="BR42" s="21">
        <f>EXP(-LN(2)/2)*BR41+(1-EXP(-LN(2)/2))/(LN(2)/2)*BL42*BO42*VLOOKUP('Données projet'!$B$11,Paramètres!$A$1:$I$89,3,0)*0.475*44/12</f>
        <v>1.9001055356820791E-2</v>
      </c>
      <c r="BS42" s="22">
        <f t="shared" si="9"/>
        <v>36.688798650399256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6.063301282051281</v>
      </c>
      <c r="BY42" s="12">
        <f>IF('Données projet'!$A$114&gt;35,BY41+BX42-CG41,IF(A42&lt;'Données projet'!$A$114,$BV$205^A42,IF(A42='Données projet'!$A$114,'Données projet'!$B$114,BY41+BX42-CG41)))</f>
        <v>81.382211538461547</v>
      </c>
      <c r="BZ42" s="13">
        <f>BY42*VLOOKUP('Données projet'!$B$12,Paramètres!$A$1:$I$89,3,0)*VLOOKUP('Données projet'!$B$12,Paramètres!$A$1:$I$89,5,0)</f>
        <v>73.634625</v>
      </c>
      <c r="CA42" s="13">
        <f t="shared" si="39"/>
        <v>20.573386748823129</v>
      </c>
      <c r="CB42" s="20">
        <f t="shared" si="10"/>
        <v>164.07895379586694</v>
      </c>
      <c r="CC42" s="59">
        <f t="shared" si="11"/>
        <v>457.41228712920025</v>
      </c>
      <c r="CD42" s="59">
        <f ca="1">AVERAGE(OFFSET($CC$3,0,0,'Données projet'!$E$12+1,1))-AVERAGE(OFFSET($H$3,0,0,'Données projet'!$E$12+1,1))</f>
        <v>437.94387006020412</v>
      </c>
      <c r="CE42" s="59">
        <f t="shared" si="40"/>
        <v>213.95083535531376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14.501923076923077</v>
      </c>
      <c r="CT42" s="12">
        <f>IF('Données projet'!$A$140&gt;35,CT41+CS42-DB41,IF(A42&lt;'Données projet'!$A$140,$CQ$205^A42,IF(A42='Données projet'!$A$140,'Données projet'!$B$140,CT41+CS42-DB41)))</f>
        <v>190.39423076923077</v>
      </c>
      <c r="CU42" s="17">
        <f>CT42*VLOOKUP('Données projet'!$B$13,Paramètres!$A$1:$I$89,3,0)*VLOOKUP('Données projet'!$B$13,Paramètres!$A$1:$I$89,5,0)</f>
        <v>91.579625000000007</v>
      </c>
      <c r="CV42" s="13">
        <f t="shared" si="41"/>
        <v>24.945805870197745</v>
      </c>
      <c r="CW42" s="20">
        <f t="shared" si="13"/>
        <v>202.94845876559441</v>
      </c>
      <c r="CX42" s="59">
        <f t="shared" si="14"/>
        <v>496.28179209892772</v>
      </c>
      <c r="CY42" s="59">
        <f ca="1">AVERAGE(OFFSET($CX$3,0,0,'Données projet'!$E$13+1,1))-AVERAGE(OFFSET($H$3,0,0,'Données projet'!$E$13+1,1))</f>
        <v>258.42493116335032</v>
      </c>
      <c r="CZ42" s="59">
        <f t="shared" si="42"/>
        <v>102.46122697336466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8.8000000000000007</v>
      </c>
      <c r="DO42" s="12">
        <f>IF('Données projet'!$A$166&gt;35,DO41+DN42-DW41,IF(A42&lt;'Données projet'!$A$166,$DL$205^A42,IF(A42='Données projet'!$A$166,'Données projet'!$B$166,DO41+DN42-DW41)))</f>
        <v>176.20000000000002</v>
      </c>
      <c r="DP42" s="17">
        <f>DO42*VLOOKUP('Données projet'!$B$14,Paramètres!$A$1:$I$89,3,0)*VLOOKUP('Données projet'!$B$14,Paramètres!$A$1:$I$89,5,0)</f>
        <v>153.92832000000004</v>
      </c>
      <c r="DQ42" s="13">
        <f t="shared" si="43"/>
        <v>39.469962836517794</v>
      </c>
      <c r="DR42" s="20">
        <f t="shared" si="16"/>
        <v>336.83534260693523</v>
      </c>
      <c r="DS42" s="59">
        <f t="shared" si="17"/>
        <v>630.16867594026849</v>
      </c>
      <c r="DT42" s="59">
        <f ca="1">AVERAGE(OFFSET($DS$3,0,0,'Données projet'!$E$14+1,1))-AVERAGE(OFFSET($H$3,0,0,'Données projet'!$E$14+1,1))</f>
        <v>354.24684313982857</v>
      </c>
      <c r="DU42" s="59">
        <f t="shared" si="44"/>
        <v>322.65043486962185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4.9978567301945116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4.9978567301945116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15.364102564102561</v>
      </c>
      <c r="N43" s="13">
        <f>IF('Données projet'!$A$36&gt;35,N42+M43-V42,IF(A43&lt;'Données projet'!$A$36,$K$205^A43,IF(A43='Données projet'!$A$36,'Données projet'!$B$36,N42+M43-V42)))</f>
        <v>270.63846153846151</v>
      </c>
      <c r="O43" s="13">
        <f>N43*VLOOKUP('Données projet'!$B$9,Paramètres!$A$1:$I$89,3,0)*VLOOKUP('Données projet'!$B$9,Paramètres!$A$1:$I$89,5,0)</f>
        <v>161.84180000000001</v>
      </c>
      <c r="P43" s="13">
        <f t="shared" si="33"/>
        <v>41.257661408086413</v>
      </c>
      <c r="Q43" s="20">
        <f t="shared" si="53"/>
        <v>353.73156195241717</v>
      </c>
      <c r="R43" s="59">
        <f t="shared" si="0"/>
        <v>647.06489528575048</v>
      </c>
      <c r="S43" s="59">
        <f ca="1">AVERAGE(OFFSET($R$3,0,0,'Données projet'!$E$9+1,1))-AVERAGE(OFFSET($H$3,0,0,'Données projet'!$E$9+1,1))</f>
        <v>355.09162485318728</v>
      </c>
      <c r="T43" s="59">
        <f t="shared" si="34"/>
        <v>320.06572891923685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29.081106529959193</v>
      </c>
      <c r="AA43" s="21">
        <f>EXP(-LN(2)/25)*AA42+(1-EXP(-LN(2)/25))/(LN(2)/25)*Calculateur!V43*Calculateur!X43*VLOOKUP('Données projet'!$B$9,Paramètres!$A$1:$I$89,3,0)*0.475*44/12</f>
        <v>11.653278095168798</v>
      </c>
      <c r="AB43" s="21">
        <f>EXP(-LN(2)/2)*AB42+(1-EXP(-LN(2)/2))/(LN(2)/2)*V43*Y43*VLOOKUP('Données projet'!$B$9,Paramètres!$A$1:$I$89,3,0)*0.475*44/12</f>
        <v>1.5581438477984082</v>
      </c>
      <c r="AC43" s="22">
        <f t="shared" si="3"/>
        <v>42.292528472926392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10.407692307692306</v>
      </c>
      <c r="AI43" s="13">
        <f>IF('Données projet'!$A$62&gt;35,AI42+AH43-AQ42,IF(A43&lt;'Données projet'!$A$62,$AF$205^A43,IF(A43='Données projet'!$A$62,'Données projet'!$B$62,AI42+AH43-AQ42)))</f>
        <v>207.35384615384618</v>
      </c>
      <c r="AJ43" s="13">
        <f>AI43*VLOOKUP('Données projet'!$B$10,Paramètres!$A$1:$I$89,3,0)*VLOOKUP('Données projet'!$B$10,Paramètres!$A$1:$I$89,5,0)</f>
        <v>97.041600000000017</v>
      </c>
      <c r="AK43" s="13">
        <f t="shared" si="35"/>
        <v>26.255972457521427</v>
      </c>
      <c r="AL43" s="20">
        <f t="shared" si="4"/>
        <v>214.74327203018319</v>
      </c>
      <c r="AM43" s="59">
        <f t="shared" si="5"/>
        <v>508.07660536351648</v>
      </c>
      <c r="AN43" s="59">
        <f ca="1">AVERAGE(OFFSET($AM$3,0,0,'Données projet'!$E$10+1,1))-AVERAGE(OFFSET($H$3,0,0,'Données projet'!$E$10+1,1))</f>
        <v>246.72166704460847</v>
      </c>
      <c r="AO43" s="59">
        <f t="shared" si="36"/>
        <v>145.54897745089966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>
        <f>BD43*VLOOKUP('Données projet'!$B$11,Paramètres!$A$1:$I$89,3,0)*VLOOKUP('Données projet'!$B$11,Paramètres!$A$1:$I$89,5,0)</f>
        <v>0</v>
      </c>
      <c r="BF43" s="13" t="e">
        <f t="shared" si="37"/>
        <v>#NUM!</v>
      </c>
      <c r="BG43" s="20" t="e">
        <f t="shared" si="7"/>
        <v>#NUM!</v>
      </c>
      <c r="BH43" s="59" t="e">
        <f t="shared" si="8"/>
        <v>#NUM!</v>
      </c>
      <c r="BI43" s="59">
        <f ca="1">AVERAGE(OFFSET($BH$3,0,0,'Données projet'!$E$11+1,1))-AVERAGE(OFFSET($H$3,0,0,'Données projet'!$E$11+1,1))</f>
        <v>88.478637356802039</v>
      </c>
      <c r="BJ43" s="59">
        <f t="shared" si="38"/>
        <v>239.55411297259155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30.373608457890789</v>
      </c>
      <c r="BQ43" s="21">
        <f>EXP(-LN(2)/25)*BQ42+(1-EXP(-LN(2)/25))/(LN(2)/25)*Calculateur!BL43*Calculateur!BN43*VLOOKUP('Données projet'!$B$11,Paramètres!$A$1:$I$89,3,0)*0.475*44/12</f>
        <v>5.5331111561516844</v>
      </c>
      <c r="BR43" s="21">
        <f>EXP(-LN(2)/2)*BR42+(1-EXP(-LN(2)/2))/(LN(2)/2)*BL43*BO43*VLOOKUP('Données projet'!$B$11,Paramètres!$A$1:$I$89,3,0)*0.475*44/12</f>
        <v>1.3435775092508956E-2</v>
      </c>
      <c r="BS43" s="22">
        <f t="shared" si="9"/>
        <v>35.920155389134983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6.063301282051281</v>
      </c>
      <c r="BY43" s="12">
        <f>IF('Données projet'!$A$114&gt;35,BY42+BX43-CG42,IF(A43&lt;'Données projet'!$A$114,$BV$205^A43,IF(A43='Données projet'!$A$114,'Données projet'!$B$114,BY42+BX43-CG42)))</f>
        <v>87.445512820512832</v>
      </c>
      <c r="BZ43" s="13">
        <f>BY43*VLOOKUP('Données projet'!$B$12,Paramètres!$A$1:$I$89,3,0)*VLOOKUP('Données projet'!$B$12,Paramètres!$A$1:$I$89,5,0)</f>
        <v>79.120699999999999</v>
      </c>
      <c r="CA43" s="13">
        <f t="shared" si="39"/>
        <v>21.922052612322915</v>
      </c>
      <c r="CB43" s="20">
        <f t="shared" si="10"/>
        <v>175.98279413312909</v>
      </c>
      <c r="CC43" s="59">
        <f t="shared" si="11"/>
        <v>469.31612746646238</v>
      </c>
      <c r="CD43" s="59">
        <f ca="1">AVERAGE(OFFSET($CC$3,0,0,'Données projet'!$E$12+1,1))-AVERAGE(OFFSET($H$3,0,0,'Données projet'!$E$12+1,1))</f>
        <v>437.94387006020412</v>
      </c>
      <c r="CE43" s="59">
        <f t="shared" si="40"/>
        <v>213.95083535531376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14.501923076923077</v>
      </c>
      <c r="CT43" s="12">
        <f>IF('Données projet'!$A$140&gt;35,CT42+CS43-DB42,IF(A43&lt;'Données projet'!$A$140,$CQ$205^A43,IF(A43='Données projet'!$A$140,'Données projet'!$B$140,CT42+CS43-DB42)))</f>
        <v>204.89615384615385</v>
      </c>
      <c r="CU43" s="17">
        <f>CT43*VLOOKUP('Données projet'!$B$13,Paramètres!$A$1:$I$89,3,0)*VLOOKUP('Données projet'!$B$13,Paramètres!$A$1:$I$89,5,0)</f>
        <v>98.555050000000008</v>
      </c>
      <c r="CV43" s="13">
        <f t="shared" si="41"/>
        <v>26.617467075690691</v>
      </c>
      <c r="CW43" s="20">
        <f t="shared" si="13"/>
        <v>218.00880057349465</v>
      </c>
      <c r="CX43" s="59">
        <f t="shared" si="14"/>
        <v>511.34213390682794</v>
      </c>
      <c r="CY43" s="59">
        <f ca="1">AVERAGE(OFFSET($CX$3,0,0,'Données projet'!$E$13+1,1))-AVERAGE(OFFSET($H$3,0,0,'Données projet'!$E$13+1,1))</f>
        <v>258.42493116335032</v>
      </c>
      <c r="CZ43" s="59">
        <f t="shared" si="42"/>
        <v>102.46122697336466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185</v>
      </c>
      <c r="DM43" s="12">
        <f>VLOOKUP(A43,'Données projet'!$A$165:$I$185,9,0)</f>
        <v>8.8000000000000007</v>
      </c>
      <c r="DN43" s="12">
        <f t="array" ref="DN43">INDEX(DM:DM,MIN(IF(ISNUMBER(DM43:DM239),ROW(DM43:DM239),"")))</f>
        <v>8.8000000000000007</v>
      </c>
      <c r="DO43" s="12">
        <f>IF('Données projet'!$A$166&gt;35,DO42+DN43-DW42,IF(A43&lt;'Données projet'!$A$166,$DL$205^A43,IF(A43='Données projet'!$A$166,'Données projet'!$B$166,DO42+DN43-DW42)))</f>
        <v>185.00000000000003</v>
      </c>
      <c r="DP43" s="17">
        <f>DO43*VLOOKUP('Données projet'!$B$14,Paramètres!$A$1:$I$89,3,0)*VLOOKUP('Données projet'!$B$14,Paramètres!$A$1:$I$89,5,0)</f>
        <v>161.61600000000004</v>
      </c>
      <c r="DQ43" s="13">
        <f t="shared" si="43"/>
        <v>41.20679526204917</v>
      </c>
      <c r="DR43" s="20">
        <f t="shared" si="16"/>
        <v>353.24970174806907</v>
      </c>
      <c r="DS43" s="59">
        <f t="shared" si="17"/>
        <v>646.58303508140239</v>
      </c>
      <c r="DT43" s="59">
        <f ca="1">AVERAGE(OFFSET($DS$3,0,0,'Données projet'!$E$14+1,1))-AVERAGE(OFFSET($H$3,0,0,'Données projet'!$E$14+1,1))</f>
        <v>354.24684313982857</v>
      </c>
      <c r="DU43" s="59">
        <f t="shared" si="44"/>
        <v>322.65043486962185</v>
      </c>
      <c r="DV43" s="15">
        <f>IF(ISNA(VLOOKUP(A43,'Données projet'!$A$165:$I$185,3,0)),0,VLOOKUP(A43,'Données projet'!$A$165:$I$185,3,0))</f>
        <v>5</v>
      </c>
      <c r="DW43" s="15" t="str">
        <f>IF(ISNA(VLOOKUP(A43,'Données projet'!$A$165:$I$185,4,0)),0,VLOOKUP(A43,'Données projet'!$A$165:$I$185,4,0))</f>
        <v>27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0.215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10.445231117655489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10.445231117655489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15.364102564102561</v>
      </c>
      <c r="N44" s="13">
        <f>IF('Données projet'!$A$36&gt;35,N43+M44-V43,IF(A44&lt;'Données projet'!$A$36,$K$205^A44,IF(A44='Données projet'!$A$36,'Données projet'!$B$36,N43+M44-V43)))</f>
        <v>286.00256410256407</v>
      </c>
      <c r="O44" s="13">
        <f>N44*VLOOKUP('Données projet'!$B$9,Paramètres!$A$1:$I$89,3,0)*VLOOKUP('Données projet'!$B$9,Paramètres!$A$1:$I$89,5,0)</f>
        <v>171.02953333333335</v>
      </c>
      <c r="P44" s="13">
        <f t="shared" si="33"/>
        <v>43.320523714936215</v>
      </c>
      <c r="Q44" s="20">
        <f t="shared" si="53"/>
        <v>373.32634935906952</v>
      </c>
      <c r="R44" s="59">
        <f t="shared" si="0"/>
        <v>666.65968269240284</v>
      </c>
      <c r="S44" s="59">
        <f ca="1">AVERAGE(OFFSET($R$3,0,0,'Données projet'!$E$9+1,1))-AVERAGE(OFFSET($H$3,0,0,'Données projet'!$E$9+1,1))</f>
        <v>355.09162485318728</v>
      </c>
      <c r="T44" s="59">
        <f t="shared" si="34"/>
        <v>320.06572891923685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28.51084376863022</v>
      </c>
      <c r="AA44" s="21">
        <f>EXP(-LN(2)/25)*AA43+(1-EXP(-LN(2)/25))/(LN(2)/25)*Calculateur!V44*Calculateur!X44*VLOOKUP('Données projet'!$B$9,Paramètres!$A$1:$I$89,3,0)*0.475*44/12</f>
        <v>11.334618592837145</v>
      </c>
      <c r="AB44" s="21">
        <f>EXP(-LN(2)/2)*AB43+(1-EXP(-LN(2)/2))/(LN(2)/2)*V44*Y44*VLOOKUP('Données projet'!$B$9,Paramètres!$A$1:$I$89,3,0)*0.475*44/12</f>
        <v>1.1017740808423544</v>
      </c>
      <c r="AC44" s="22">
        <f t="shared" si="3"/>
        <v>40.947236442309723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10.407692307692306</v>
      </c>
      <c r="AI44" s="13">
        <f>IF('Données projet'!$A$62&gt;35,AI43+AH44-AQ43,IF(A44&lt;'Données projet'!$A$62,$AF$205^A44,IF(A44='Données projet'!$A$62,'Données projet'!$B$62,AI43+AH44-AQ43)))</f>
        <v>217.76153846153849</v>
      </c>
      <c r="AJ44" s="13">
        <f>AI44*VLOOKUP('Données projet'!$B$10,Paramètres!$A$1:$I$89,3,0)*VLOOKUP('Données projet'!$B$10,Paramètres!$A$1:$I$89,5,0)</f>
        <v>101.91240000000002</v>
      </c>
      <c r="AK44" s="13">
        <f t="shared" si="35"/>
        <v>27.417096956022522</v>
      </c>
      <c r="AL44" s="20">
        <f t="shared" si="4"/>
        <v>225.2488738650726</v>
      </c>
      <c r="AM44" s="59">
        <f t="shared" si="5"/>
        <v>518.58220719840597</v>
      </c>
      <c r="AN44" s="59">
        <f ca="1">AVERAGE(OFFSET($AM$3,0,0,'Données projet'!$E$10+1,1))-AVERAGE(OFFSET($H$3,0,0,'Données projet'!$E$10+1,1))</f>
        <v>246.72166704460847</v>
      </c>
      <c r="AO44" s="59">
        <f t="shared" si="36"/>
        <v>145.54897745089966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>
        <f>BD44*VLOOKUP('Données projet'!$B$11,Paramètres!$A$1:$I$89,3,0)*VLOOKUP('Données projet'!$B$11,Paramètres!$A$1:$I$89,5,0)</f>
        <v>0</v>
      </c>
      <c r="BF44" s="13" t="e">
        <f t="shared" si="37"/>
        <v>#NUM!</v>
      </c>
      <c r="BG44" s="20" t="e">
        <f t="shared" si="7"/>
        <v>#NUM!</v>
      </c>
      <c r="BH44" s="59" t="e">
        <f t="shared" si="8"/>
        <v>#NUM!</v>
      </c>
      <c r="BI44" s="59">
        <f ca="1">AVERAGE(OFFSET($BH$3,0,0,'Données projet'!$E$11+1,1))-AVERAGE(OFFSET($H$3,0,0,'Données projet'!$E$11+1,1))</f>
        <v>88.478637356802039</v>
      </c>
      <c r="BJ44" s="59">
        <f t="shared" si="38"/>
        <v>239.55411297259155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29.778000522103412</v>
      </c>
      <c r="BQ44" s="21">
        <f>EXP(-LN(2)/25)*BQ43+(1-EXP(-LN(2)/25))/(LN(2)/25)*Calculateur!BL44*Calculateur!BN44*VLOOKUP('Données projet'!$B$11,Paramètres!$A$1:$I$89,3,0)*0.475*44/12</f>
        <v>5.3818079406130472</v>
      </c>
      <c r="BR44" s="21">
        <f>EXP(-LN(2)/2)*BR43+(1-EXP(-LN(2)/2))/(LN(2)/2)*BL44*BO44*VLOOKUP('Données projet'!$B$11,Paramètres!$A$1:$I$89,3,0)*0.475*44/12</f>
        <v>9.5005276784103955E-3</v>
      </c>
      <c r="BS44" s="22">
        <f t="shared" si="9"/>
        <v>35.169308990394867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6.063301282051281</v>
      </c>
      <c r="BY44" s="12">
        <f>IF('Données projet'!$A$114&gt;35,BY43+BX44-CG43,IF(A44&lt;'Données projet'!$A$114,$BV$205^A44,IF(A44='Données projet'!$A$114,'Données projet'!$B$114,BY43+BX44-CG43)))</f>
        <v>93.508814102564116</v>
      </c>
      <c r="BZ44" s="13">
        <f>BY44*VLOOKUP('Données projet'!$B$12,Paramètres!$A$1:$I$89,3,0)*VLOOKUP('Données projet'!$B$12,Paramètres!$A$1:$I$89,5,0)</f>
        <v>84.606775000000013</v>
      </c>
      <c r="CA44" s="13">
        <f t="shared" si="39"/>
        <v>23.259868096772649</v>
      </c>
      <c r="CB44" s="20">
        <f t="shared" si="10"/>
        <v>187.86773672687903</v>
      </c>
      <c r="CC44" s="59">
        <f t="shared" si="11"/>
        <v>481.20107006021237</v>
      </c>
      <c r="CD44" s="59">
        <f ca="1">AVERAGE(OFFSET($CC$3,0,0,'Données projet'!$E$12+1,1))-AVERAGE(OFFSET($H$3,0,0,'Données projet'!$E$12+1,1))</f>
        <v>437.94387006020412</v>
      </c>
      <c r="CE44" s="59">
        <f t="shared" si="40"/>
        <v>213.95083535531376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14.501923076923077</v>
      </c>
      <c r="CT44" s="12">
        <f>IF('Données projet'!$A$140&gt;35,CT43+CS44-DB43,IF(A44&lt;'Données projet'!$A$140,$CQ$205^A44,IF(A44='Données projet'!$A$140,'Données projet'!$B$140,CT43+CS44-DB43)))</f>
        <v>219.39807692307693</v>
      </c>
      <c r="CU44" s="17">
        <f>CT44*VLOOKUP('Données projet'!$B$13,Paramètres!$A$1:$I$89,3,0)*VLOOKUP('Données projet'!$B$13,Paramètres!$A$1:$I$89,5,0)</f>
        <v>105.53047500000001</v>
      </c>
      <c r="CV44" s="13">
        <f t="shared" si="41"/>
        <v>28.275400888462624</v>
      </c>
      <c r="CW44" s="20">
        <f t="shared" si="13"/>
        <v>233.04523383907238</v>
      </c>
      <c r="CX44" s="59">
        <f t="shared" si="14"/>
        <v>526.37856717240572</v>
      </c>
      <c r="CY44" s="59">
        <f ca="1">AVERAGE(OFFSET($CX$3,0,0,'Données projet'!$E$13+1,1))-AVERAGE(OFFSET($H$3,0,0,'Données projet'!$E$13+1,1))</f>
        <v>258.42493116335032</v>
      </c>
      <c r="CZ44" s="59">
        <f t="shared" si="42"/>
        <v>102.46122697336466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</v>
      </c>
      <c r="DO44" s="12">
        <f>IF('Données projet'!$A$166&gt;35,DO43+DN44-DW43,IF(A44&lt;'Données projet'!$A$166,$DL$205^A44,IF(A44='Données projet'!$A$166,'Données projet'!$B$166,DO43+DN44-DW43)))</f>
        <v>166.00000000000003</v>
      </c>
      <c r="DP44" s="17">
        <f>DO44*VLOOKUP('Données projet'!$B$14,Paramètres!$A$1:$I$89,3,0)*VLOOKUP('Données projet'!$B$14,Paramètres!$A$1:$I$89,5,0)</f>
        <v>145.01760000000004</v>
      </c>
      <c r="DQ44" s="13">
        <f t="shared" si="43"/>
        <v>37.444100932065233</v>
      </c>
      <c r="DR44" s="20">
        <f t="shared" si="16"/>
        <v>317.78746245668032</v>
      </c>
      <c r="DS44" s="59">
        <f t="shared" si="17"/>
        <v>611.12079579001363</v>
      </c>
      <c r="DT44" s="59">
        <f ca="1">AVERAGE(OFFSET($DS$3,0,0,'Données projet'!$E$14+1,1))-AVERAGE(OFFSET($H$3,0,0,'Données projet'!$E$14+1,1))</f>
        <v>354.24684313982857</v>
      </c>
      <c r="DU44" s="59">
        <f t="shared" si="44"/>
        <v>322.65043486962185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10.159605723452367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10.159605723452367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15.364102564102561</v>
      </c>
      <c r="N45" s="13">
        <f>IF('Données projet'!$A$36&gt;35,N44+M45-V44,IF(A45&lt;'Données projet'!$A$36,$K$205^A45,IF(A45='Données projet'!$A$36,'Données projet'!$B$36,N44+M45-V44)))</f>
        <v>301.36666666666662</v>
      </c>
      <c r="O45" s="13">
        <f>N45*VLOOKUP('Données projet'!$B$9,Paramètres!$A$1:$I$89,3,0)*VLOOKUP('Données projet'!$B$9,Paramètres!$A$1:$I$89,5,0)</f>
        <v>180.21726666666666</v>
      </c>
      <c r="P45" s="13">
        <f t="shared" si="33"/>
        <v>45.370520602809727</v>
      </c>
      <c r="Q45" s="20">
        <f t="shared" si="53"/>
        <v>392.89872949433806</v>
      </c>
      <c r="R45" s="59">
        <f t="shared" si="0"/>
        <v>686.23206282767137</v>
      </c>
      <c r="S45" s="59">
        <f ca="1">AVERAGE(OFFSET($R$3,0,0,'Données projet'!$E$9+1,1))-AVERAGE(OFFSET($H$3,0,0,'Données projet'!$E$9+1,1))</f>
        <v>355.09162485318728</v>
      </c>
      <c r="T45" s="59">
        <f t="shared" si="34"/>
        <v>320.06572891923685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27.951763512224971</v>
      </c>
      <c r="AA45" s="21">
        <f>EXP(-LN(2)/25)*AA44+(1-EXP(-LN(2)/25))/(LN(2)/25)*Calculateur!V45*Calculateur!X45*VLOOKUP('Données projet'!$B$9,Paramètres!$A$1:$I$89,3,0)*0.475*44/12</f>
        <v>11.024672851354328</v>
      </c>
      <c r="AB45" s="21">
        <f>EXP(-LN(2)/2)*AB44+(1-EXP(-LN(2)/2))/(LN(2)/2)*V45*Y45*VLOOKUP('Données projet'!$B$9,Paramètres!$A$1:$I$89,3,0)*0.475*44/12</f>
        <v>0.77907192389920432</v>
      </c>
      <c r="AC45" s="22">
        <f t="shared" si="3"/>
        <v>39.755508287478499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10.407692307692306</v>
      </c>
      <c r="AI45" s="13">
        <f>IF('Données projet'!$A$62&gt;35,AI44+AH45-AQ44,IF(A45&lt;'Données projet'!$A$62,$AF$205^A45,IF(A45='Données projet'!$A$62,'Données projet'!$B$62,AI44+AH45-AQ44)))</f>
        <v>228.16923076923081</v>
      </c>
      <c r="AJ45" s="13">
        <f>AI45*VLOOKUP('Données projet'!$B$10,Paramètres!$A$1:$I$89,3,0)*VLOOKUP('Données projet'!$B$10,Paramètres!$A$1:$I$89,5,0)</f>
        <v>106.78320000000002</v>
      </c>
      <c r="AK45" s="13">
        <f t="shared" si="35"/>
        <v>28.571777207672977</v>
      </c>
      <c r="AL45" s="20">
        <f t="shared" si="4"/>
        <v>235.74325197003046</v>
      </c>
      <c r="AM45" s="59">
        <f t="shared" si="5"/>
        <v>529.0765853033638</v>
      </c>
      <c r="AN45" s="59">
        <f ca="1">AVERAGE(OFFSET($AM$3,0,0,'Données projet'!$E$10+1,1))-AVERAGE(OFFSET($H$3,0,0,'Données projet'!$E$10+1,1))</f>
        <v>246.72166704460847</v>
      </c>
      <c r="AO45" s="59">
        <f t="shared" si="36"/>
        <v>145.54897745089966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>
        <f>BD45*VLOOKUP('Données projet'!$B$11,Paramètres!$A$1:$I$89,3,0)*VLOOKUP('Données projet'!$B$11,Paramètres!$A$1:$I$89,5,0)</f>
        <v>0</v>
      </c>
      <c r="BF45" s="13" t="e">
        <f t="shared" si="37"/>
        <v>#NUM!</v>
      </c>
      <c r="BG45" s="20" t="e">
        <f t="shared" si="7"/>
        <v>#NUM!</v>
      </c>
      <c r="BH45" s="59" t="e">
        <f t="shared" si="8"/>
        <v>#NUM!</v>
      </c>
      <c r="BI45" s="59">
        <f ca="1">AVERAGE(OFFSET($BH$3,0,0,'Données projet'!$E$11+1,1))-AVERAGE(OFFSET($H$3,0,0,'Données projet'!$E$11+1,1))</f>
        <v>88.478637356802039</v>
      </c>
      <c r="BJ45" s="59">
        <f t="shared" si="38"/>
        <v>239.55411297259155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29.194072094651855</v>
      </c>
      <c r="BQ45" s="21">
        <f>EXP(-LN(2)/25)*BQ44+(1-EXP(-LN(2)/25))/(LN(2)/25)*Calculateur!BL45*Calculateur!BN45*VLOOKUP('Données projet'!$B$11,Paramètres!$A$1:$I$89,3,0)*0.475*44/12</f>
        <v>5.2346421194600046</v>
      </c>
      <c r="BR45" s="21">
        <f>EXP(-LN(2)/2)*BR44+(1-EXP(-LN(2)/2))/(LN(2)/2)*BL45*BO45*VLOOKUP('Données projet'!$B$11,Paramètres!$A$1:$I$89,3,0)*0.475*44/12</f>
        <v>6.7178875462544779E-3</v>
      </c>
      <c r="BS45" s="22">
        <f t="shared" si="9"/>
        <v>34.435432101658108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6.063301282051281</v>
      </c>
      <c r="BY45" s="12">
        <f>IF('Données projet'!$A$114&gt;35,BY44+BX45-CG44,IF(A45&lt;'Données projet'!$A$114,$BV$205^A45,IF(A45='Données projet'!$A$114,'Données projet'!$B$114,BY44+BX45-CG44)))</f>
        <v>99.572115384615401</v>
      </c>
      <c r="BZ45" s="13">
        <f>BY45*VLOOKUP('Données projet'!$B$12,Paramètres!$A$1:$I$89,3,0)*VLOOKUP('Données projet'!$B$12,Paramètres!$A$1:$I$89,5,0)</f>
        <v>90.092850000000013</v>
      </c>
      <c r="CA45" s="13">
        <f t="shared" si="39"/>
        <v>24.587616834048152</v>
      </c>
      <c r="CB45" s="20">
        <f t="shared" si="10"/>
        <v>199.73514640263386</v>
      </c>
      <c r="CC45" s="59">
        <f t="shared" si="11"/>
        <v>493.06847973596717</v>
      </c>
      <c r="CD45" s="59">
        <f ca="1">AVERAGE(OFFSET($CC$3,0,0,'Données projet'!$E$12+1,1))-AVERAGE(OFFSET($H$3,0,0,'Données projet'!$E$12+1,1))</f>
        <v>437.94387006020412</v>
      </c>
      <c r="CE45" s="59">
        <f t="shared" si="40"/>
        <v>213.95083535531376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14.501923076923077</v>
      </c>
      <c r="CT45" s="12">
        <f>IF('Données projet'!$A$140&gt;35,CT44+CS45-DB44,IF(A45&lt;'Données projet'!$A$140,$CQ$205^A45,IF(A45='Données projet'!$A$140,'Données projet'!$B$140,CT44+CS45-DB44)))</f>
        <v>233.9</v>
      </c>
      <c r="CU45" s="17">
        <f>CT45*VLOOKUP('Données projet'!$B$13,Paramètres!$A$1:$I$89,3,0)*VLOOKUP('Données projet'!$B$13,Paramètres!$A$1:$I$89,5,0)</f>
        <v>112.50590000000001</v>
      </c>
      <c r="CV45" s="13">
        <f t="shared" si="41"/>
        <v>29.920617921245913</v>
      </c>
      <c r="CW45" s="20">
        <f t="shared" si="13"/>
        <v>248.05951871283665</v>
      </c>
      <c r="CX45" s="59">
        <f t="shared" si="14"/>
        <v>541.39285204616999</v>
      </c>
      <c r="CY45" s="59">
        <f ca="1">AVERAGE(OFFSET($CX$3,0,0,'Données projet'!$E$13+1,1))-AVERAGE(OFFSET($H$3,0,0,'Données projet'!$E$13+1,1))</f>
        <v>258.42493116335032</v>
      </c>
      <c r="CZ45" s="59">
        <f t="shared" si="42"/>
        <v>102.46122697336466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8</v>
      </c>
      <c r="DO45" s="12">
        <f>IF('Données projet'!$A$166&gt;35,DO44+DN45-DW44,IF(A45&lt;'Données projet'!$A$166,$DL$205^A45,IF(A45='Données projet'!$A$166,'Données projet'!$B$166,DO44+DN45-DW44)))</f>
        <v>174.00000000000003</v>
      </c>
      <c r="DP45" s="17">
        <f>DO45*VLOOKUP('Données projet'!$B$14,Paramètres!$A$1:$I$89,3,0)*VLOOKUP('Données projet'!$B$14,Paramètres!$A$1:$I$89,5,0)</f>
        <v>152.00640000000004</v>
      </c>
      <c r="DQ45" s="13">
        <f t="shared" si="43"/>
        <v>39.034194016561486</v>
      </c>
      <c r="DR45" s="20">
        <f t="shared" si="16"/>
        <v>332.72903457884462</v>
      </c>
      <c r="DS45" s="59">
        <f t="shared" si="17"/>
        <v>626.06236791217793</v>
      </c>
      <c r="DT45" s="59">
        <f ca="1">AVERAGE(OFFSET($DS$3,0,0,'Données projet'!$E$14+1,1))-AVERAGE(OFFSET($H$3,0,0,'Données projet'!$E$14+1,1))</f>
        <v>354.24684313982857</v>
      </c>
      <c r="DU45" s="59">
        <f t="shared" si="44"/>
        <v>322.65043486962185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9.881790770674117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9.881790770674117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15.364102564102561</v>
      </c>
      <c r="N46" s="13">
        <f>IF('Données projet'!$A$36&gt;35,N45+M46-V45,IF(A46&lt;'Données projet'!$A$36,$K$205^A46,IF(A46='Données projet'!$A$36,'Données projet'!$B$36,N45+M46-V45)))</f>
        <v>316.73076923076917</v>
      </c>
      <c r="O46" s="13">
        <f>N46*VLOOKUP('Données projet'!$B$9,Paramètres!$A$1:$I$89,3,0)*VLOOKUP('Données projet'!$B$9,Paramètres!$A$1:$I$89,5,0)</f>
        <v>189.405</v>
      </c>
      <c r="P46" s="13">
        <f t="shared" si="33"/>
        <v>47.408382795872441</v>
      </c>
      <c r="Q46" s="20">
        <f t="shared" si="53"/>
        <v>412.44997503614445</v>
      </c>
      <c r="R46" s="59">
        <f t="shared" si="0"/>
        <v>705.78330836947771</v>
      </c>
      <c r="S46" s="59">
        <f ca="1">AVERAGE(OFFSET($R$3,0,0,'Données projet'!$E$9+1,1))-AVERAGE(OFFSET($H$3,0,0,'Données projet'!$E$9+1,1))</f>
        <v>355.09162485318728</v>
      </c>
      <c r="T46" s="59">
        <f t="shared" si="34"/>
        <v>320.06572891923685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27.403646478642543</v>
      </c>
      <c r="AA46" s="21">
        <f>EXP(-LN(2)/25)*AA45+(1-EXP(-LN(2)/25))/(LN(2)/25)*Calculateur!V46*Calculateur!X46*VLOOKUP('Données projet'!$B$9,Paramètres!$A$1:$I$89,3,0)*0.475*44/12</f>
        <v>10.723202592471695</v>
      </c>
      <c r="AB46" s="21">
        <f>EXP(-LN(2)/2)*AB45+(1-EXP(-LN(2)/2))/(LN(2)/2)*V46*Y46*VLOOKUP('Données projet'!$B$9,Paramètres!$A$1:$I$89,3,0)*0.475*44/12</f>
        <v>0.55088704042117731</v>
      </c>
      <c r="AC46" s="22">
        <f t="shared" si="3"/>
        <v>38.677736111535417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10.407692307692306</v>
      </c>
      <c r="AI46" s="13">
        <f>IF('Données projet'!$A$62&gt;35,AI45+AH46-AQ45,IF(A46&lt;'Données projet'!$A$62,$AF$205^A46,IF(A46='Données projet'!$A$62,'Données projet'!$B$62,AI45+AH46-AQ45)))</f>
        <v>238.57692307692312</v>
      </c>
      <c r="AJ46" s="13">
        <f>AI46*VLOOKUP('Données projet'!$B$10,Paramètres!$A$1:$I$89,3,0)*VLOOKUP('Données projet'!$B$10,Paramètres!$A$1:$I$89,5,0)</f>
        <v>111.65400000000002</v>
      </c>
      <c r="AK46" s="13">
        <f t="shared" si="35"/>
        <v>29.720340737744728</v>
      </c>
      <c r="AL46" s="20">
        <f t="shared" si="4"/>
        <v>246.22697678490542</v>
      </c>
      <c r="AM46" s="59">
        <f t="shared" si="5"/>
        <v>539.5603101182387</v>
      </c>
      <c r="AN46" s="59">
        <f ca="1">AVERAGE(OFFSET($AM$3,0,0,'Données projet'!$E$10+1,1))-AVERAGE(OFFSET($H$3,0,0,'Données projet'!$E$10+1,1))</f>
        <v>246.72166704460847</v>
      </c>
      <c r="AO46" s="59">
        <f t="shared" si="36"/>
        <v>145.54897745089966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>
        <f>BD46*VLOOKUP('Données projet'!$B$11,Paramètres!$A$1:$I$89,3,0)*VLOOKUP('Données projet'!$B$11,Paramètres!$A$1:$I$89,5,0)</f>
        <v>0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88.478637356802039</v>
      </c>
      <c r="BJ46" s="59">
        <f t="shared" si="38"/>
        <v>239.55411297259155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28.621594147501451</v>
      </c>
      <c r="BQ46" s="21">
        <f>EXP(-LN(2)/25)*BQ45+(1-EXP(-LN(2)/25))/(LN(2)/25)*Calculateur!BL46*Calculateur!BN46*VLOOKUP('Données projet'!$B$11,Paramètres!$A$1:$I$89,3,0)*0.475*44/12</f>
        <v>5.0915005554255055</v>
      </c>
      <c r="BR46" s="21">
        <f>EXP(-LN(2)/2)*BR45+(1-EXP(-LN(2)/2))/(LN(2)/2)*BL46*BO46*VLOOKUP('Données projet'!$B$11,Paramètres!$A$1:$I$89,3,0)*0.475*44/12</f>
        <v>4.7502638392051977E-3</v>
      </c>
      <c r="BS46" s="22">
        <f t="shared" si="9"/>
        <v>33.717844966766165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6.063301282051281</v>
      </c>
      <c r="BY46" s="12">
        <f>IF('Données projet'!$A$114&gt;35,BY45+BX46-CG45,IF(A46&lt;'Données projet'!$A$114,$BV$205^A46,IF(A46='Données projet'!$A$114,'Données projet'!$B$114,BY45+BX46-CG45)))</f>
        <v>105.63541666666669</v>
      </c>
      <c r="BZ46" s="13">
        <f>BY46*VLOOKUP('Données projet'!$B$12,Paramètres!$A$1:$I$89,3,0)*VLOOKUP('Données projet'!$B$12,Paramètres!$A$1:$I$89,5,0)</f>
        <v>95.578925000000012</v>
      </c>
      <c r="CA46" s="13">
        <f t="shared" si="39"/>
        <v>25.905981627100029</v>
      </c>
      <c r="CB46" s="20">
        <f t="shared" si="10"/>
        <v>211.58621237553257</v>
      </c>
      <c r="CC46" s="59">
        <f t="shared" si="11"/>
        <v>504.91954570886588</v>
      </c>
      <c r="CD46" s="59">
        <f ca="1">AVERAGE(OFFSET($CC$3,0,0,'Données projet'!$E$12+1,1))-AVERAGE(OFFSET($H$3,0,0,'Données projet'!$E$12+1,1))</f>
        <v>437.94387006020412</v>
      </c>
      <c r="CE46" s="59">
        <f t="shared" si="40"/>
        <v>213.95083535531376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14.501923076923077</v>
      </c>
      <c r="CT46" s="12">
        <f>IF('Données projet'!$A$140&gt;35,CT45+CS46-DB45,IF(A46&lt;'Données projet'!$A$140,$CQ$205^A46,IF(A46='Données projet'!$A$140,'Données projet'!$B$140,CT45+CS46-DB45)))</f>
        <v>248.40192307692308</v>
      </c>
      <c r="CU46" s="17">
        <f>CT46*VLOOKUP('Données projet'!$B$13,Paramètres!$A$1:$I$89,3,0)*VLOOKUP('Données projet'!$B$13,Paramètres!$A$1:$I$89,5,0)</f>
        <v>119.48132500000001</v>
      </c>
      <c r="CV46" s="13">
        <f t="shared" si="41"/>
        <v>31.553996387417172</v>
      </c>
      <c r="CW46" s="20">
        <f t="shared" si="13"/>
        <v>263.05318474975155</v>
      </c>
      <c r="CX46" s="59">
        <f t="shared" si="14"/>
        <v>556.38651808308487</v>
      </c>
      <c r="CY46" s="59">
        <f ca="1">AVERAGE(OFFSET($CX$3,0,0,'Données projet'!$E$13+1,1))-AVERAGE(OFFSET($H$3,0,0,'Données projet'!$E$13+1,1))</f>
        <v>258.42493116335032</v>
      </c>
      <c r="CZ46" s="59">
        <f t="shared" si="42"/>
        <v>102.46122697336466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</v>
      </c>
      <c r="DO46" s="12">
        <f>IF('Données projet'!$A$166&gt;35,DO45+DN46-DW45,IF(A46&lt;'Données projet'!$A$166,$DL$205^A46,IF(A46='Données projet'!$A$166,'Données projet'!$B$166,DO45+DN46-DW45)))</f>
        <v>182.00000000000003</v>
      </c>
      <c r="DP46" s="17">
        <f>DO46*VLOOKUP('Données projet'!$B$14,Paramètres!$A$1:$I$89,3,0)*VLOOKUP('Données projet'!$B$14,Paramètres!$A$1:$I$89,5,0)</f>
        <v>158.99520000000004</v>
      </c>
      <c r="DQ46" s="13">
        <f t="shared" si="43"/>
        <v>40.615796933386044</v>
      </c>
      <c r="DR46" s="20">
        <f t="shared" si="16"/>
        <v>347.65581965898076</v>
      </c>
      <c r="DS46" s="59">
        <f t="shared" si="17"/>
        <v>640.98915299231408</v>
      </c>
      <c r="DT46" s="59">
        <f ca="1">AVERAGE(OFFSET($DS$3,0,0,'Données projet'!$E$14+1,1))-AVERAGE(OFFSET($H$3,0,0,'Données projet'!$E$14+1,1))</f>
        <v>354.24684313982857</v>
      </c>
      <c r="DU46" s="59">
        <f t="shared" si="44"/>
        <v>322.65043486962185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9.6115726823892427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9.6115726823892427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15.364102564102561</v>
      </c>
      <c r="N47" s="13">
        <f>IF('Données projet'!$A$36&gt;35,N46+M47-V46,IF(A47&lt;'Données projet'!$A$36,$K$205^A47,IF(A47='Données projet'!$A$36,'Données projet'!$B$36,N46+M47-V46)))</f>
        <v>332.09487179487172</v>
      </c>
      <c r="O47" s="13">
        <f>N47*VLOOKUP('Données projet'!$B$9,Paramètres!$A$1:$I$89,3,0)*VLOOKUP('Données projet'!$B$9,Paramètres!$A$1:$I$89,5,0)</f>
        <v>198.59273333333329</v>
      </c>
      <c r="P47" s="13">
        <f t="shared" si="33"/>
        <v>49.434766120428968</v>
      </c>
      <c r="Q47" s="20">
        <f t="shared" si="53"/>
        <v>431.98122821530256</v>
      </c>
      <c r="R47" s="59">
        <f t="shared" si="0"/>
        <v>725.31456154863588</v>
      </c>
      <c r="S47" s="59">
        <f ca="1">AVERAGE(OFFSET($R$3,0,0,'Données projet'!$E$9+1,1))-AVERAGE(OFFSET($H$3,0,0,'Données projet'!$E$9+1,1))</f>
        <v>355.09162485318728</v>
      </c>
      <c r="T47" s="59">
        <f t="shared" si="34"/>
        <v>320.06572891923685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26.866277685770289</v>
      </c>
      <c r="AA47" s="21">
        <f>EXP(-LN(2)/25)*AA46+(1-EXP(-LN(2)/25))/(LN(2)/25)*Calculateur!V47*Calculateur!X47*VLOOKUP('Données projet'!$B$9,Paramètres!$A$1:$I$89,3,0)*0.475*44/12</f>
        <v>10.42997605367184</v>
      </c>
      <c r="AB47" s="21">
        <f>EXP(-LN(2)/2)*AB46+(1-EXP(-LN(2)/2))/(LN(2)/2)*V47*Y47*VLOOKUP('Données projet'!$B$9,Paramètres!$A$1:$I$89,3,0)*0.475*44/12</f>
        <v>0.38953596194960222</v>
      </c>
      <c r="AC47" s="22">
        <f t="shared" si="3"/>
        <v>37.685789701391734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10.407692307692306</v>
      </c>
      <c r="AI47" s="13">
        <f>IF('Données projet'!$A$62&gt;35,AI46+AH47-AQ46,IF(A47&lt;'Données projet'!$A$62,$AF$205^A47,IF(A47='Données projet'!$A$62,'Données projet'!$B$62,AI46+AH47-AQ46)))</f>
        <v>248.98461538461544</v>
      </c>
      <c r="AJ47" s="13">
        <f>AI47*VLOOKUP('Données projet'!$B$10,Paramètres!$A$1:$I$89,3,0)*VLOOKUP('Données projet'!$B$10,Paramètres!$A$1:$I$89,5,0)</f>
        <v>116.52480000000001</v>
      </c>
      <c r="AK47" s="13">
        <f t="shared" si="35"/>
        <v>30.86308487963316</v>
      </c>
      <c r="AL47" s="20">
        <f t="shared" si="4"/>
        <v>256.70056616536107</v>
      </c>
      <c r="AM47" s="59">
        <f t="shared" si="5"/>
        <v>550.03389949869438</v>
      </c>
      <c r="AN47" s="59">
        <f ca="1">AVERAGE(OFFSET($AM$3,0,0,'Données projet'!$E$10+1,1))-AVERAGE(OFFSET($H$3,0,0,'Données projet'!$E$10+1,1))</f>
        <v>246.72166704460847</v>
      </c>
      <c r="AO47" s="59">
        <f t="shared" si="36"/>
        <v>145.54897745089966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>
        <f>BD47*VLOOKUP('Données projet'!$B$11,Paramètres!$A$1:$I$89,3,0)*VLOOKUP('Données projet'!$B$11,Paramètres!$A$1:$I$89,5,0)</f>
        <v>0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88.478637356802039</v>
      </c>
      <c r="BJ47" s="59">
        <f t="shared" si="38"/>
        <v>239.55411297259155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28.060342143717598</v>
      </c>
      <c r="BQ47" s="21">
        <f>EXP(-LN(2)/25)*BQ46+(1-EXP(-LN(2)/25))/(LN(2)/25)*Calculateur!BL47*Calculateur!BN47*VLOOKUP('Données projet'!$B$11,Paramètres!$A$1:$I$89,3,0)*0.475*44/12</f>
        <v>4.9522732049870175</v>
      </c>
      <c r="BR47" s="21">
        <f>EXP(-LN(2)/2)*BR46+(1-EXP(-LN(2)/2))/(LN(2)/2)*BL47*BO47*VLOOKUP('Données projet'!$B$11,Paramètres!$A$1:$I$89,3,0)*0.475*44/12</f>
        <v>3.358943773127239E-3</v>
      </c>
      <c r="BS47" s="22">
        <f t="shared" si="9"/>
        <v>33.015974292477743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>
        <f>VLOOKUP(A47,'Données projet'!$A$113:$I$133,2,0)</f>
        <v>111.69871794871794</v>
      </c>
      <c r="BW47" s="12">
        <f>VLOOKUP(A47,'Données projet'!$A$113:$I$133,9,0)</f>
        <v>6.063301282051281</v>
      </c>
      <c r="BX47" s="12">
        <f t="array" ref="BX47">INDEX(BW:BW,MIN(IF(ISNUMBER(BW47:BW243),ROW(BW47:BW243),"")))</f>
        <v>6.063301282051281</v>
      </c>
      <c r="BY47" s="12">
        <f>IF('Données projet'!$A$114&gt;35,BY46+BX47-CG46,IF(A47&lt;'Données projet'!$A$114,$BV$205^A47,IF(A47='Données projet'!$A$114,'Données projet'!$B$114,BY46+BX47-CG46)))</f>
        <v>111.69871794871797</v>
      </c>
      <c r="BZ47" s="13">
        <f>BY47*VLOOKUP('Données projet'!$B$12,Paramètres!$A$1:$I$89,3,0)*VLOOKUP('Données projet'!$B$12,Paramètres!$A$1:$I$89,5,0)</f>
        <v>101.06500000000003</v>
      </c>
      <c r="CA47" s="13">
        <f t="shared" si="39"/>
        <v>27.215562467906935</v>
      </c>
      <c r="CB47" s="20">
        <f t="shared" si="10"/>
        <v>223.42197963160461</v>
      </c>
      <c r="CC47" s="59">
        <f t="shared" si="11"/>
        <v>516.75531296493796</v>
      </c>
      <c r="CD47" s="59">
        <f ca="1">AVERAGE(OFFSET($CC$3,0,0,'Données projet'!$E$12+1,1))-AVERAGE(OFFSET($H$3,0,0,'Données projet'!$E$12+1,1))</f>
        <v>437.94387006020412</v>
      </c>
      <c r="CE47" s="59">
        <f t="shared" si="40"/>
        <v>213.95083535531376</v>
      </c>
      <c r="CF47" s="15">
        <f>IF(ISNA(VLOOKUP(A47,'Données projet'!$A$113:$I$133,3,0)),0,VLOOKUP(A47,'Données projet'!$A$113:$I$133,3,0))</f>
        <v>2</v>
      </c>
      <c r="CG47" s="15">
        <f>IF(ISNA(VLOOKUP(A47,'Données projet'!$A$113:$I$133,4,0)),0,VLOOKUP(A47,'Données projet'!$A$113:$I$133,4,0))</f>
        <v>26.40384615384615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14.501923076923077</v>
      </c>
      <c r="CT47" s="12">
        <f>IF('Données projet'!$A$140&gt;35,CT46+CS47-DB46,IF(A47&lt;'Données projet'!$A$140,$CQ$205^A47,IF(A47='Données projet'!$A$140,'Données projet'!$B$140,CT46+CS47-DB46)))</f>
        <v>262.90384615384619</v>
      </c>
      <c r="CU47" s="17">
        <f>CT47*VLOOKUP('Données projet'!$B$13,Paramètres!$A$1:$I$89,3,0)*VLOOKUP('Données projet'!$B$13,Paramètres!$A$1:$I$89,5,0)</f>
        <v>126.45675000000001</v>
      </c>
      <c r="CV47" s="13">
        <f t="shared" si="41"/>
        <v>33.176306166198842</v>
      </c>
      <c r="CW47" s="20">
        <f t="shared" si="13"/>
        <v>278.02757282279634</v>
      </c>
      <c r="CX47" s="59">
        <f t="shared" si="14"/>
        <v>571.36090615612966</v>
      </c>
      <c r="CY47" s="59">
        <f ca="1">AVERAGE(OFFSET($CX$3,0,0,'Données projet'!$E$13+1,1))-AVERAGE(OFFSET($H$3,0,0,'Données projet'!$E$13+1,1))</f>
        <v>258.42493116335032</v>
      </c>
      <c r="CZ47" s="59">
        <f t="shared" si="42"/>
        <v>102.46122697336466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</v>
      </c>
      <c r="DO47" s="12">
        <f>IF('Données projet'!$A$166&gt;35,DO46+DN47-DW46,IF(A47&lt;'Données projet'!$A$166,$DL$205^A47,IF(A47='Données projet'!$A$166,'Données projet'!$B$166,DO46+DN47-DW46)))</f>
        <v>190.00000000000003</v>
      </c>
      <c r="DP47" s="17">
        <f>DO47*VLOOKUP('Données projet'!$B$14,Paramètres!$A$1:$I$89,3,0)*VLOOKUP('Données projet'!$B$14,Paramètres!$A$1:$I$89,5,0)</f>
        <v>165.98400000000004</v>
      </c>
      <c r="DQ47" s="13">
        <f t="shared" si="43"/>
        <v>42.189325525922285</v>
      </c>
      <c r="DR47" s="20">
        <f t="shared" si="16"/>
        <v>362.56854195764805</v>
      </c>
      <c r="DS47" s="59">
        <f t="shared" si="17"/>
        <v>655.90187529098137</v>
      </c>
      <c r="DT47" s="59">
        <f ca="1">AVERAGE(OFFSET($DS$3,0,0,'Données projet'!$E$14+1,1))-AVERAGE(OFFSET($H$3,0,0,'Données projet'!$E$14+1,1))</f>
        <v>354.24684313982857</v>
      </c>
      <c r="DU47" s="59">
        <f t="shared" si="44"/>
        <v>322.65043486962185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9.3487437219386695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9.3487437219386695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15.364102564102561</v>
      </c>
      <c r="N48" s="13">
        <f>IF('Données projet'!$A$36&gt;35,N47+M48-V47,IF(A48&lt;'Données projet'!$A$36,$K$205^A48,IF(A48='Données projet'!$A$36,'Données projet'!$B$36,N47+M48-V47)))</f>
        <v>347.45897435897427</v>
      </c>
      <c r="O48" s="13">
        <f>N48*VLOOKUP('Données projet'!$B$9,Paramètres!$A$1:$I$89,3,0)*VLOOKUP('Données projet'!$B$9,Paramètres!$A$1:$I$89,5,0)</f>
        <v>207.78046666666665</v>
      </c>
      <c r="P48" s="13">
        <f t="shared" si="33"/>
        <v>51.450262290579353</v>
      </c>
      <c r="Q48" s="20">
        <f t="shared" si="53"/>
        <v>451.49351960053679</v>
      </c>
      <c r="R48" s="59">
        <f t="shared" si="0"/>
        <v>744.8268529338701</v>
      </c>
      <c r="S48" s="59">
        <f ca="1">AVERAGE(OFFSET($R$3,0,0,'Données projet'!$E$9+1,1))-AVERAGE(OFFSET($H$3,0,0,'Données projet'!$E$9+1,1))</f>
        <v>355.09162485318728</v>
      </c>
      <c r="T48" s="59">
        <f t="shared" si="34"/>
        <v>320.06572891923685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26.33944636716366</v>
      </c>
      <c r="AA48" s="21">
        <f>EXP(-LN(2)/25)*AA47+(1-EXP(-LN(2)/25))/(LN(2)/25)*Calculateur!V48*Calculateur!X48*VLOOKUP('Données projet'!$B$9,Paramètres!$A$1:$I$89,3,0)*0.475*44/12</f>
        <v>10.144767809995582</v>
      </c>
      <c r="AB48" s="21">
        <f>EXP(-LN(2)/2)*AB47+(1-EXP(-LN(2)/2))/(LN(2)/2)*V48*Y48*VLOOKUP('Données projet'!$B$9,Paramètres!$A$1:$I$89,3,0)*0.475*44/12</f>
        <v>0.27544352021058871</v>
      </c>
      <c r="AC48" s="22">
        <f t="shared" si="3"/>
        <v>36.759657697369832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10.407692307692306</v>
      </c>
      <c r="AI48" s="13">
        <f>IF('Données projet'!$A$62&gt;35,AI47+AH48-AQ47,IF(A48&lt;'Données projet'!$A$62,$AF$205^A48,IF(A48='Données projet'!$A$62,'Données projet'!$B$62,AI47+AH48-AQ47)))</f>
        <v>259.39230769230772</v>
      </c>
      <c r="AJ48" s="13">
        <f>AI48*VLOOKUP('Données projet'!$B$10,Paramètres!$A$1:$I$89,3,0)*VLOOKUP('Données projet'!$B$10,Paramètres!$A$1:$I$89,5,0)</f>
        <v>121.39560000000002</v>
      </c>
      <c r="AK48" s="13">
        <f t="shared" si="35"/>
        <v>32.000280703058984</v>
      </c>
      <c r="AL48" s="20">
        <f t="shared" si="4"/>
        <v>267.16449222449438</v>
      </c>
      <c r="AM48" s="59">
        <f t="shared" si="5"/>
        <v>560.4978255578277</v>
      </c>
      <c r="AN48" s="59">
        <f ca="1">AVERAGE(OFFSET($AM$3,0,0,'Données projet'!$E$10+1,1))-AVERAGE(OFFSET($H$3,0,0,'Données projet'!$E$10+1,1))</f>
        <v>246.72166704460847</v>
      </c>
      <c r="AO48" s="59">
        <f t="shared" si="36"/>
        <v>145.54897745089966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>
        <f>BD48*VLOOKUP('Données projet'!$B$11,Paramètres!$A$1:$I$89,3,0)*VLOOKUP('Données projet'!$B$11,Paramètres!$A$1:$I$89,5,0)</f>
        <v>0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88.478637356802039</v>
      </c>
      <c r="BJ48" s="59">
        <f t="shared" si="38"/>
        <v>239.55411297259155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27.510095949398025</v>
      </c>
      <c r="BQ48" s="21">
        <f>EXP(-LN(2)/25)*BQ47+(1-EXP(-LN(2)/25))/(LN(2)/25)*Calculateur!BL48*Calculateur!BN48*VLOOKUP('Données projet'!$B$11,Paramètres!$A$1:$I$89,3,0)*0.475*44/12</f>
        <v>4.8168530337679183</v>
      </c>
      <c r="BR48" s="21">
        <f>EXP(-LN(2)/2)*BR47+(1-EXP(-LN(2)/2))/(LN(2)/2)*BL48*BO48*VLOOKUP('Données projet'!$B$11,Paramètres!$A$1:$I$89,3,0)*0.475*44/12</f>
        <v>2.3751319196025989E-3</v>
      </c>
      <c r="BS48" s="22">
        <f t="shared" si="9"/>
        <v>32.329324115085541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6.4471153846153832</v>
      </c>
      <c r="BY48" s="12">
        <f>IF('Données projet'!$A$114&gt;35,BY47+BX48-CG47,IF(A48&lt;'Données projet'!$A$114,$BV$205^A48,IF(A48='Données projet'!$A$114,'Données projet'!$B$114,BY47+BX48-CG47)))</f>
        <v>91.741987179487211</v>
      </c>
      <c r="BZ48" s="13">
        <f>BY48*VLOOKUP('Données projet'!$B$12,Paramètres!$A$1:$I$89,3,0)*VLOOKUP('Données projet'!$B$12,Paramètres!$A$1:$I$89,5,0)</f>
        <v>83.008150000000029</v>
      </c>
      <c r="CA48" s="13">
        <f t="shared" si="39"/>
        <v>22.87110491955584</v>
      </c>
      <c r="CB48" s="20">
        <f t="shared" si="10"/>
        <v>184.40636898489313</v>
      </c>
      <c r="CC48" s="59">
        <f t="shared" si="11"/>
        <v>477.73970231822648</v>
      </c>
      <c r="CD48" s="59">
        <f ca="1">AVERAGE(OFFSET($CC$3,0,0,'Données projet'!$E$12+1,1))-AVERAGE(OFFSET($H$3,0,0,'Données projet'!$E$12+1,1))</f>
        <v>437.94387006020412</v>
      </c>
      <c r="CE48" s="59">
        <f t="shared" si="40"/>
        <v>213.95083535531376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14.501923076923077</v>
      </c>
      <c r="CT48" s="12">
        <f>IF('Données projet'!$A$140&gt;35,CT47+CS48-DB47,IF(A48&lt;'Données projet'!$A$140,$CQ$205^A48,IF(A48='Données projet'!$A$140,'Données projet'!$B$140,CT47+CS48-DB47)))</f>
        <v>277.40576923076924</v>
      </c>
      <c r="CU48" s="17">
        <f>CT48*VLOOKUP('Données projet'!$B$13,Paramètres!$A$1:$I$89,3,0)*VLOOKUP('Données projet'!$B$13,Paramètres!$A$1:$I$89,5,0)</f>
        <v>133.432175</v>
      </c>
      <c r="CV48" s="13">
        <f t="shared" si="41"/>
        <v>34.788227405941683</v>
      </c>
      <c r="CW48" s="20">
        <f t="shared" si="13"/>
        <v>292.98386752368179</v>
      </c>
      <c r="CX48" s="59">
        <f t="shared" si="14"/>
        <v>586.31720085701511</v>
      </c>
      <c r="CY48" s="59">
        <f ca="1">AVERAGE(OFFSET($CX$3,0,0,'Données projet'!$E$13+1,1))-AVERAGE(OFFSET($H$3,0,0,'Données projet'!$E$13+1,1))</f>
        <v>258.42493116335032</v>
      </c>
      <c r="CZ48" s="59">
        <f t="shared" si="42"/>
        <v>102.46122697336466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198</v>
      </c>
      <c r="DM48" s="12">
        <f>VLOOKUP(A48,'Données projet'!$A$165:$I$185,9,0)</f>
        <v>8</v>
      </c>
      <c r="DN48" s="12">
        <f t="array" ref="DN48">INDEX(DM:DM,MIN(IF(ISNUMBER(DM48:DM244),ROW(DM48:DM244),"")))</f>
        <v>8</v>
      </c>
      <c r="DO48" s="12">
        <f>IF('Données projet'!$A$166&gt;35,DO47+DN48-DW47,IF(A48&lt;'Données projet'!$A$166,$DL$205^A48,IF(A48='Données projet'!$A$166,'Données projet'!$B$166,DO47+DN48-DW47)))</f>
        <v>198.00000000000003</v>
      </c>
      <c r="DP48" s="17">
        <f>DO48*VLOOKUP('Données projet'!$B$14,Paramètres!$A$1:$I$89,3,0)*VLOOKUP('Données projet'!$B$14,Paramètres!$A$1:$I$89,5,0)</f>
        <v>172.97280000000003</v>
      </c>
      <c r="DQ48" s="13">
        <f t="shared" si="43"/>
        <v>43.75515863819728</v>
      </c>
      <c r="DR48" s="20">
        <f t="shared" si="16"/>
        <v>377.46786129486031</v>
      </c>
      <c r="DS48" s="59">
        <f t="shared" si="17"/>
        <v>670.80119462819357</v>
      </c>
      <c r="DT48" s="59">
        <f ca="1">AVERAGE(OFFSET($DS$3,0,0,'Données projet'!$E$14+1,1))-AVERAGE(OFFSET($H$3,0,0,'Données projet'!$E$14+1,1))</f>
        <v>354.24684313982857</v>
      </c>
      <c r="DU48" s="59">
        <f t="shared" si="44"/>
        <v>322.65043486962185</v>
      </c>
      <c r="DV48" s="15">
        <f>IF(ISNA(VLOOKUP(A48,'Données projet'!$A$165:$I$185,3,0)),0,VLOOKUP(A48,'Données projet'!$A$165:$I$185,3,0))</f>
        <v>6</v>
      </c>
      <c r="DW48" s="15" t="str">
        <f>IF(ISNA(VLOOKUP(A48,'Données projet'!$A$165:$I$185,4,0)),0,VLOOKUP(A48,'Données projet'!$A$165:$I$185,4,0))</f>
        <v>26</v>
      </c>
      <c r="DX48" s="16">
        <f>IF(ISNA(VLOOKUP(A48,'Données projet'!$A$165:$I$185,5,0)),0%,VLOOKUP(A48,'Données projet'!$A$165:$I$185,5,0)*VLOOKUP('Données projet'!$B$14,Paramètres!$A$1:$I$89,7,0))</f>
        <v>0.17200000000000001</v>
      </c>
      <c r="DY48" s="16">
        <f>IF(ISNA(VLOOKUP(A48,'Données projet'!$A$165:$I$185,6,0)),0%,VLOOKUP(A48,'Données projet'!$A$165:$I$185,6,0)*VLOOKUP('Données projet'!$B$14,Paramètres!$A$1:$I$89,7,0))</f>
        <v>0.17200000000000001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4.3187844661602552</v>
      </c>
      <c r="EB48" s="21">
        <f>EXP(-LN(2)/25)*EB47+(1-EXP(-LN(2)/25))/(LN(2)/25)*Calculateur!DW48*Calculateur!DY48*VLOOKUP('Données projet'!$B$14,Paramètres!$A$1:$I$89,3,0)*0.475*44/12</f>
        <v>13.394881599364279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17.713666065524535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362.82307692307688</v>
      </c>
      <c r="L49" s="12">
        <f>VLOOKUP(A49,'Données projet'!$A$35:$I$55,9,0)</f>
        <v>15.364102564102561</v>
      </c>
      <c r="M49" s="12">
        <f t="array" ref="M49">INDEX(L:L,MIN(IF(ISNUMBER(L49:L245),ROW(L49:L245),"")))</f>
        <v>15.364102564102561</v>
      </c>
      <c r="N49" s="13">
        <f>IF('Données projet'!$A$36&gt;35,N48+M49-V48,IF(A49&lt;'Données projet'!$A$36,$K$205^A49,IF(A49='Données projet'!$A$36,'Données projet'!$B$36,N48+M49-V48)))</f>
        <v>362.82307692307683</v>
      </c>
      <c r="O49" s="13">
        <f>N49*VLOOKUP('Données projet'!$B$9,Paramètres!$A$1:$I$89,3,0)*VLOOKUP('Données projet'!$B$9,Paramètres!$A$1:$I$89,5,0)</f>
        <v>216.96819999999994</v>
      </c>
      <c r="P49" s="13">
        <f t="shared" si="33"/>
        <v>53.455407732310803</v>
      </c>
      <c r="Q49" s="20">
        <f t="shared" si="53"/>
        <v>470.98778346710793</v>
      </c>
      <c r="R49" s="59">
        <f t="shared" si="0"/>
        <v>764.32111680044125</v>
      </c>
      <c r="S49" s="59">
        <f ca="1">AVERAGE(OFFSET($R$3,0,0,'Données projet'!$E$9+1,1))-AVERAGE(OFFSET($H$3,0,0,'Données projet'!$E$9+1,1))</f>
        <v>355.09162485318728</v>
      </c>
      <c r="T49" s="59">
        <f t="shared" si="34"/>
        <v>320.06572891923685</v>
      </c>
      <c r="U49" s="15">
        <f>IF(ISNA(VLOOKUP(A49,'Données projet'!$A$35:$I$55,3,0)),0,VLOOKUP(A49,'Données projet'!$A$35:$I$55,3,0))</f>
        <v>5</v>
      </c>
      <c r="V49" s="15">
        <f>IF(ISNA(VLOOKUP(A49,'Données projet'!$A$35:$I$55,4,0)),0,VLOOKUP(A49,'Données projet'!$A$35:$I$55,4,0))</f>
        <v>72.561538461538461</v>
      </c>
      <c r="W49" s="16">
        <f>IF(ISNA(VLOOKUP(A49,'Données projet'!$A$35:$I$55,5,0)),0%,VLOOKUP(A49,'Données projet'!$A$35:$I$55,5,0)*VLOOKUP('Données projet'!$B$9,Paramètres!$A$1:$I$89,7,0))</f>
        <v>0.315</v>
      </c>
      <c r="X49" s="16">
        <f>IF(ISNA(VLOOKUP(A49,'Données projet'!$A$35:$I$55,6,0)),0%,VLOOKUP(A49,'Données projet'!$A$35:$I$55,6,0)*VLOOKUP('Données projet'!$B$9,Paramètres!$A$1:$I$89,7,0))</f>
        <v>7.5600000000000001E-2</v>
      </c>
      <c r="Y49" s="16">
        <f>IF(ISNA(VLOOKUP(A49,'Données projet'!$A$35:$I$55,7,0)),0%,VLOOKUP(A49,'Données projet'!$A$35:$I$55,7,0))</f>
        <v>0.13200000000000001</v>
      </c>
      <c r="Z49" s="21">
        <f>EXP(-LN(2)/35)*Z48+(1-EXP(-LN(2)/35))/(LN(2)/35)*V49*W49*VLOOKUP('Données projet'!$B$9,Paramètres!$A$1:$I$89,3,0)*0.475*44/12</f>
        <v>43.95498204370508</v>
      </c>
      <c r="AA49" s="21">
        <f>EXP(-LN(2)/25)*AA48+(1-EXP(-LN(2)/25))/(LN(2)/25)*Calculateur!V49*Calculateur!X49*VLOOKUP('Données projet'!$B$9,Paramètres!$A$1:$I$89,3,0)*0.475*44/12</f>
        <v>14.201913021334352</v>
      </c>
      <c r="AB49" s="21">
        <f>EXP(-LN(2)/2)*AB48+(1-EXP(-LN(2)/2))/(LN(2)/2)*V49*Y49*VLOOKUP('Données projet'!$B$9,Paramètres!$A$1:$I$89,3,0)*0.475*44/12</f>
        <v>6.6798748388055769</v>
      </c>
      <c r="AC49" s="22">
        <f t="shared" si="3"/>
        <v>64.83676990384501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10.407692307692306</v>
      </c>
      <c r="AI49" s="13">
        <f>IF('Données projet'!$A$62&gt;35,AI48+AH49-AQ48,IF(A49&lt;'Données projet'!$A$62,$AF$205^A49,IF(A49='Données projet'!$A$62,'Données projet'!$B$62,AI48+AH49-AQ48)))</f>
        <v>269.8</v>
      </c>
      <c r="AJ49" s="13">
        <f>AI49*VLOOKUP('Données projet'!$B$10,Paramètres!$A$1:$I$89,3,0)*VLOOKUP('Données projet'!$B$10,Paramètres!$A$1:$I$89,5,0)</f>
        <v>126.2664</v>
      </c>
      <c r="AK49" s="13">
        <f t="shared" si="35"/>
        <v>33.132176294071812</v>
      </c>
      <c r="AL49" s="20">
        <f t="shared" si="4"/>
        <v>277.6191870455084</v>
      </c>
      <c r="AM49" s="59">
        <f t="shared" si="5"/>
        <v>570.95252037884165</v>
      </c>
      <c r="AN49" s="59">
        <f ca="1">AVERAGE(OFFSET($AM$3,0,0,'Données projet'!$E$10+1,1))-AVERAGE(OFFSET($H$3,0,0,'Données projet'!$E$10+1,1))</f>
        <v>246.72166704460847</v>
      </c>
      <c r="AO49" s="59">
        <f t="shared" si="36"/>
        <v>145.54897745089966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>
        <f>BD49*VLOOKUP('Données projet'!$B$11,Paramètres!$A$1:$I$89,3,0)*VLOOKUP('Données projet'!$B$11,Paramètres!$A$1:$I$89,5,0)</f>
        <v>0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88.478637356802039</v>
      </c>
      <c r="BJ49" s="59">
        <f t="shared" si="38"/>
        <v>239.55411297259155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26.970639747332019</v>
      </c>
      <c r="BQ49" s="21">
        <f>EXP(-LN(2)/25)*BQ48+(1-EXP(-LN(2)/25))/(LN(2)/25)*Calculateur!BL49*Calculateur!BN49*VLOOKUP('Données projet'!$B$11,Paramètres!$A$1:$I$89,3,0)*0.475*44/12</f>
        <v>4.6851359342522425</v>
      </c>
      <c r="BR49" s="21">
        <f>EXP(-LN(2)/2)*BR48+(1-EXP(-LN(2)/2))/(LN(2)/2)*BL49*BO49*VLOOKUP('Données projet'!$B$11,Paramètres!$A$1:$I$89,3,0)*0.475*44/12</f>
        <v>1.6794718865636195E-3</v>
      </c>
      <c r="BS49" s="22">
        <f t="shared" si="9"/>
        <v>31.657455153470824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6.4471153846153832</v>
      </c>
      <c r="BY49" s="12">
        <f>IF('Données projet'!$A$114&gt;35,BY48+BX49-CG48,IF(A49&lt;'Données projet'!$A$114,$BV$205^A49,IF(A49='Données projet'!$A$114,'Données projet'!$B$114,BY48+BX49-CG48)))</f>
        <v>98.189102564102598</v>
      </c>
      <c r="BZ49" s="13">
        <f>BY49*VLOOKUP('Données projet'!$B$12,Paramètres!$A$1:$I$89,3,0)*VLOOKUP('Données projet'!$B$12,Paramètres!$A$1:$I$89,5,0)</f>
        <v>88.841500000000025</v>
      </c>
      <c r="CA49" s="13">
        <f t="shared" si="39"/>
        <v>24.285612363013556</v>
      </c>
      <c r="CB49" s="20">
        <f t="shared" si="10"/>
        <v>197.0297206989153</v>
      </c>
      <c r="CC49" s="59">
        <f t="shared" si="11"/>
        <v>490.36305403224861</v>
      </c>
      <c r="CD49" s="59">
        <f ca="1">AVERAGE(OFFSET($CC$3,0,0,'Données projet'!$E$12+1,1))-AVERAGE(OFFSET($H$3,0,0,'Données projet'!$E$12+1,1))</f>
        <v>437.94387006020412</v>
      </c>
      <c r="CE49" s="59">
        <f t="shared" si="40"/>
        <v>213.95083535531376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14.501923076923077</v>
      </c>
      <c r="CT49" s="12">
        <f>IF('Données projet'!$A$140&gt;35,CT48+CS49-DB48,IF(A49&lt;'Données projet'!$A$140,$CQ$205^A49,IF(A49='Données projet'!$A$140,'Données projet'!$B$140,CT48+CS49-DB48)))</f>
        <v>291.90769230769229</v>
      </c>
      <c r="CU49" s="17">
        <f>CT49*VLOOKUP('Données projet'!$B$13,Paramètres!$A$1:$I$89,3,0)*VLOOKUP('Données projet'!$B$13,Paramètres!$A$1:$I$89,5,0)</f>
        <v>140.4076</v>
      </c>
      <c r="CV49" s="13">
        <f t="shared" si="41"/>
        <v>36.390365126402386</v>
      </c>
      <c r="CW49" s="20">
        <f t="shared" si="13"/>
        <v>307.9231225951508</v>
      </c>
      <c r="CX49" s="59">
        <f t="shared" si="14"/>
        <v>601.25645592848412</v>
      </c>
      <c r="CY49" s="59">
        <f ca="1">AVERAGE(OFFSET($CX$3,0,0,'Données projet'!$E$13+1,1))-AVERAGE(OFFSET($H$3,0,0,'Données projet'!$E$13+1,1))</f>
        <v>258.42493116335032</v>
      </c>
      <c r="CZ49" s="59">
        <f t="shared" si="42"/>
        <v>102.46122697336466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7.4</v>
      </c>
      <c r="DO49" s="12">
        <f>IF('Données projet'!$A$166&gt;35,DO48+DN49-DW48,IF(A49&lt;'Données projet'!$A$166,$DL$205^A49,IF(A49='Données projet'!$A$166,'Données projet'!$B$166,DO48+DN49-DW48)))</f>
        <v>179.40000000000003</v>
      </c>
      <c r="DP49" s="17">
        <f>DO49*VLOOKUP('Données projet'!$B$14,Paramètres!$A$1:$I$89,3,0)*VLOOKUP('Données projet'!$B$14,Paramètres!$A$1:$I$89,5,0)</f>
        <v>156.72384000000005</v>
      </c>
      <c r="DQ49" s="13">
        <f t="shared" si="43"/>
        <v>40.102680984620484</v>
      </c>
      <c r="DR49" s="20">
        <f t="shared" si="16"/>
        <v>342.80619071488076</v>
      </c>
      <c r="DS49" s="59">
        <f t="shared" si="17"/>
        <v>636.13952404821407</v>
      </c>
      <c r="DT49" s="59">
        <f ca="1">AVERAGE(OFFSET($DS$3,0,0,'Données projet'!$E$14+1,1))-AVERAGE(OFFSET($H$3,0,0,'Données projet'!$E$14+1,1))</f>
        <v>354.24684313982857</v>
      </c>
      <c r="DU49" s="59">
        <f t="shared" si="44"/>
        <v>322.65043486962185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4.2340957369772712</v>
      </c>
      <c r="EB49" s="21">
        <f>EXP(-LN(2)/25)*EB48+(1-EXP(-LN(2)/25))/(LN(2)/25)*Calculateur!DW49*Calculateur!DY49*VLOOKUP('Données projet'!$B$14,Paramètres!$A$1:$I$89,3,0)*0.475*44/12</f>
        <v>13.028597857623454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17.262693594600726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13.793846153846165</v>
      </c>
      <c r="N50" s="13">
        <f>IF('Données projet'!$A$36&gt;35,N49+M50-V49,IF(A50&lt;'Données projet'!$A$36,$K$205^A50,IF(A50='Données projet'!$A$36,'Données projet'!$B$36,N49+M50-V49)))</f>
        <v>304.05538461538453</v>
      </c>
      <c r="O50" s="13">
        <f>N50*VLOOKUP('Données projet'!$B$9,Paramètres!$A$1:$I$89,3,0)*VLOOKUP('Données projet'!$B$9,Paramètres!$A$1:$I$89,5,0)</f>
        <v>181.82511999999997</v>
      </c>
      <c r="P50" s="13">
        <f t="shared" si="33"/>
        <v>45.72800301768045</v>
      </c>
      <c r="Q50" s="20">
        <f t="shared" si="53"/>
        <v>396.32168925579339</v>
      </c>
      <c r="R50" s="59">
        <f t="shared" si="0"/>
        <v>689.6550225891267</v>
      </c>
      <c r="S50" s="59">
        <f ca="1">AVERAGE(OFFSET($R$3,0,0,'Données projet'!$E$9+1,1))-AVERAGE(OFFSET($H$3,0,0,'Données projet'!$E$9+1,1))</f>
        <v>355.09162485318728</v>
      </c>
      <c r="T50" s="59">
        <f t="shared" si="34"/>
        <v>320.06572891923685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43.093051655719812</v>
      </c>
      <c r="AA50" s="21">
        <f>EXP(-LN(2)/25)*AA49+(1-EXP(-LN(2)/25))/(LN(2)/25)*Calculateur!V50*Calculateur!X50*VLOOKUP('Données projet'!$B$9,Paramètres!$A$1:$I$89,3,0)*0.475*44/12</f>
        <v>13.813560962919817</v>
      </c>
      <c r="AB50" s="21">
        <f>EXP(-LN(2)/2)*AB49+(1-EXP(-LN(2)/2))/(LN(2)/2)*V50*Y50*VLOOKUP('Données projet'!$B$9,Paramètres!$A$1:$I$89,3,0)*0.475*44/12</f>
        <v>4.7233847959968198</v>
      </c>
      <c r="AC50" s="22">
        <f t="shared" si="3"/>
        <v>61.629997414636449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10.407692307692306</v>
      </c>
      <c r="AI50" s="13">
        <f>IF('Données projet'!$A$62&gt;35,AI49+AH50-AQ49,IF(A50&lt;'Données projet'!$A$62,$AF$205^A50,IF(A50='Données projet'!$A$62,'Données projet'!$B$62,AI49+AH50-AQ49)))</f>
        <v>280.2076923076923</v>
      </c>
      <c r="AJ50" s="13">
        <f>AI50*VLOOKUP('Données projet'!$B$10,Paramètres!$A$1:$I$89,3,0)*VLOOKUP('Données projet'!$B$10,Paramètres!$A$1:$I$89,5,0)</f>
        <v>131.13719999999998</v>
      </c>
      <c r="AK50" s="13">
        <f t="shared" si="35"/>
        <v>34.258999514705152</v>
      </c>
      <c r="AL50" s="20">
        <f t="shared" si="4"/>
        <v>288.06504748811147</v>
      </c>
      <c r="AM50" s="59">
        <f t="shared" si="5"/>
        <v>581.39838082144479</v>
      </c>
      <c r="AN50" s="59">
        <f ca="1">AVERAGE(OFFSET($AM$3,0,0,'Données projet'!$E$10+1,1))-AVERAGE(OFFSET($H$3,0,0,'Données projet'!$E$10+1,1))</f>
        <v>246.72166704460847</v>
      </c>
      <c r="AO50" s="59">
        <f t="shared" si="36"/>
        <v>145.54897745089966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>
        <f>BD50*VLOOKUP('Données projet'!$B$11,Paramètres!$A$1:$I$89,3,0)*VLOOKUP('Données projet'!$B$11,Paramètres!$A$1:$I$89,5,0)</f>
        <v>0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88.478637356802039</v>
      </c>
      <c r="BJ50" s="59">
        <f t="shared" si="38"/>
        <v>239.55411297259155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26.441761952352735</v>
      </c>
      <c r="BQ50" s="21">
        <f>EXP(-LN(2)/25)*BQ49+(1-EXP(-LN(2)/25))/(LN(2)/25)*Calculateur!BL50*Calculateur!BN50*VLOOKUP('Données projet'!$B$11,Paramètres!$A$1:$I$89,3,0)*0.475*44/12</f>
        <v>4.5570206457495246</v>
      </c>
      <c r="BR50" s="21">
        <f>EXP(-LN(2)/2)*BR49+(1-EXP(-LN(2)/2))/(LN(2)/2)*BL50*BO50*VLOOKUP('Données projet'!$B$11,Paramètres!$A$1:$I$89,3,0)*0.475*44/12</f>
        <v>1.1875659598012994E-3</v>
      </c>
      <c r="BS50" s="22">
        <f t="shared" si="9"/>
        <v>30.999970164062059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6.4471153846153832</v>
      </c>
      <c r="BY50" s="12">
        <f>IF('Données projet'!$A$114&gt;35,BY49+BX50-CG49,IF(A50&lt;'Données projet'!$A$114,$BV$205^A50,IF(A50='Données projet'!$A$114,'Données projet'!$B$114,BY49+BX50-CG49)))</f>
        <v>104.63621794871798</v>
      </c>
      <c r="BZ50" s="13">
        <f>BY50*VLOOKUP('Données projet'!$B$12,Paramètres!$A$1:$I$89,3,0)*VLOOKUP('Données projet'!$B$12,Paramètres!$A$1:$I$89,5,0)</f>
        <v>94.674850000000021</v>
      </c>
      <c r="CA50" s="13">
        <f t="shared" si="39"/>
        <v>25.689341978829482</v>
      </c>
      <c r="CB50" s="20">
        <f t="shared" si="10"/>
        <v>209.63430102979467</v>
      </c>
      <c r="CC50" s="59">
        <f t="shared" si="11"/>
        <v>502.96763436312801</v>
      </c>
      <c r="CD50" s="59">
        <f ca="1">AVERAGE(OFFSET($CC$3,0,0,'Données projet'!$E$12+1,1))-AVERAGE(OFFSET($H$3,0,0,'Données projet'!$E$12+1,1))</f>
        <v>437.94387006020412</v>
      </c>
      <c r="CE50" s="59">
        <f t="shared" si="40"/>
        <v>213.95083535531376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14.501923076923077</v>
      </c>
      <c r="CT50" s="12">
        <f>IF('Données projet'!$A$140&gt;35,CT49+CS50-DB49,IF(A50&lt;'Données projet'!$A$140,$CQ$205^A50,IF(A50='Données projet'!$A$140,'Données projet'!$B$140,CT49+CS50-DB49)))</f>
        <v>306.40961538461534</v>
      </c>
      <c r="CU50" s="17">
        <f>CT50*VLOOKUP('Données projet'!$B$13,Paramètres!$A$1:$I$89,3,0)*VLOOKUP('Données projet'!$B$13,Paramètres!$A$1:$I$89,5,0)</f>
        <v>147.38302499999998</v>
      </c>
      <c r="CV50" s="13">
        <f t="shared" si="41"/>
        <v>37.983260836839598</v>
      </c>
      <c r="CW50" s="20">
        <f t="shared" si="13"/>
        <v>322.84628116582888</v>
      </c>
      <c r="CX50" s="59">
        <f t="shared" si="14"/>
        <v>616.1796144991622</v>
      </c>
      <c r="CY50" s="59">
        <f ca="1">AVERAGE(OFFSET($CX$3,0,0,'Données projet'!$E$13+1,1))-AVERAGE(OFFSET($H$3,0,0,'Données projet'!$E$13+1,1))</f>
        <v>258.42493116335032</v>
      </c>
      <c r="CZ50" s="59">
        <f t="shared" si="42"/>
        <v>102.46122697336466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7.4</v>
      </c>
      <c r="DO50" s="12">
        <f>IF('Données projet'!$A$166&gt;35,DO49+DN50-DW49,IF(A50&lt;'Données projet'!$A$166,$DL$205^A50,IF(A50='Données projet'!$A$166,'Données projet'!$B$166,DO49+DN50-DW49)))</f>
        <v>186.80000000000004</v>
      </c>
      <c r="DP50" s="17">
        <f>DO50*VLOOKUP('Données projet'!$B$14,Paramètres!$A$1:$I$89,3,0)*VLOOKUP('Données projet'!$B$14,Paramètres!$A$1:$I$89,5,0)</f>
        <v>163.18848000000006</v>
      </c>
      <c r="DQ50" s="13">
        <f t="shared" si="43"/>
        <v>41.560857991048017</v>
      </c>
      <c r="DR50" s="20">
        <f t="shared" si="16"/>
        <v>356.60509700107536</v>
      </c>
      <c r="DS50" s="59">
        <f t="shared" si="17"/>
        <v>649.93843033440862</v>
      </c>
      <c r="DT50" s="59">
        <f ca="1">AVERAGE(OFFSET($DS$3,0,0,'Données projet'!$E$14+1,1))-AVERAGE(OFFSET($H$3,0,0,'Données projet'!$E$14+1,1))</f>
        <v>354.24684313982857</v>
      </c>
      <c r="DU50" s="59">
        <f t="shared" si="44"/>
        <v>322.65043486962185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4.1510677021185414</v>
      </c>
      <c r="EB50" s="21">
        <f>EXP(-LN(2)/25)*EB49+(1-EXP(-LN(2)/25))/(LN(2)/25)*Calculateur!DW50*Calculateur!DY50*VLOOKUP('Données projet'!$B$14,Paramètres!$A$1:$I$89,3,0)*0.475*44/12</f>
        <v>12.672330164062558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16.8233978661811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13.793846153846165</v>
      </c>
      <c r="N51" s="13">
        <f>IF('Données projet'!$A$36&gt;35,N50+M51-V50,IF(A51&lt;'Données projet'!$A$36,$K$205^A51,IF(A51='Données projet'!$A$36,'Données projet'!$B$36,N50+M51-V50)))</f>
        <v>317.8492307692307</v>
      </c>
      <c r="O51" s="13">
        <f>N51*VLOOKUP('Données projet'!$B$9,Paramètres!$A$1:$I$89,3,0)*VLOOKUP('Données projet'!$B$9,Paramètres!$A$1:$I$89,5,0)</f>
        <v>190.07383999999999</v>
      </c>
      <c r="P51" s="13">
        <f t="shared" si="33"/>
        <v>47.556277457641151</v>
      </c>
      <c r="Q51" s="20">
        <f t="shared" si="53"/>
        <v>413.87245457205836</v>
      </c>
      <c r="R51" s="59">
        <f t="shared" si="0"/>
        <v>707.20578790539162</v>
      </c>
      <c r="S51" s="59">
        <f ca="1">AVERAGE(OFFSET($R$3,0,0,'Données projet'!$E$9+1,1))-AVERAGE(OFFSET($H$3,0,0,'Données projet'!$E$9+1,1))</f>
        <v>355.09162485318728</v>
      </c>
      <c r="T51" s="59">
        <f t="shared" si="34"/>
        <v>320.06572891923685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42.248023196917309</v>
      </c>
      <c r="AA51" s="21">
        <f>EXP(-LN(2)/25)*AA50+(1-EXP(-LN(2)/25))/(LN(2)/25)*Calculateur!V51*Calculateur!X51*VLOOKUP('Données projet'!$B$9,Paramètres!$A$1:$I$89,3,0)*0.475*44/12</f>
        <v>13.435828411965176</v>
      </c>
      <c r="AB51" s="21">
        <f>EXP(-LN(2)/2)*AB50+(1-EXP(-LN(2)/2))/(LN(2)/2)*V51*Y51*VLOOKUP('Données projet'!$B$9,Paramètres!$A$1:$I$89,3,0)*0.475*44/12</f>
        <v>3.3399374194027889</v>
      </c>
      <c r="AC51" s="22">
        <f t="shared" si="3"/>
        <v>59.023789028285272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10.407692307692306</v>
      </c>
      <c r="AI51" s="13">
        <f>IF('Données projet'!$A$62&gt;35,AI50+AH51-AQ50,IF(A51&lt;'Données projet'!$A$62,$AF$205^A51,IF(A51='Données projet'!$A$62,'Données projet'!$B$62,AI50+AH51-AQ50)))</f>
        <v>290.61538461538458</v>
      </c>
      <c r="AJ51" s="13">
        <f>AI51*VLOOKUP('Données projet'!$B$10,Paramètres!$A$1:$I$89,3,0)*VLOOKUP('Données projet'!$B$10,Paramètres!$A$1:$I$89,5,0)</f>
        <v>136.00799999999998</v>
      </c>
      <c r="AK51" s="13">
        <f t="shared" si="35"/>
        <v>35.380960341100334</v>
      </c>
      <c r="AL51" s="20">
        <f t="shared" si="4"/>
        <v>298.50243926074967</v>
      </c>
      <c r="AM51" s="59">
        <f t="shared" si="5"/>
        <v>591.83577259408298</v>
      </c>
      <c r="AN51" s="59">
        <f ca="1">AVERAGE(OFFSET($AM$3,0,0,'Données projet'!$E$10+1,1))-AVERAGE(OFFSET($H$3,0,0,'Données projet'!$E$10+1,1))</f>
        <v>246.72166704460847</v>
      </c>
      <c r="AO51" s="59">
        <f t="shared" si="36"/>
        <v>145.54897745089966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>
        <f>BD51*VLOOKUP('Données projet'!$B$11,Paramètres!$A$1:$I$89,3,0)*VLOOKUP('Données projet'!$B$11,Paramètres!$A$1:$I$89,5,0)</f>
        <v>0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88.478637356802039</v>
      </c>
      <c r="BJ51" s="59">
        <f t="shared" si="38"/>
        <v>239.55411297259155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25.923255128349393</v>
      </c>
      <c r="BQ51" s="21">
        <f>EXP(-LN(2)/25)*BQ50+(1-EXP(-LN(2)/25))/(LN(2)/25)*Calculateur!BL51*Calculateur!BN51*VLOOKUP('Données projet'!$B$11,Paramètres!$A$1:$I$89,3,0)*0.475*44/12</f>
        <v>4.4324086765482029</v>
      </c>
      <c r="BR51" s="21">
        <f>EXP(-LN(2)/2)*BR50+(1-EXP(-LN(2)/2))/(LN(2)/2)*BL51*BO51*VLOOKUP('Données projet'!$B$11,Paramètres!$A$1:$I$89,3,0)*0.475*44/12</f>
        <v>8.3973594328180974E-4</v>
      </c>
      <c r="BS51" s="22">
        <f t="shared" si="9"/>
        <v>30.356503540840876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6.4471153846153832</v>
      </c>
      <c r="BY51" s="12">
        <f>IF('Données projet'!$A$114&gt;35,BY50+BX51-CG50,IF(A51&lt;'Données projet'!$A$114,$BV$205^A51,IF(A51='Données projet'!$A$114,'Données projet'!$B$114,BY50+BX51-CG50)))</f>
        <v>111.08333333333337</v>
      </c>
      <c r="BZ51" s="13">
        <f>BY51*VLOOKUP('Données projet'!$B$12,Paramètres!$A$1:$I$89,3,0)*VLOOKUP('Données projet'!$B$12,Paramètres!$A$1:$I$89,5,0)</f>
        <v>100.50820000000004</v>
      </c>
      <c r="CA51" s="13">
        <f t="shared" si="39"/>
        <v>27.083033448335257</v>
      </c>
      <c r="CB51" s="20">
        <f t="shared" si="10"/>
        <v>222.22139825585066</v>
      </c>
      <c r="CC51" s="59">
        <f t="shared" si="11"/>
        <v>515.55473158918403</v>
      </c>
      <c r="CD51" s="59">
        <f ca="1">AVERAGE(OFFSET($CC$3,0,0,'Données projet'!$E$12+1,1))-AVERAGE(OFFSET($H$3,0,0,'Données projet'!$E$12+1,1))</f>
        <v>437.94387006020412</v>
      </c>
      <c r="CE51" s="59">
        <f t="shared" si="40"/>
        <v>213.95083535531376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14.501923076923077</v>
      </c>
      <c r="CT51" s="12">
        <f>IF('Données projet'!$A$140&gt;35,CT50+CS51-DB50,IF(A51&lt;'Données projet'!$A$140,$CQ$205^A51,IF(A51='Données projet'!$A$140,'Données projet'!$B$140,CT50+CS51-DB50)))</f>
        <v>320.91153846153838</v>
      </c>
      <c r="CU51" s="17">
        <f>CT51*VLOOKUP('Données projet'!$B$13,Paramètres!$A$1:$I$89,3,0)*VLOOKUP('Données projet'!$B$13,Paramètres!$A$1:$I$89,5,0)</f>
        <v>154.35844999999998</v>
      </c>
      <c r="CV51" s="13">
        <f t="shared" si="41"/>
        <v>39.567401892341209</v>
      </c>
      <c r="CW51" s="20">
        <f t="shared" si="13"/>
        <v>337.75419204582755</v>
      </c>
      <c r="CX51" s="59">
        <f t="shared" si="14"/>
        <v>631.08752537916087</v>
      </c>
      <c r="CY51" s="59">
        <f ca="1">AVERAGE(OFFSET($CX$3,0,0,'Données projet'!$E$13+1,1))-AVERAGE(OFFSET($H$3,0,0,'Données projet'!$E$13+1,1))</f>
        <v>258.42493116335032</v>
      </c>
      <c r="CZ51" s="59">
        <f t="shared" si="42"/>
        <v>102.46122697336466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7.4</v>
      </c>
      <c r="DO51" s="12">
        <f>IF('Données projet'!$A$166&gt;35,DO50+DN51-DW50,IF(A51&lt;'Données projet'!$A$166,$DL$205^A51,IF(A51='Données projet'!$A$166,'Données projet'!$B$166,DO50+DN51-DW50)))</f>
        <v>194.20000000000005</v>
      </c>
      <c r="DP51" s="17">
        <f>DO51*VLOOKUP('Données projet'!$B$14,Paramètres!$A$1:$I$89,3,0)*VLOOKUP('Données projet'!$B$14,Paramètres!$A$1:$I$89,5,0)</f>
        <v>169.65312000000006</v>
      </c>
      <c r="DQ51" s="13">
        <f t="shared" si="43"/>
        <v>43.012324771430336</v>
      </c>
      <c r="DR51" s="20">
        <f t="shared" si="16"/>
        <v>370.39231631024131</v>
      </c>
      <c r="DS51" s="59">
        <f t="shared" si="17"/>
        <v>663.72564964357457</v>
      </c>
      <c r="DT51" s="59">
        <f ca="1">AVERAGE(OFFSET($DS$3,0,0,'Données projet'!$E$14+1,1))-AVERAGE(OFFSET($H$3,0,0,'Données projet'!$E$14+1,1))</f>
        <v>354.24684313982857</v>
      </c>
      <c r="DU51" s="59">
        <f t="shared" si="44"/>
        <v>322.65043486962185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4.0696677963812906</v>
      </c>
      <c r="EB51" s="21">
        <f>EXP(-LN(2)/25)*EB50+(1-EXP(-LN(2)/25))/(LN(2)/25)*Calculateur!DW51*Calculateur!DY51*VLOOKUP('Données projet'!$B$14,Paramètres!$A$1:$I$89,3,0)*0.475*44/12</f>
        <v>12.325804629317387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16.395472425698678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13.793846153846165</v>
      </c>
      <c r="N52" s="13">
        <f>IF('Données projet'!$A$36&gt;35,N51+M52-V51,IF(A52&lt;'Données projet'!$A$36,$K$205^A52,IF(A52='Données projet'!$A$36,'Données projet'!$B$36,N51+M52-V51)))</f>
        <v>331.64307692307688</v>
      </c>
      <c r="O52" s="13">
        <f>N52*VLOOKUP('Données projet'!$B$9,Paramètres!$A$1:$I$89,3,0)*VLOOKUP('Données projet'!$B$9,Paramètres!$A$1:$I$89,5,0)</f>
        <v>198.32255999999998</v>
      </c>
      <c r="P52" s="13">
        <f t="shared" si="33"/>
        <v>49.375336669033487</v>
      </c>
      <c r="Q52" s="20">
        <f t="shared" si="53"/>
        <v>431.40717003189997</v>
      </c>
      <c r="R52" s="59">
        <f t="shared" si="0"/>
        <v>724.74050336523328</v>
      </c>
      <c r="S52" s="59">
        <f ca="1">AVERAGE(OFFSET($R$3,0,0,'Données projet'!$E$9+1,1))-AVERAGE(OFFSET($H$3,0,0,'Données projet'!$E$9+1,1))</f>
        <v>355.09162485318728</v>
      </c>
      <c r="T52" s="59">
        <f t="shared" si="34"/>
        <v>320.06572891923685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41.419565230775461</v>
      </c>
      <c r="AA52" s="21">
        <f>EXP(-LN(2)/25)*AA51+(1-EXP(-LN(2)/25))/(LN(2)/25)*Calculateur!V52*Calculateur!X52*VLOOKUP('Données projet'!$B$9,Paramètres!$A$1:$I$89,3,0)*0.475*44/12</f>
        <v>13.068424977480479</v>
      </c>
      <c r="AB52" s="21">
        <f>EXP(-LN(2)/2)*AB51+(1-EXP(-LN(2)/2))/(LN(2)/2)*V52*Y52*VLOOKUP('Données projet'!$B$9,Paramètres!$A$1:$I$89,3,0)*0.475*44/12</f>
        <v>2.3616923979984104</v>
      </c>
      <c r="AC52" s="22">
        <f t="shared" si="3"/>
        <v>56.849682606254348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10.407692307692306</v>
      </c>
      <c r="AI52" s="13">
        <f>IF('Données projet'!$A$62&gt;35,AI51+AH52-AQ51,IF(A52&lt;'Données projet'!$A$62,$AF$205^A52,IF(A52='Données projet'!$A$62,'Données projet'!$B$62,AI51+AH52-AQ51)))</f>
        <v>301.02307692307687</v>
      </c>
      <c r="AJ52" s="13">
        <f>AI52*VLOOKUP('Données projet'!$B$10,Paramètres!$A$1:$I$89,3,0)*VLOOKUP('Données projet'!$B$10,Paramètres!$A$1:$I$89,5,0)</f>
        <v>140.87879999999998</v>
      </c>
      <c r="AK52" s="13">
        <f t="shared" si="35"/>
        <v>36.498252857280519</v>
      </c>
      <c r="AL52" s="20">
        <f t="shared" si="4"/>
        <v>308.93170039309683</v>
      </c>
      <c r="AM52" s="59">
        <f t="shared" si="5"/>
        <v>602.26503372643015</v>
      </c>
      <c r="AN52" s="59">
        <f ca="1">AVERAGE(OFFSET($AM$3,0,0,'Données projet'!$E$10+1,1))-AVERAGE(OFFSET($H$3,0,0,'Données projet'!$E$10+1,1))</f>
        <v>246.72166704460847</v>
      </c>
      <c r="AO52" s="59">
        <f t="shared" si="36"/>
        <v>145.54897745089966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>
        <f>BD52*VLOOKUP('Données projet'!$B$11,Paramètres!$A$1:$I$89,3,0)*VLOOKUP('Données projet'!$B$11,Paramètres!$A$1:$I$89,5,0)</f>
        <v>0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88.478637356802039</v>
      </c>
      <c r="BJ52" s="59">
        <f t="shared" si="38"/>
        <v>239.55411297259155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25.41491590690682</v>
      </c>
      <c r="BQ52" s="21">
        <f>EXP(-LN(2)/25)*BQ51+(1-EXP(-LN(2)/25))/(LN(2)/25)*Calculateur!BL52*Calculateur!BN52*VLOOKUP('Données projet'!$B$11,Paramètres!$A$1:$I$89,3,0)*0.475*44/12</f>
        <v>4.3112042281977505</v>
      </c>
      <c r="BR52" s="21">
        <f>EXP(-LN(2)/2)*BR51+(1-EXP(-LN(2)/2))/(LN(2)/2)*BL52*BO52*VLOOKUP('Données projet'!$B$11,Paramètres!$A$1:$I$89,3,0)*0.475*44/12</f>
        <v>5.9378297990064972E-4</v>
      </c>
      <c r="BS52" s="22">
        <f t="shared" si="9"/>
        <v>29.726713918084474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6.4471153846153832</v>
      </c>
      <c r="BY52" s="12">
        <f>IF('Données projet'!$A$114&gt;35,BY51+BX52-CG51,IF(A52&lt;'Données projet'!$A$114,$BV$205^A52,IF(A52='Données projet'!$A$114,'Données projet'!$B$114,BY51+BX52-CG51)))</f>
        <v>117.53044871794876</v>
      </c>
      <c r="BZ52" s="13">
        <f>BY52*VLOOKUP('Données projet'!$B$12,Paramètres!$A$1:$I$89,3,0)*VLOOKUP('Données projet'!$B$12,Paramètres!$A$1:$I$89,5,0)</f>
        <v>106.34155000000003</v>
      </c>
      <c r="CA52" s="13">
        <f t="shared" si="39"/>
        <v>28.467335742852491</v>
      </c>
      <c r="CB52" s="20">
        <f t="shared" si="10"/>
        <v>234.79214266880146</v>
      </c>
      <c r="CC52" s="59">
        <f t="shared" si="11"/>
        <v>528.12547600213475</v>
      </c>
      <c r="CD52" s="59">
        <f ca="1">AVERAGE(OFFSET($CC$3,0,0,'Données projet'!$E$12+1,1))-AVERAGE(OFFSET($H$3,0,0,'Données projet'!$E$12+1,1))</f>
        <v>437.94387006020412</v>
      </c>
      <c r="CE52" s="59">
        <f t="shared" si="40"/>
        <v>213.95083535531376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14.501923076923077</v>
      </c>
      <c r="CT52" s="12">
        <f>IF('Données projet'!$A$140&gt;35,CT51+CS52-DB51,IF(A52&lt;'Données projet'!$A$140,$CQ$205^A52,IF(A52='Données projet'!$A$140,'Données projet'!$B$140,CT51+CS52-DB51)))</f>
        <v>335.41346153846143</v>
      </c>
      <c r="CU52" s="17">
        <f>CT52*VLOOKUP('Données projet'!$B$13,Paramètres!$A$1:$I$89,3,0)*VLOOKUP('Données projet'!$B$13,Paramètres!$A$1:$I$89,5,0)</f>
        <v>161.33387499999995</v>
      </c>
      <c r="CV52" s="13">
        <f t="shared" si="41"/>
        <v>41.143229111115211</v>
      </c>
      <c r="CW52" s="20">
        <f t="shared" si="13"/>
        <v>352.64762299352554</v>
      </c>
      <c r="CX52" s="59">
        <f t="shared" si="14"/>
        <v>645.98095632685886</v>
      </c>
      <c r="CY52" s="59">
        <f ca="1">AVERAGE(OFFSET($CX$3,0,0,'Données projet'!$E$13+1,1))-AVERAGE(OFFSET($H$3,0,0,'Données projet'!$E$13+1,1))</f>
        <v>258.42493116335032</v>
      </c>
      <c r="CZ52" s="59">
        <f t="shared" si="42"/>
        <v>102.46122697336466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7.4</v>
      </c>
      <c r="DO52" s="12">
        <f>IF('Données projet'!$A$166&gt;35,DO51+DN52-DW51,IF(A52&lt;'Données projet'!$A$166,$DL$205^A52,IF(A52='Données projet'!$A$166,'Données projet'!$B$166,DO51+DN52-DW51)))</f>
        <v>201.60000000000005</v>
      </c>
      <c r="DP52" s="17">
        <f>DO52*VLOOKUP('Données projet'!$B$14,Paramètres!$A$1:$I$89,3,0)*VLOOKUP('Données projet'!$B$14,Paramètres!$A$1:$I$89,5,0)</f>
        <v>176.11776000000006</v>
      </c>
      <c r="DQ52" s="13">
        <f t="shared" si="43"/>
        <v>44.457366290237246</v>
      </c>
      <c r="DR52" s="20">
        <f t="shared" si="16"/>
        <v>384.16834495549665</v>
      </c>
      <c r="DS52" s="59">
        <f t="shared" si="17"/>
        <v>677.50167828882991</v>
      </c>
      <c r="DT52" s="59">
        <f ca="1">AVERAGE(OFFSET($DS$3,0,0,'Données projet'!$E$14+1,1))-AVERAGE(OFFSET($H$3,0,0,'Données projet'!$E$14+1,1))</f>
        <v>354.24684313982857</v>
      </c>
      <c r="DU52" s="59">
        <f t="shared" si="44"/>
        <v>322.65043486962185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3.9898640931465073</v>
      </c>
      <c r="EB52" s="21">
        <f>EXP(-LN(2)/25)*EB51+(1-EXP(-LN(2)/25))/(LN(2)/25)*Calculateur!DW52*Calculateur!DY52*VLOOKUP('Données projet'!$B$14,Paramètres!$A$1:$I$89,3,0)*0.475*44/12</f>
        <v>11.988754853542808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15.978618946689316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13.793846153846165</v>
      </c>
      <c r="N53" s="13">
        <f>IF('Données projet'!$A$36&gt;35,N52+M53-V52,IF(A53&lt;'Données projet'!$A$36,$K$205^A53,IF(A53='Données projet'!$A$36,'Données projet'!$B$36,N52+M53-V52)))</f>
        <v>345.43692307692305</v>
      </c>
      <c r="O53" s="13">
        <f>N53*VLOOKUP('Données projet'!$B$9,Paramètres!$A$1:$I$89,3,0)*VLOOKUP('Données projet'!$B$9,Paramètres!$A$1:$I$89,5,0)</f>
        <v>206.57128</v>
      </c>
      <c r="P53" s="13">
        <f t="shared" si="33"/>
        <v>51.185607766999659</v>
      </c>
      <c r="Q53" s="20">
        <f t="shared" si="53"/>
        <v>448.92657952752438</v>
      </c>
      <c r="R53" s="59">
        <f t="shared" si="0"/>
        <v>742.25991286085764</v>
      </c>
      <c r="S53" s="59">
        <f ca="1">AVERAGE(OFFSET($R$3,0,0,'Données projet'!$E$9+1,1))-AVERAGE(OFFSET($H$3,0,0,'Données projet'!$E$9+1,1))</f>
        <v>355.09162485318728</v>
      </c>
      <c r="T53" s="59">
        <f t="shared" si="34"/>
        <v>320.06572891923685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40.607352820040191</v>
      </c>
      <c r="AA53" s="21">
        <f>EXP(-LN(2)/25)*AA52+(1-EXP(-LN(2)/25))/(LN(2)/25)*Calculateur!V53*Calculateur!X53*VLOOKUP('Données projet'!$B$9,Paramètres!$A$1:$I$89,3,0)*0.475*44/12</f>
        <v>12.711068209232675</v>
      </c>
      <c r="AB53" s="21">
        <f>EXP(-LN(2)/2)*AB52+(1-EXP(-LN(2)/2))/(LN(2)/2)*V53*Y53*VLOOKUP('Données projet'!$B$9,Paramètres!$A$1:$I$89,3,0)*0.475*44/12</f>
        <v>1.6699687097013949</v>
      </c>
      <c r="AC53" s="22">
        <f t="shared" si="3"/>
        <v>54.988389738974263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10.407692307692306</v>
      </c>
      <c r="AI53" s="13">
        <f>IF('Données projet'!$A$62&gt;35,AI52+AH53-AQ52,IF(A53&lt;'Données projet'!$A$62,$AF$205^A53,IF(A53='Données projet'!$A$62,'Données projet'!$B$62,AI52+AH53-AQ52)))</f>
        <v>311.43076923076916</v>
      </c>
      <c r="AJ53" s="13">
        <f>AI53*VLOOKUP('Données projet'!$B$10,Paramètres!$A$1:$I$89,3,0)*VLOOKUP('Données projet'!$B$10,Paramètres!$A$1:$I$89,5,0)</f>
        <v>145.74959999999999</v>
      </c>
      <c r="AK53" s="13">
        <f t="shared" si="35"/>
        <v>37.611056965444213</v>
      </c>
      <c r="AL53" s="20">
        <f t="shared" si="4"/>
        <v>319.3531442148153</v>
      </c>
      <c r="AM53" s="59">
        <f t="shared" si="5"/>
        <v>612.68647754814856</v>
      </c>
      <c r="AN53" s="59">
        <f ca="1">AVERAGE(OFFSET($AM$3,0,0,'Données projet'!$E$10+1,1))-AVERAGE(OFFSET($H$3,0,0,'Données projet'!$E$10+1,1))</f>
        <v>246.72166704460847</v>
      </c>
      <c r="AO53" s="59">
        <f t="shared" si="36"/>
        <v>145.54897745089966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>
        <f>BD53*VLOOKUP('Données projet'!$B$11,Paramètres!$A$1:$I$89,3,0)*VLOOKUP('Données projet'!$B$11,Paramètres!$A$1:$I$89,5,0)</f>
        <v>0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88.478637356802039</v>
      </c>
      <c r="BJ53" s="59">
        <f t="shared" si="38"/>
        <v>239.55411297259155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24.916544907540427</v>
      </c>
      <c r="BQ53" s="21">
        <f>EXP(-LN(2)/25)*BQ52+(1-EXP(-LN(2)/25))/(LN(2)/25)*Calculateur!BL53*Calculateur!BN53*VLOOKUP('Données projet'!$B$11,Paramètres!$A$1:$I$89,3,0)*0.475*44/12</f>
        <v>4.1933141218613059</v>
      </c>
      <c r="BR53" s="21">
        <f>EXP(-LN(2)/2)*BR52+(1-EXP(-LN(2)/2))/(LN(2)/2)*BL53*BO53*VLOOKUP('Données projet'!$B$11,Paramètres!$A$1:$I$89,3,0)*0.475*44/12</f>
        <v>4.1986797164090487E-4</v>
      </c>
      <c r="BS53" s="22">
        <f t="shared" si="9"/>
        <v>29.110278897373373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6.4471153846153832</v>
      </c>
      <c r="BY53" s="12">
        <f>IF('Données projet'!$A$114&gt;35,BY52+BX53-CG52,IF(A53&lt;'Données projet'!$A$114,$BV$205^A53,IF(A53='Données projet'!$A$114,'Données projet'!$B$114,BY52+BX53-CG52)))</f>
        <v>123.97756410256414</v>
      </c>
      <c r="BZ53" s="13">
        <f>BY53*VLOOKUP('Données projet'!$B$12,Paramètres!$A$1:$I$89,3,0)*VLOOKUP('Données projet'!$B$12,Paramètres!$A$1:$I$89,5,0)</f>
        <v>112.17490000000004</v>
      </c>
      <c r="CA53" s="13">
        <f t="shared" si="39"/>
        <v>29.842822614093162</v>
      </c>
      <c r="CB53" s="20">
        <f t="shared" si="10"/>
        <v>247.34753355287896</v>
      </c>
      <c r="CC53" s="59">
        <f t="shared" si="11"/>
        <v>540.68086688621224</v>
      </c>
      <c r="CD53" s="59">
        <f ca="1">AVERAGE(OFFSET($CC$3,0,0,'Données projet'!$E$12+1,1))-AVERAGE(OFFSET($H$3,0,0,'Données projet'!$E$12+1,1))</f>
        <v>437.94387006020412</v>
      </c>
      <c r="CE53" s="59">
        <f t="shared" si="40"/>
        <v>213.95083535531376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349.9153846153846</v>
      </c>
      <c r="CR53" s="12">
        <f>VLOOKUP(A53,'Données projet'!$A$139:$I$159,9,0)</f>
        <v>14.501923076923077</v>
      </c>
      <c r="CS53" s="12">
        <f t="array" ref="CS53">INDEX(CR:CR,MIN(IF(ISNUMBER(CR53:CR249),ROW(CR53:CR249),"")))</f>
        <v>14.501923076923077</v>
      </c>
      <c r="CT53" s="12">
        <f>IF('Données projet'!$A$140&gt;35,CT52+CS53-DB52,IF(A53&lt;'Données projet'!$A$140,$CQ$205^A53,IF(A53='Données projet'!$A$140,'Données projet'!$B$140,CT52+CS53-DB52)))</f>
        <v>349.91538461538448</v>
      </c>
      <c r="CU53" s="17">
        <f>CT53*VLOOKUP('Données projet'!$B$13,Paramètres!$A$1:$I$89,3,0)*VLOOKUP('Données projet'!$B$13,Paramètres!$A$1:$I$89,5,0)</f>
        <v>168.30929999999995</v>
      </c>
      <c r="CV53" s="13">
        <f t="shared" si="41"/>
        <v>42.711143037252128</v>
      </c>
      <c r="CW53" s="20">
        <f t="shared" si="13"/>
        <v>367.52727162321406</v>
      </c>
      <c r="CX53" s="59">
        <f t="shared" si="14"/>
        <v>660.86060495654738</v>
      </c>
      <c r="CY53" s="59">
        <f ca="1">AVERAGE(OFFSET($CX$3,0,0,'Données projet'!$E$13+1,1))-AVERAGE(OFFSET($H$3,0,0,'Données projet'!$E$13+1,1))</f>
        <v>258.42493116335032</v>
      </c>
      <c r="CZ53" s="59">
        <f t="shared" si="42"/>
        <v>102.46122697336466</v>
      </c>
      <c r="DA53" s="15">
        <f>IF(ISNA(VLOOKUP(A53,'Données projet'!$A$139:$I$159,3,0)),0,VLOOKUP(A53,'Données projet'!$A$139:$I$159,3,0))</f>
        <v>1</v>
      </c>
      <c r="DB53" s="15">
        <f>IF(ISNA(VLOOKUP(A53,'Données projet'!$A$139:$I$159,4,0)),0,VLOOKUP(A53,'Données projet'!$A$139:$I$159,4,0))</f>
        <v>104.55384615384614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0.30800000000000005</v>
      </c>
      <c r="DE53" s="16">
        <f>IF(ISNA(VLOOKUP(A53,'Données projet'!$A$139:$I$159,7,0)),0%,VLOOKUP(A53,'Données projet'!$A$139:$I$159,7,0))</f>
        <v>0.44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20.466840483151813</v>
      </c>
      <c r="DH53" s="21">
        <f>EXP(-LN(2)/2)*DH52+(1-EXP(-LN(2)/2))/(LN(2)/2)*DB53*DE53*VLOOKUP('Données projet'!$B$13,Paramètres!$A$1:$I$89,3,0)*0.475*44/12</f>
        <v>25.053782659630983</v>
      </c>
      <c r="DI53" s="22">
        <f t="shared" si="15"/>
        <v>45.520623142782796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209</v>
      </c>
      <c r="DM53" s="12">
        <f>VLOOKUP(A53,'Données projet'!$A$165:$I$185,9,0)</f>
        <v>7.4</v>
      </c>
      <c r="DN53" s="12">
        <f t="array" ref="DN53">INDEX(DM:DM,MIN(IF(ISNUMBER(DM53:DM249),ROW(DM53:DM249),"")))</f>
        <v>7.4</v>
      </c>
      <c r="DO53" s="12">
        <f>IF('Données projet'!$A$166&gt;35,DO52+DN53-DW52,IF(A53&lt;'Données projet'!$A$166,$DL$205^A53,IF(A53='Données projet'!$A$166,'Données projet'!$B$166,DO52+DN53-DW52)))</f>
        <v>209.00000000000006</v>
      </c>
      <c r="DP53" s="17">
        <f>DO53*VLOOKUP('Données projet'!$B$14,Paramètres!$A$1:$I$89,3,0)*VLOOKUP('Données projet'!$B$14,Paramètres!$A$1:$I$89,5,0)</f>
        <v>182.58240000000009</v>
      </c>
      <c r="DQ53" s="13">
        <f t="shared" si="43"/>
        <v>45.896245406460288</v>
      </c>
      <c r="DR53" s="20">
        <f t="shared" si="16"/>
        <v>397.93364074958509</v>
      </c>
      <c r="DS53" s="59">
        <f t="shared" si="17"/>
        <v>691.26697408291841</v>
      </c>
      <c r="DT53" s="59">
        <f ca="1">AVERAGE(OFFSET($DS$3,0,0,'Données projet'!$E$14+1,1))-AVERAGE(OFFSET($H$3,0,0,'Données projet'!$E$14+1,1))</f>
        <v>354.24684313982857</v>
      </c>
      <c r="DU53" s="59">
        <f t="shared" si="44"/>
        <v>322.65043486962185</v>
      </c>
      <c r="DV53" s="15">
        <f>IF(ISNA(VLOOKUP(A53,'Données projet'!$A$165:$I$185,3,0)),0,VLOOKUP(A53,'Données projet'!$A$165:$I$185,3,0))</f>
        <v>7</v>
      </c>
      <c r="DW53" s="15" t="str">
        <f>IF(ISNA(VLOOKUP(A53,'Données projet'!$A$165:$I$185,4,0)),0,VLOOKUP(A53,'Données projet'!$A$165:$I$185,4,0))</f>
        <v>24</v>
      </c>
      <c r="DX53" s="16">
        <f>IF(ISNA(VLOOKUP(A53,'Données projet'!$A$165:$I$185,5,0)),0%,VLOOKUP(A53,'Données projet'!$A$165:$I$185,5,0)*VLOOKUP('Données projet'!$B$14,Paramètres!$A$1:$I$89,7,0))</f>
        <v>0.17200000000000001</v>
      </c>
      <c r="DY53" s="16">
        <f>IF(ISNA(VLOOKUP(A53,'Données projet'!$A$165:$I$185,6,0)),0%,VLOOKUP(A53,'Données projet'!$A$165:$I$185,6,0)*VLOOKUP('Données projet'!$B$14,Paramètres!$A$1:$I$89,7,0))</f>
        <v>0.17200000000000001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7.8981955683123255</v>
      </c>
      <c r="EB53" s="21">
        <f>EXP(-LN(2)/25)*EB52+(1-EXP(-LN(2)/25))/(LN(2)/25)*Calculateur!DW53*Calculateur!DY53*VLOOKUP('Données projet'!$B$14,Paramètres!$A$1:$I$89,3,0)*0.475*44/12</f>
        <v>15.631795351886314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23.529990920198639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13.793846153846165</v>
      </c>
      <c r="N54" s="13">
        <f>IF('Données projet'!$A$36&gt;35,N53+M54-V53,IF(A54&lt;'Données projet'!$A$36,$K$205^A54,IF(A54='Données projet'!$A$36,'Données projet'!$B$36,N53+M54-V53)))</f>
        <v>359.23076923076923</v>
      </c>
      <c r="O54" s="13">
        <f>N54*VLOOKUP('Données projet'!$B$9,Paramètres!$A$1:$I$89,3,0)*VLOOKUP('Données projet'!$B$9,Paramètres!$A$1:$I$89,5,0)</f>
        <v>214.82</v>
      </c>
      <c r="P54" s="13">
        <f t="shared" si="33"/>
        <v>52.987481825087599</v>
      </c>
      <c r="Q54" s="20">
        <f t="shared" si="53"/>
        <v>466.43136417869431</v>
      </c>
      <c r="R54" s="59">
        <f t="shared" si="0"/>
        <v>759.76469751202762</v>
      </c>
      <c r="S54" s="59">
        <f ca="1">AVERAGE(OFFSET($R$3,0,0,'Données projet'!$E$9+1,1))-AVERAGE(OFFSET($H$3,0,0,'Données projet'!$E$9+1,1))</f>
        <v>355.09162485318728</v>
      </c>
      <c r="T54" s="59">
        <f t="shared" si="34"/>
        <v>320.06572891923685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39.811067399278784</v>
      </c>
      <c r="AA54" s="21">
        <f>EXP(-LN(2)/25)*AA53+(1-EXP(-LN(2)/25))/(LN(2)/25)*Calculateur!V54*Calculateur!X54*VLOOKUP('Données projet'!$B$9,Paramètres!$A$1:$I$89,3,0)*0.475*44/12</f>
        <v>12.363483380605182</v>
      </c>
      <c r="AB54" s="21">
        <f>EXP(-LN(2)/2)*AB53+(1-EXP(-LN(2)/2))/(LN(2)/2)*V54*Y54*VLOOKUP('Données projet'!$B$9,Paramètres!$A$1:$I$89,3,0)*0.475*44/12</f>
        <v>1.1808461989992054</v>
      </c>
      <c r="AC54" s="22">
        <f t="shared" si="3"/>
        <v>53.355396978883171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>
        <f>VLOOKUP(A54,'Données projet'!$A$61:$I$81,2,0)</f>
        <v>321.8384615384615</v>
      </c>
      <c r="AG54" s="12">
        <f>VLOOKUP(A54,'Données projet'!$A$61:$I$81,9,0)</f>
        <v>10.407692307692306</v>
      </c>
      <c r="AH54" s="12">
        <f t="array" ref="AH54">INDEX(AG:AG,MIN(IF(ISNUMBER(AG54:AG250),ROW(AG54:AG250),"")))</f>
        <v>10.407692307692306</v>
      </c>
      <c r="AI54" s="13">
        <f>IF('Données projet'!$A$62&gt;35,AI53+AH54-AQ53,IF(A54&lt;'Données projet'!$A$62,$AF$205^A54,IF(A54='Données projet'!$A$62,'Données projet'!$B$62,AI53+AH54-AQ53)))</f>
        <v>321.83846153846144</v>
      </c>
      <c r="AJ54" s="13">
        <f>AI54*VLOOKUP('Données projet'!$B$10,Paramètres!$A$1:$I$89,3,0)*VLOOKUP('Données projet'!$B$10,Paramètres!$A$1:$I$89,5,0)</f>
        <v>150.62039999999996</v>
      </c>
      <c r="AK54" s="13">
        <f t="shared" si="35"/>
        <v>38.719539861211025</v>
      </c>
      <c r="AL54" s="20">
        <f t="shared" si="4"/>
        <v>329.76706192494242</v>
      </c>
      <c r="AM54" s="59">
        <f t="shared" si="5"/>
        <v>623.10039525827574</v>
      </c>
      <c r="AN54" s="59">
        <f ca="1">AVERAGE(OFFSET($AM$3,0,0,'Données projet'!$E$10+1,1))-AVERAGE(OFFSET($H$3,0,0,'Données projet'!$E$10+1,1))</f>
        <v>246.72166704460847</v>
      </c>
      <c r="AO54" s="59">
        <f t="shared" si="36"/>
        <v>145.54897745089966</v>
      </c>
      <c r="AP54" s="15">
        <f>IF(ISNA(VLOOKUP(A54,'Données projet'!$A$61:$I$81,3,0)),0,VLOOKUP(A54,'Données projet'!$A$61:$I$81,3,0))</f>
        <v>1</v>
      </c>
      <c r="AQ54" s="15">
        <f>IF(ISNA(VLOOKUP(A54,'Données projet'!$A$61:$I$81,4,0)),0,VLOOKUP(A54,'Données projet'!$A$61:$I$81,4,0))</f>
        <v>100.30769230769231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0.30800000000000005</v>
      </c>
      <c r="AT54" s="16">
        <f>IF(ISNA(VLOOKUP(A54,'Données projet'!$A$61:$I$81,7,0)),0%,VLOOKUP(A54,'Données projet'!$A$61:$I$81,7,0))</f>
        <v>0.44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19.104945668379624</v>
      </c>
      <c r="AW54" s="21">
        <f>EXP(-LN(2)/2)*AW53+(1-EXP(-LN(2)/2))/(LN(2)/2)*AQ54*AT54*VLOOKUP('Données projet'!$B$10,Paramètres!$A$1:$I$89,3,0)*0.475*44/12</f>
        <v>23.386665709036262</v>
      </c>
      <c r="AX54" s="21">
        <f t="shared" si="6"/>
        <v>42.491611377415886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>
        <f>BD54*VLOOKUP('Données projet'!$B$11,Paramètres!$A$1:$I$89,3,0)*VLOOKUP('Données projet'!$B$11,Paramètres!$A$1:$I$89,5,0)</f>
        <v>0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88.478637356802039</v>
      </c>
      <c r="BJ54" s="59">
        <f t="shared" si="38"/>
        <v>239.55411297259155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24.427946659495316</v>
      </c>
      <c r="BQ54" s="21">
        <f>EXP(-LN(2)/25)*BQ53+(1-EXP(-LN(2)/25))/(LN(2)/25)*Calculateur!BL54*Calculateur!BN54*VLOOKUP('Données projet'!$B$11,Paramètres!$A$1:$I$89,3,0)*0.475*44/12</f>
        <v>4.0786477266822025</v>
      </c>
      <c r="BR54" s="21">
        <f>EXP(-LN(2)/2)*BR53+(1-EXP(-LN(2)/2))/(LN(2)/2)*BL54*BO54*VLOOKUP('Données projet'!$B$11,Paramètres!$A$1:$I$89,3,0)*0.475*44/12</f>
        <v>2.9689148995032486E-4</v>
      </c>
      <c r="BS54" s="22">
        <f t="shared" si="9"/>
        <v>28.506891277667467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6.4471153846153832</v>
      </c>
      <c r="BY54" s="12">
        <f>IF('Données projet'!$A$114&gt;35,BY53+BX54-CG53,IF(A54&lt;'Données projet'!$A$114,$BV$205^A54,IF(A54='Données projet'!$A$114,'Données projet'!$B$114,BY53+BX54-CG53)))</f>
        <v>130.42467948717953</v>
      </c>
      <c r="BZ54" s="13">
        <f>BY54*VLOOKUP('Données projet'!$B$12,Paramètres!$A$1:$I$89,3,0)*VLOOKUP('Données projet'!$B$12,Paramètres!$A$1:$I$89,5,0)</f>
        <v>118.00825000000003</v>
      </c>
      <c r="CA54" s="13">
        <f t="shared" si="39"/>
        <v>31.210004770584227</v>
      </c>
      <c r="CB54" s="20">
        <f t="shared" si="10"/>
        <v>259.88846039210085</v>
      </c>
      <c r="CC54" s="59">
        <f t="shared" si="11"/>
        <v>553.22179372543417</v>
      </c>
      <c r="CD54" s="59">
        <f ca="1">AVERAGE(OFFSET($CC$3,0,0,'Données projet'!$E$12+1,1))-AVERAGE(OFFSET($H$3,0,0,'Données projet'!$E$12+1,1))</f>
        <v>437.94387006020412</v>
      </c>
      <c r="CE54" s="59">
        <f t="shared" si="40"/>
        <v>213.95083535531376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15.727692307692312</v>
      </c>
      <c r="CT54" s="12">
        <f>IF('Données projet'!$A$140&gt;35,CT53+CS54-DB53,IF(A54&lt;'Données projet'!$A$140,$CQ$205^A54,IF(A54='Données projet'!$A$140,'Données projet'!$B$140,CT53+CS54-DB53)))</f>
        <v>261.08923076923065</v>
      </c>
      <c r="CU54" s="17">
        <f>CT54*VLOOKUP('Données projet'!$B$13,Paramètres!$A$1:$I$89,3,0)*VLOOKUP('Données projet'!$B$13,Paramètres!$A$1:$I$89,5,0)</f>
        <v>125.58391999999995</v>
      </c>
      <c r="CV54" s="13">
        <f t="shared" si="41"/>
        <v>32.973889503371019</v>
      </c>
      <c r="CW54" s="20">
        <f t="shared" si="13"/>
        <v>276.15485155170444</v>
      </c>
      <c r="CX54" s="59">
        <f t="shared" si="14"/>
        <v>569.48818488503775</v>
      </c>
      <c r="CY54" s="59">
        <f ca="1">AVERAGE(OFFSET($CX$3,0,0,'Données projet'!$E$13+1,1))-AVERAGE(OFFSET($H$3,0,0,'Données projet'!$E$13+1,1))</f>
        <v>258.42493116335032</v>
      </c>
      <c r="CZ54" s="59">
        <f t="shared" si="42"/>
        <v>102.46122697336466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19.907173653835663</v>
      </c>
      <c r="DH54" s="21">
        <f>EXP(-LN(2)/2)*DH53+(1-EXP(-LN(2)/2))/(LN(2)/2)*DB54*DE54*VLOOKUP('Données projet'!$B$13,Paramètres!$A$1:$I$89,3,0)*0.475*44/12</f>
        <v>17.715699612999003</v>
      </c>
      <c r="DI54" s="22">
        <f t="shared" si="15"/>
        <v>37.622873266834667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6.6</v>
      </c>
      <c r="DO54" s="12">
        <f>IF('Données projet'!$A$166&gt;35,DO53+DN54-DW53,IF(A54&lt;'Données projet'!$A$166,$DL$205^A54,IF(A54='Données projet'!$A$166,'Données projet'!$B$166,DO53+DN54-DW53)))</f>
        <v>191.60000000000005</v>
      </c>
      <c r="DP54" s="17">
        <f>DO54*VLOOKUP('Données projet'!$B$14,Paramètres!$A$1:$I$89,3,0)*VLOOKUP('Données projet'!$B$14,Paramètres!$A$1:$I$89,5,0)</f>
        <v>167.38176000000007</v>
      </c>
      <c r="DQ54" s="13">
        <f t="shared" si="43"/>
        <v>42.503096259839239</v>
      </c>
      <c r="DR54" s="20">
        <f t="shared" si="16"/>
        <v>365.5494579858867</v>
      </c>
      <c r="DS54" s="59">
        <f t="shared" si="17"/>
        <v>658.88279131922002</v>
      </c>
      <c r="DT54" s="59">
        <f ca="1">AVERAGE(OFFSET($DS$3,0,0,'Données projet'!$E$14+1,1))-AVERAGE(OFFSET($H$3,0,0,'Données projet'!$E$14+1,1))</f>
        <v>354.24684313982857</v>
      </c>
      <c r="DU54" s="59">
        <f t="shared" si="44"/>
        <v>322.65043486962185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7.7433167706413366</v>
      </c>
      <c r="EB54" s="21">
        <f>EXP(-LN(2)/25)*EB53+(1-EXP(-LN(2)/25))/(LN(2)/25)*Calculateur!DW54*Calculateur!DY54*VLOOKUP('Données projet'!$B$14,Paramètres!$A$1:$I$89,3,0)*0.475*44/12</f>
        <v>15.204343085948592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22.947659856589929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13.793846153846165</v>
      </c>
      <c r="N55" s="13">
        <f>IF('Données projet'!$A$36&gt;35,N54+M55-V54,IF(A55&lt;'Données projet'!$A$36,$K$205^A55,IF(A55='Données projet'!$A$36,'Données projet'!$B$36,N54+M55-V54)))</f>
        <v>373.0246153846154</v>
      </c>
      <c r="O55" s="13">
        <f>N55*VLOOKUP('Données projet'!$B$9,Paramètres!$A$1:$I$89,3,0)*VLOOKUP('Données projet'!$B$9,Paramètres!$A$1:$I$89,5,0)</f>
        <v>223.06872000000001</v>
      </c>
      <c r="P55" s="13">
        <f t="shared" si="33"/>
        <v>54.78131818288734</v>
      </c>
      <c r="Q55" s="20">
        <f t="shared" si="53"/>
        <v>483.92214983519551</v>
      </c>
      <c r="R55" s="59">
        <f t="shared" si="0"/>
        <v>777.25548316852883</v>
      </c>
      <c r="S55" s="59">
        <f ca="1">AVERAGE(OFFSET($R$3,0,0,'Données projet'!$E$9+1,1))-AVERAGE(OFFSET($H$3,0,0,'Données projet'!$E$9+1,1))</f>
        <v>355.09162485318728</v>
      </c>
      <c r="T55" s="59">
        <f t="shared" si="34"/>
        <v>320.06572891923685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39.030396649932356</v>
      </c>
      <c r="AA55" s="21">
        <f>EXP(-LN(2)/25)*AA54+(1-EXP(-LN(2)/25))/(LN(2)/25)*Calculateur!V55*Calculateur!X55*VLOOKUP('Données projet'!$B$9,Paramètres!$A$1:$I$89,3,0)*0.475*44/12</f>
        <v>12.025403277395199</v>
      </c>
      <c r="AB55" s="21">
        <f>EXP(-LN(2)/2)*AB54+(1-EXP(-LN(2)/2))/(LN(2)/2)*V55*Y55*VLOOKUP('Données projet'!$B$9,Paramètres!$A$1:$I$89,3,0)*0.475*44/12</f>
        <v>0.83498435485069755</v>
      </c>
      <c r="AC55" s="22">
        <f t="shared" si="3"/>
        <v>51.890784282178252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10.763461538461542</v>
      </c>
      <c r="AI55" s="13">
        <f>IF('Données projet'!$A$62&gt;35,AI54+AH55-AQ54,IF(A55&lt;'Données projet'!$A$62,$AF$205^A55,IF(A55='Données projet'!$A$62,'Données projet'!$B$62,AI54+AH55-AQ54)))</f>
        <v>232.29423076923064</v>
      </c>
      <c r="AJ55" s="13">
        <f>AI55*VLOOKUP('Données projet'!$B$10,Paramètres!$A$1:$I$89,3,0)*VLOOKUP('Données projet'!$B$10,Paramètres!$A$1:$I$89,5,0)</f>
        <v>108.71369999999995</v>
      </c>
      <c r="AK55" s="13">
        <f t="shared" si="35"/>
        <v>29.027715101649999</v>
      </c>
      <c r="AL55" s="20">
        <f t="shared" si="4"/>
        <v>239.89963130204032</v>
      </c>
      <c r="AM55" s="59">
        <f t="shared" si="5"/>
        <v>533.23296463537361</v>
      </c>
      <c r="AN55" s="59">
        <f ca="1">AVERAGE(OFFSET($AM$3,0,0,'Données projet'!$E$10+1,1))-AVERAGE(OFFSET($H$3,0,0,'Données projet'!$E$10+1,1))</f>
        <v>246.72166704460847</v>
      </c>
      <c r="AO55" s="59">
        <f t="shared" si="36"/>
        <v>145.54897745089966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18.582519924392354</v>
      </c>
      <c r="AW55" s="21">
        <f>EXP(-LN(2)/2)*AW54+(1-EXP(-LN(2)/2))/(LN(2)/2)*AQ55*AT55*VLOOKUP('Données projet'!$B$10,Paramètres!$A$1:$I$89,3,0)*0.475*44/12</f>
        <v>16.536869912202441</v>
      </c>
      <c r="AX55" s="21">
        <f t="shared" si="6"/>
        <v>35.119389836594792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>
        <f>BD55*VLOOKUP('Données projet'!$B$11,Paramètres!$A$1:$I$89,3,0)*VLOOKUP('Données projet'!$B$11,Paramètres!$A$1:$I$89,5,0)</f>
        <v>0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88.478637356802039</v>
      </c>
      <c r="BJ55" s="59">
        <f t="shared" si="38"/>
        <v>239.55411297259155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23.948929525078864</v>
      </c>
      <c r="BQ55" s="21">
        <f>EXP(-LN(2)/25)*BQ54+(1-EXP(-LN(2)/25))/(LN(2)/25)*Calculateur!BL55*Calculateur!BN55*VLOOKUP('Données projet'!$B$11,Paramètres!$A$1:$I$89,3,0)*0.475*44/12</f>
        <v>3.9671168901093155</v>
      </c>
      <c r="BR55" s="21">
        <f>EXP(-LN(2)/2)*BR54+(1-EXP(-LN(2)/2))/(LN(2)/2)*BL55*BO55*VLOOKUP('Données projet'!$B$11,Paramètres!$A$1:$I$89,3,0)*0.475*44/12</f>
        <v>2.0993398582045244E-4</v>
      </c>
      <c r="BS55" s="22">
        <f t="shared" si="9"/>
        <v>27.916256349174002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>
        <f>VLOOKUP(A55,'Données projet'!$A$113:$I$133,2,0)</f>
        <v>136.87179487179486</v>
      </c>
      <c r="BW55" s="12">
        <f>VLOOKUP(A55,'Données projet'!$A$113:$I$133,9,0)</f>
        <v>6.4471153846153832</v>
      </c>
      <c r="BX55" s="12">
        <f t="array" ref="BX55">INDEX(BW:BW,MIN(IF(ISNUMBER(BW55:BW251),ROW(BW55:BW251),"")))</f>
        <v>6.4471153846153832</v>
      </c>
      <c r="BY55" s="12">
        <f>IF('Données projet'!$A$114&gt;35,BY54+BX55-CG54,IF(A55&lt;'Données projet'!$A$114,$BV$205^A55,IF(A55='Données projet'!$A$114,'Données projet'!$B$114,BY54+BX55-CG54)))</f>
        <v>136.87179487179492</v>
      </c>
      <c r="BZ55" s="13">
        <f>BY55*VLOOKUP('Données projet'!$B$12,Paramètres!$A$1:$I$89,3,0)*VLOOKUP('Données projet'!$B$12,Paramètres!$A$1:$I$89,5,0)</f>
        <v>123.84160000000004</v>
      </c>
      <c r="CA55" s="13">
        <f t="shared" si="39"/>
        <v>32.569339578117855</v>
      </c>
      <c r="CB55" s="20">
        <f t="shared" si="10"/>
        <v>272.41571976522204</v>
      </c>
      <c r="CC55" s="59">
        <f t="shared" si="11"/>
        <v>565.74905309855535</v>
      </c>
      <c r="CD55" s="59">
        <f ca="1">AVERAGE(OFFSET($CC$3,0,0,'Données projet'!$E$12+1,1))-AVERAGE(OFFSET($H$3,0,0,'Données projet'!$E$12+1,1))</f>
        <v>437.94387006020412</v>
      </c>
      <c r="CE55" s="59">
        <f t="shared" si="40"/>
        <v>213.95083535531376</v>
      </c>
      <c r="CF55" s="15">
        <f>IF(ISNA(VLOOKUP(A55,'Données projet'!$A$113:$I$133,3,0)),0,VLOOKUP(A55,'Données projet'!$A$113:$I$133,3,0))</f>
        <v>3</v>
      </c>
      <c r="CG55" s="15">
        <f>IF(ISNA(VLOOKUP(A55,'Données projet'!$A$113:$I$133,4,0)),0,VLOOKUP(A55,'Données projet'!$A$113:$I$133,4,0))</f>
        <v>29.512820512820511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15.727692307692312</v>
      </c>
      <c r="CT55" s="12">
        <f>IF('Données projet'!$A$140&gt;35,CT54+CS55-DB54,IF(A55&lt;'Données projet'!$A$140,$CQ$205^A55,IF(A55='Données projet'!$A$140,'Données projet'!$B$140,CT54+CS55-DB54)))</f>
        <v>276.81692307692299</v>
      </c>
      <c r="CU55" s="17">
        <f>CT55*VLOOKUP('Données projet'!$B$13,Paramètres!$A$1:$I$89,3,0)*VLOOKUP('Données projet'!$B$13,Paramètres!$A$1:$I$89,5,0)</f>
        <v>133.14893999999995</v>
      </c>
      <c r="CV55" s="13">
        <f t="shared" si="41"/>
        <v>34.722970263352579</v>
      </c>
      <c r="CW55" s="20">
        <f t="shared" si="13"/>
        <v>292.37691037533898</v>
      </c>
      <c r="CX55" s="59">
        <f t="shared" si="14"/>
        <v>585.71024370867235</v>
      </c>
      <c r="CY55" s="59">
        <f ca="1">AVERAGE(OFFSET($CX$3,0,0,'Données projet'!$E$13+1,1))-AVERAGE(OFFSET($H$3,0,0,'Données projet'!$E$13+1,1))</f>
        <v>258.42493116335032</v>
      </c>
      <c r="CZ55" s="59">
        <f t="shared" si="42"/>
        <v>102.46122697336466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19.362810943398763</v>
      </c>
      <c r="DH55" s="21">
        <f>EXP(-LN(2)/2)*DH54+(1-EXP(-LN(2)/2))/(LN(2)/2)*DB55*DE55*VLOOKUP('Données projet'!$B$13,Paramètres!$A$1:$I$89,3,0)*0.475*44/12</f>
        <v>12.526891329815491</v>
      </c>
      <c r="DI55" s="22">
        <f t="shared" si="15"/>
        <v>31.889702273214255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6.6</v>
      </c>
      <c r="DO55" s="12">
        <f>IF('Données projet'!$A$166&gt;35,DO54+DN55-DW54,IF(A55&lt;'Données projet'!$A$166,$DL$205^A55,IF(A55='Données projet'!$A$166,'Données projet'!$B$166,DO54+DN55-DW54)))</f>
        <v>198.20000000000005</v>
      </c>
      <c r="DP55" s="17">
        <f>DO55*VLOOKUP('Données projet'!$B$14,Paramètres!$A$1:$I$89,3,0)*VLOOKUP('Données projet'!$B$14,Paramètres!$A$1:$I$89,5,0)</f>
        <v>173.14752000000007</v>
      </c>
      <c r="DQ55" s="13">
        <f t="shared" si="43"/>
        <v>43.794208927254068</v>
      </c>
      <c r="DR55" s="20">
        <f t="shared" si="16"/>
        <v>377.84017788163425</v>
      </c>
      <c r="DS55" s="59">
        <f t="shared" si="17"/>
        <v>671.17351121496756</v>
      </c>
      <c r="DT55" s="59">
        <f ca="1">AVERAGE(OFFSET($DS$3,0,0,'Données projet'!$E$14+1,1))-AVERAGE(OFFSET($H$3,0,0,'Données projet'!$E$14+1,1))</f>
        <v>354.24684313982857</v>
      </c>
      <c r="DU55" s="59">
        <f t="shared" si="44"/>
        <v>322.65043486962185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7.5914750517259364</v>
      </c>
      <c r="EB55" s="21">
        <f>EXP(-LN(2)/25)*EB54+(1-EXP(-LN(2)/25))/(LN(2)/25)*Calculateur!DW55*Calculateur!DY55*VLOOKUP('Données projet'!$B$14,Paramètres!$A$1:$I$89,3,0)*0.475*44/12</f>
        <v>14.788579524701674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22.380054576427611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13.793846153846165</v>
      </c>
      <c r="N56" s="13">
        <f>IF('Données projet'!$A$36&gt;35,N55+M56-V55,IF(A56&lt;'Données projet'!$A$36,$K$205^A56,IF(A56='Données projet'!$A$36,'Données projet'!$B$36,N55+M56-V55)))</f>
        <v>386.81846153846158</v>
      </c>
      <c r="O56" s="13">
        <f>N56*VLOOKUP('Données projet'!$B$9,Paramètres!$A$1:$I$89,3,0)*VLOOKUP('Données projet'!$B$9,Paramètres!$A$1:$I$89,5,0)</f>
        <v>231.31744000000003</v>
      </c>
      <c r="P56" s="13">
        <f t="shared" si="33"/>
        <v>56.567448098598192</v>
      </c>
      <c r="Q56" s="20">
        <f t="shared" si="53"/>
        <v>501.39951343839198</v>
      </c>
      <c r="R56" s="59">
        <f t="shared" si="0"/>
        <v>794.73284677172524</v>
      </c>
      <c r="S56" s="59">
        <f ca="1">AVERAGE(OFFSET($R$3,0,0,'Données projet'!$E$9+1,1))-AVERAGE(OFFSET($H$3,0,0,'Données projet'!$E$9+1,1))</f>
        <v>355.09162485318728</v>
      </c>
      <c r="T56" s="59">
        <f t="shared" si="34"/>
        <v>320.06572891923685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38.265034377818473</v>
      </c>
      <c r="AA56" s="21">
        <f>EXP(-LN(2)/25)*AA55+(1-EXP(-LN(2)/25))/(LN(2)/25)*Calculateur!V56*Calculateur!X56*VLOOKUP('Données projet'!$B$9,Paramètres!$A$1:$I$89,3,0)*0.475*44/12</f>
        <v>11.696567992386353</v>
      </c>
      <c r="AB56" s="21">
        <f>EXP(-LN(2)/2)*AB55+(1-EXP(-LN(2)/2))/(LN(2)/2)*V56*Y56*VLOOKUP('Données projet'!$B$9,Paramètres!$A$1:$I$89,3,0)*0.475*44/12</f>
        <v>0.59042309949960281</v>
      </c>
      <c r="AC56" s="22">
        <f t="shared" si="3"/>
        <v>50.552025469704432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10.763461538461542</v>
      </c>
      <c r="AI56" s="13">
        <f>IF('Données projet'!$A$62&gt;35,AI55+AH56-AQ55,IF(A56&lt;'Données projet'!$A$62,$AF$205^A56,IF(A56='Données projet'!$A$62,'Données projet'!$B$62,AI55+AH56-AQ55)))</f>
        <v>243.05769230769218</v>
      </c>
      <c r="AJ56" s="13">
        <f>AI56*VLOOKUP('Données projet'!$B$10,Paramètres!$A$1:$I$89,3,0)*VLOOKUP('Données projet'!$B$10,Paramètres!$A$1:$I$89,5,0)</f>
        <v>113.75099999999993</v>
      </c>
      <c r="AK56" s="13">
        <f t="shared" si="35"/>
        <v>30.213017355661915</v>
      </c>
      <c r="AL56" s="20">
        <f t="shared" si="4"/>
        <v>250.73733022777768</v>
      </c>
      <c r="AM56" s="59">
        <f t="shared" si="5"/>
        <v>544.07066356111102</v>
      </c>
      <c r="AN56" s="59">
        <f ca="1">AVERAGE(OFFSET($AM$3,0,0,'Données projet'!$E$10+1,1))-AVERAGE(OFFSET($H$3,0,0,'Données projet'!$E$10+1,1))</f>
        <v>246.72166704460847</v>
      </c>
      <c r="AO56" s="59">
        <f t="shared" si="36"/>
        <v>145.54897745089966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18.074379939847592</v>
      </c>
      <c r="AW56" s="21">
        <f>EXP(-LN(2)/2)*AW55+(1-EXP(-LN(2)/2))/(LN(2)/2)*AQ56*AT56*VLOOKUP('Données projet'!$B$10,Paramètres!$A$1:$I$89,3,0)*0.475*44/12</f>
        <v>11.693332854518134</v>
      </c>
      <c r="AX56" s="21">
        <f t="shared" si="6"/>
        <v>29.767712794365728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>
        <f>BD56*VLOOKUP('Données projet'!$B$11,Paramètres!$A$1:$I$89,3,0)*VLOOKUP('Données projet'!$B$11,Paramètres!$A$1:$I$89,5,0)</f>
        <v>0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88.478637356802039</v>
      </c>
      <c r="BJ56" s="59">
        <f t="shared" si="38"/>
        <v>239.55411297259155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23.479305624496718</v>
      </c>
      <c r="BQ56" s="21">
        <f>EXP(-LN(2)/25)*BQ55+(1-EXP(-LN(2)/25))/(LN(2)/25)*Calculateur!BL56*Calculateur!BN56*VLOOKUP('Données projet'!$B$11,Paramètres!$A$1:$I$89,3,0)*0.475*44/12</f>
        <v>3.858635870127666</v>
      </c>
      <c r="BR56" s="21">
        <f>EXP(-LN(2)/2)*BR55+(1-EXP(-LN(2)/2))/(LN(2)/2)*BL56*BO56*VLOOKUP('Données projet'!$B$11,Paramètres!$A$1:$I$89,3,0)*0.475*44/12</f>
        <v>1.4844574497516243E-4</v>
      </c>
      <c r="BS56" s="22">
        <f t="shared" si="9"/>
        <v>27.338089940369361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6.5544871794871806</v>
      </c>
      <c r="BY56" s="12">
        <f>IF('Données projet'!$A$114&gt;35,BY55+BX56-CG55,IF(A56&lt;'Données projet'!$A$114,$BV$205^A56,IF(A56='Données projet'!$A$114,'Données projet'!$B$114,BY55+BX56-CG55)))</f>
        <v>113.91346153846159</v>
      </c>
      <c r="BZ56" s="13">
        <f>BY56*VLOOKUP('Données projet'!$B$12,Paramètres!$A$1:$I$89,3,0)*VLOOKUP('Données projet'!$B$12,Paramètres!$A$1:$I$89,5,0)</f>
        <v>103.06890000000004</v>
      </c>
      <c r="CA56" s="13">
        <f t="shared" si="39"/>
        <v>27.691829471230736</v>
      </c>
      <c r="CB56" s="20">
        <f t="shared" si="10"/>
        <v>227.74160382906027</v>
      </c>
      <c r="CC56" s="59">
        <f t="shared" si="11"/>
        <v>521.07493716239355</v>
      </c>
      <c r="CD56" s="59">
        <f ca="1">AVERAGE(OFFSET($CC$3,0,0,'Données projet'!$E$12+1,1))-AVERAGE(OFFSET($H$3,0,0,'Données projet'!$E$12+1,1))</f>
        <v>437.94387006020412</v>
      </c>
      <c r="CE56" s="59">
        <f t="shared" si="40"/>
        <v>213.95083535531376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15.727692307692312</v>
      </c>
      <c r="CT56" s="12">
        <f>IF('Données projet'!$A$140&gt;35,CT55+CS56-DB55,IF(A56&lt;'Données projet'!$A$140,$CQ$205^A56,IF(A56='Données projet'!$A$140,'Données projet'!$B$140,CT55+CS56-DB55)))</f>
        <v>292.54461538461533</v>
      </c>
      <c r="CU56" s="17">
        <f>CT56*VLOOKUP('Données projet'!$B$13,Paramètres!$A$1:$I$89,3,0)*VLOOKUP('Données projet'!$B$13,Paramètres!$A$1:$I$89,5,0)</f>
        <v>140.71395999999996</v>
      </c>
      <c r="CV56" s="13">
        <f t="shared" si="41"/>
        <v>36.460515252502887</v>
      </c>
      <c r="CW56" s="20">
        <f t="shared" si="13"/>
        <v>308.57887773144245</v>
      </c>
      <c r="CX56" s="59">
        <f t="shared" si="14"/>
        <v>601.91221106477576</v>
      </c>
      <c r="CY56" s="59">
        <f ca="1">AVERAGE(OFFSET($CX$3,0,0,'Données projet'!$E$13+1,1))-AVERAGE(OFFSET($H$3,0,0,'Données projet'!$E$13+1,1))</f>
        <v>258.42493116335032</v>
      </c>
      <c r="CZ56" s="59">
        <f t="shared" si="42"/>
        <v>102.46122697336466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18.833333859905551</v>
      </c>
      <c r="DH56" s="21">
        <f>EXP(-LN(2)/2)*DH55+(1-EXP(-LN(2)/2))/(LN(2)/2)*DB56*DE56*VLOOKUP('Données projet'!$B$13,Paramètres!$A$1:$I$89,3,0)*0.475*44/12</f>
        <v>8.8578498064995017</v>
      </c>
      <c r="DI56" s="22">
        <f t="shared" si="15"/>
        <v>27.691183666405053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6.6</v>
      </c>
      <c r="DO56" s="12">
        <f>IF('Données projet'!$A$166&gt;35,DO55+DN56-DW55,IF(A56&lt;'Données projet'!$A$166,$DL$205^A56,IF(A56='Données projet'!$A$166,'Données projet'!$B$166,DO55+DN56-DW55)))</f>
        <v>204.80000000000004</v>
      </c>
      <c r="DP56" s="17">
        <f>DO56*VLOOKUP('Données projet'!$B$14,Paramètres!$A$1:$I$89,3,0)*VLOOKUP('Données projet'!$B$14,Paramètres!$A$1:$I$89,5,0)</f>
        <v>178.91328000000004</v>
      </c>
      <c r="DQ56" s="13">
        <f t="shared" si="43"/>
        <v>45.080325843494848</v>
      </c>
      <c r="DR56" s="20">
        <f t="shared" si="16"/>
        <v>390.12219684408689</v>
      </c>
      <c r="DS56" s="59">
        <f t="shared" si="17"/>
        <v>683.4555301774202</v>
      </c>
      <c r="DT56" s="59">
        <f ca="1">AVERAGE(OFFSET($DS$3,0,0,'Données projet'!$E$14+1,1))-AVERAGE(OFFSET($H$3,0,0,'Données projet'!$E$14+1,1))</f>
        <v>354.24684313982857</v>
      </c>
      <c r="DU56" s="59">
        <f t="shared" si="44"/>
        <v>322.65043486962185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7.4426108563041637</v>
      </c>
      <c r="EB56" s="21">
        <f>EXP(-LN(2)/25)*EB55+(1-EXP(-LN(2)/25))/(LN(2)/25)*Calculateur!DW56*Calculateur!DY56*VLOOKUP('Données projet'!$B$14,Paramètres!$A$1:$I$89,3,0)*0.475*44/12</f>
        <v>14.38418503990111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21.826795896205276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13.793846153846165</v>
      </c>
      <c r="N57" s="13">
        <f>IF('Données projet'!$A$36&gt;35,N56+M57-V56,IF(A57&lt;'Données projet'!$A$36,$K$205^A57,IF(A57='Données projet'!$A$36,'Données projet'!$B$36,N56+M57-V56)))</f>
        <v>400.61230769230775</v>
      </c>
      <c r="O57" s="13">
        <f>N57*VLOOKUP('Données projet'!$B$9,Paramètres!$A$1:$I$89,3,0)*VLOOKUP('Données projet'!$B$9,Paramètres!$A$1:$I$89,5,0)</f>
        <v>239.56616000000005</v>
      </c>
      <c r="P57" s="13">
        <f t="shared" si="33"/>
        <v>58.346177865957287</v>
      </c>
      <c r="Q57" s="20">
        <f t="shared" si="53"/>
        <v>518.86398844987571</v>
      </c>
      <c r="R57" s="59">
        <f t="shared" si="0"/>
        <v>812.19732178320896</v>
      </c>
      <c r="S57" s="59">
        <f ca="1">AVERAGE(OFFSET($R$3,0,0,'Données projet'!$E$9+1,1))-AVERAGE(OFFSET($H$3,0,0,'Données projet'!$E$9+1,1))</f>
        <v>355.09162485318728</v>
      </c>
      <c r="T57" s="59">
        <f t="shared" si="34"/>
        <v>320.06572891923685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37.514680393035853</v>
      </c>
      <c r="AA57" s="21">
        <f>EXP(-LN(2)/25)*AA56+(1-EXP(-LN(2)/25))/(LN(2)/25)*Calculateur!V57*Calculateur!X57*VLOOKUP('Données projet'!$B$9,Paramètres!$A$1:$I$89,3,0)*0.475*44/12</f>
        <v>11.37672472553877</v>
      </c>
      <c r="AB57" s="21">
        <f>EXP(-LN(2)/2)*AB56+(1-EXP(-LN(2)/2))/(LN(2)/2)*V57*Y57*VLOOKUP('Données projet'!$B$9,Paramètres!$A$1:$I$89,3,0)*0.475*44/12</f>
        <v>0.41749217742534883</v>
      </c>
      <c r="AC57" s="22">
        <f t="shared" si="3"/>
        <v>49.308897295999977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10.763461538461542</v>
      </c>
      <c r="AI57" s="13">
        <f>IF('Données projet'!$A$62&gt;35,AI56+AH57-AQ56,IF(A57&lt;'Données projet'!$A$62,$AF$205^A57,IF(A57='Données projet'!$A$62,'Données projet'!$B$62,AI56+AH57-AQ56)))</f>
        <v>253.82115384615372</v>
      </c>
      <c r="AJ57" s="13">
        <f>AI57*VLOOKUP('Données projet'!$B$10,Paramètres!$A$1:$I$89,3,0)*VLOOKUP('Données projet'!$B$10,Paramètres!$A$1:$I$89,5,0)</f>
        <v>118.78829999999994</v>
      </c>
      <c r="AK57" s="13">
        <f t="shared" si="35"/>
        <v>31.392223457890381</v>
      </c>
      <c r="AL57" s="20">
        <f t="shared" si="4"/>
        <v>261.56441168915899</v>
      </c>
      <c r="AM57" s="59">
        <f t="shared" si="5"/>
        <v>554.89774502249224</v>
      </c>
      <c r="AN57" s="59">
        <f ca="1">AVERAGE(OFFSET($AM$3,0,0,'Données projet'!$E$10+1,1))-AVERAGE(OFFSET($H$3,0,0,'Données projet'!$E$10+1,1))</f>
        <v>246.72166704460847</v>
      </c>
      <c r="AO57" s="59">
        <f t="shared" si="36"/>
        <v>145.54897745089966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17.580135069902127</v>
      </c>
      <c r="AW57" s="21">
        <f>EXP(-LN(2)/2)*AW56+(1-EXP(-LN(2)/2))/(LN(2)/2)*AQ57*AT57*VLOOKUP('Données projet'!$B$10,Paramètres!$A$1:$I$89,3,0)*0.475*44/12</f>
        <v>8.2684349561012223</v>
      </c>
      <c r="AX57" s="21">
        <f t="shared" si="6"/>
        <v>25.848570026003351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>
        <f>BD57*VLOOKUP('Données projet'!$B$11,Paramètres!$A$1:$I$89,3,0)*VLOOKUP('Données projet'!$B$11,Paramètres!$A$1:$I$89,5,0)</f>
        <v>0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88.478637356802039</v>
      </c>
      <c r="BJ57" s="59">
        <f t="shared" si="38"/>
        <v>239.55411297259155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23.018890762162691</v>
      </c>
      <c r="BQ57" s="21">
        <f>EXP(-LN(2)/25)*BQ56+(1-EXP(-LN(2)/25))/(LN(2)/25)*Calculateur!BL57*Calculateur!BN57*VLOOKUP('Données projet'!$B$11,Paramètres!$A$1:$I$89,3,0)*0.475*44/12</f>
        <v>3.7531212693421834</v>
      </c>
      <c r="BR57" s="21">
        <f>EXP(-LN(2)/2)*BR56+(1-EXP(-LN(2)/2))/(LN(2)/2)*BL57*BO57*VLOOKUP('Données projet'!$B$11,Paramètres!$A$1:$I$89,3,0)*0.475*44/12</f>
        <v>1.0496699291022622E-4</v>
      </c>
      <c r="BS57" s="22">
        <f t="shared" si="9"/>
        <v>26.772116998497786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6.5544871794871806</v>
      </c>
      <c r="BY57" s="12">
        <f>IF('Données projet'!$A$114&gt;35,BY56+BX57-CG56,IF(A57&lt;'Données projet'!$A$114,$BV$205^A57,IF(A57='Données projet'!$A$114,'Données projet'!$B$114,BY56+BX57-CG56)))</f>
        <v>120.46794871794877</v>
      </c>
      <c r="BZ57" s="13">
        <f>BY57*VLOOKUP('Données projet'!$B$12,Paramètres!$A$1:$I$89,3,0)*VLOOKUP('Données projet'!$B$12,Paramètres!$A$1:$I$89,5,0)</f>
        <v>108.99940000000005</v>
      </c>
      <c r="CA57" s="13">
        <f t="shared" si="39"/>
        <v>29.095110176061826</v>
      </c>
      <c r="CB57" s="20">
        <f t="shared" si="10"/>
        <v>240.51460522330777</v>
      </c>
      <c r="CC57" s="59">
        <f t="shared" si="11"/>
        <v>533.84793855664111</v>
      </c>
      <c r="CD57" s="59">
        <f ca="1">AVERAGE(OFFSET($CC$3,0,0,'Données projet'!$E$12+1,1))-AVERAGE(OFFSET($H$3,0,0,'Données projet'!$E$12+1,1))</f>
        <v>437.94387006020412</v>
      </c>
      <c r="CE57" s="59">
        <f t="shared" si="40"/>
        <v>213.95083535531376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15.727692307692312</v>
      </c>
      <c r="CT57" s="12">
        <f>IF('Données projet'!$A$140&gt;35,CT56+CS57-DB56,IF(A57&lt;'Données projet'!$A$140,$CQ$205^A57,IF(A57='Données projet'!$A$140,'Données projet'!$B$140,CT56+CS57-DB56)))</f>
        <v>308.27230769230766</v>
      </c>
      <c r="CU57" s="17">
        <f>CT57*VLOOKUP('Données projet'!$B$13,Paramètres!$A$1:$I$89,3,0)*VLOOKUP('Données projet'!$B$13,Paramètres!$A$1:$I$89,5,0)</f>
        <v>148.27897999999999</v>
      </c>
      <c r="CV57" s="13">
        <f t="shared" si="41"/>
        <v>38.187215363705505</v>
      </c>
      <c r="CW57" s="20">
        <f t="shared" si="13"/>
        <v>324.76195692512039</v>
      </c>
      <c r="CX57" s="59">
        <f t="shared" si="14"/>
        <v>618.0952902584537</v>
      </c>
      <c r="CY57" s="59">
        <f ca="1">AVERAGE(OFFSET($CX$3,0,0,'Données projet'!$E$13+1,1))-AVERAGE(OFFSET($H$3,0,0,'Données projet'!$E$13+1,1))</f>
        <v>258.42493116335032</v>
      </c>
      <c r="CZ57" s="59">
        <f t="shared" si="42"/>
        <v>102.46122697336466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18.318335355104448</v>
      </c>
      <c r="DH57" s="21">
        <f>EXP(-LN(2)/2)*DH56+(1-EXP(-LN(2)/2))/(LN(2)/2)*DB57*DE57*VLOOKUP('Données projet'!$B$13,Paramètres!$A$1:$I$89,3,0)*0.475*44/12</f>
        <v>6.2634456649077457</v>
      </c>
      <c r="DI57" s="22">
        <f t="shared" si="15"/>
        <v>24.581781020012194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6.6</v>
      </c>
      <c r="DO57" s="12">
        <f>IF('Données projet'!$A$166&gt;35,DO56+DN57-DW56,IF(A57&lt;'Données projet'!$A$166,$DL$205^A57,IF(A57='Données projet'!$A$166,'Données projet'!$B$166,DO56+DN57-DW56)))</f>
        <v>211.40000000000003</v>
      </c>
      <c r="DP57" s="17">
        <f>DO57*VLOOKUP('Données projet'!$B$14,Paramètres!$A$1:$I$89,3,0)*VLOOKUP('Données projet'!$B$14,Paramètres!$A$1:$I$89,5,0)</f>
        <v>184.67904000000004</v>
      </c>
      <c r="DQ57" s="13">
        <f t="shared" si="43"/>
        <v>46.361626470742223</v>
      </c>
      <c r="DR57" s="20">
        <f t="shared" si="16"/>
        <v>402.39582743654279</v>
      </c>
      <c r="DS57" s="59">
        <f t="shared" si="17"/>
        <v>695.7291607698761</v>
      </c>
      <c r="DT57" s="59">
        <f ca="1">AVERAGE(OFFSET($DS$3,0,0,'Données projet'!$E$14+1,1))-AVERAGE(OFFSET($H$3,0,0,'Données projet'!$E$14+1,1))</f>
        <v>354.24684313982857</v>
      </c>
      <c r="DU57" s="59">
        <f t="shared" si="44"/>
        <v>322.65043486962185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7.296665796956419</v>
      </c>
      <c r="EB57" s="21">
        <f>EXP(-LN(2)/25)*EB56+(1-EXP(-LN(2)/25))/(LN(2)/25)*Calculateur!DW57*Calculateur!DY57*VLOOKUP('Données projet'!$B$14,Paramètres!$A$1:$I$89,3,0)*0.475*44/12</f>
        <v>13.990848743553599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21.287514540510017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13.793846153846165</v>
      </c>
      <c r="N58" s="13">
        <f>IF('Données projet'!$A$36&gt;35,N57+M58-V57,IF(A58&lt;'Données projet'!$A$36,$K$205^A58,IF(A58='Données projet'!$A$36,'Données projet'!$B$36,N57+M58-V57)))</f>
        <v>414.40615384615393</v>
      </c>
      <c r="O58" s="13">
        <f>N58*VLOOKUP('Données projet'!$B$9,Paramètres!$A$1:$I$89,3,0)*VLOOKUP('Données projet'!$B$9,Paramètres!$A$1:$I$89,5,0)</f>
        <v>247.81488000000007</v>
      </c>
      <c r="P58" s="13">
        <f t="shared" si="33"/>
        <v>60.117791489820576</v>
      </c>
      <c r="Q58" s="20">
        <f t="shared" si="53"/>
        <v>536.3160695114376</v>
      </c>
      <c r="R58" s="59">
        <f t="shared" si="0"/>
        <v>829.64940284477098</v>
      </c>
      <c r="S58" s="59">
        <f ca="1">AVERAGE(OFFSET($R$3,0,0,'Données projet'!$E$9+1,1))-AVERAGE(OFFSET($H$3,0,0,'Données projet'!$E$9+1,1))</f>
        <v>355.09162485318728</v>
      </c>
      <c r="T58" s="59">
        <f t="shared" si="34"/>
        <v>320.06572891923685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36.779040392224083</v>
      </c>
      <c r="AA58" s="21">
        <f>EXP(-LN(2)/25)*AA57+(1-EXP(-LN(2)/25))/(LN(2)/25)*Calculateur!V58*Calculateur!X58*VLOOKUP('Données projet'!$B$9,Paramètres!$A$1:$I$89,3,0)*0.475*44/12</f>
        <v>11.065627589642961</v>
      </c>
      <c r="AB58" s="21">
        <f>EXP(-LN(2)/2)*AB57+(1-EXP(-LN(2)/2))/(LN(2)/2)*V58*Y58*VLOOKUP('Données projet'!$B$9,Paramètres!$A$1:$I$89,3,0)*0.475*44/12</f>
        <v>0.29521154974980141</v>
      </c>
      <c r="AC58" s="22">
        <f t="shared" si="3"/>
        <v>48.139879531616849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10.763461538461542</v>
      </c>
      <c r="AI58" s="13">
        <f>IF('Données projet'!$A$62&gt;35,AI57+AH58-AQ57,IF(A58&lt;'Données projet'!$A$62,$AF$205^A58,IF(A58='Données projet'!$A$62,'Données projet'!$B$62,AI57+AH58-AQ57)))</f>
        <v>264.58461538461529</v>
      </c>
      <c r="AJ58" s="13">
        <f>AI58*VLOOKUP('Données projet'!$B$10,Paramètres!$A$1:$I$89,3,0)*VLOOKUP('Données projet'!$B$10,Paramètres!$A$1:$I$89,5,0)</f>
        <v>123.82559999999997</v>
      </c>
      <c r="AK58" s="13">
        <f t="shared" si="35"/>
        <v>32.565621475657444</v>
      </c>
      <c r="AL58" s="20">
        <f t="shared" si="4"/>
        <v>272.38137740343666</v>
      </c>
      <c r="AM58" s="59">
        <f t="shared" si="5"/>
        <v>565.71471073677003</v>
      </c>
      <c r="AN58" s="59">
        <f ca="1">AVERAGE(OFFSET($AM$3,0,0,'Données projet'!$E$10+1,1))-AVERAGE(OFFSET($H$3,0,0,'Données projet'!$E$10+1,1))</f>
        <v>246.72166704460847</v>
      </c>
      <c r="AO58" s="59">
        <f t="shared" si="36"/>
        <v>145.54897745089966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17.099405351916531</v>
      </c>
      <c r="AW58" s="21">
        <f>EXP(-LN(2)/2)*AW57+(1-EXP(-LN(2)/2))/(LN(2)/2)*AQ58*AT58*VLOOKUP('Données projet'!$B$10,Paramètres!$A$1:$I$89,3,0)*0.475*44/12</f>
        <v>5.846666427259068</v>
      </c>
      <c r="AX58" s="21">
        <f t="shared" si="6"/>
        <v>22.946071779175597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>
        <f>BD58*VLOOKUP('Données projet'!$B$11,Paramètres!$A$1:$I$89,3,0)*VLOOKUP('Données projet'!$B$11,Paramètres!$A$1:$I$89,5,0)</f>
        <v>0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88.478637356802039</v>
      </c>
      <c r="BJ58" s="59">
        <f t="shared" si="38"/>
        <v>239.55411297259155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22.567504354453696</v>
      </c>
      <c r="BQ58" s="21">
        <f>EXP(-LN(2)/25)*BQ57+(1-EXP(-LN(2)/25))/(LN(2)/25)*Calculateur!BL58*Calculateur!BN58*VLOOKUP('Données projet'!$B$11,Paramètres!$A$1:$I$89,3,0)*0.475*44/12</f>
        <v>3.6504919708639516</v>
      </c>
      <c r="BR58" s="21">
        <f>EXP(-LN(2)/2)*BR57+(1-EXP(-LN(2)/2))/(LN(2)/2)*BL58*BO58*VLOOKUP('Données projet'!$B$11,Paramètres!$A$1:$I$89,3,0)*0.475*44/12</f>
        <v>7.4222872487581215E-5</v>
      </c>
      <c r="BS58" s="22">
        <f t="shared" si="9"/>
        <v>26.218070548190138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6.5544871794871806</v>
      </c>
      <c r="BY58" s="12">
        <f>IF('Données projet'!$A$114&gt;35,BY57+BX58-CG57,IF(A58&lt;'Données projet'!$A$114,$BV$205^A58,IF(A58='Données projet'!$A$114,'Données projet'!$B$114,BY57+BX58-CG57)))</f>
        <v>127.02243589743595</v>
      </c>
      <c r="BZ58" s="13">
        <f>BY58*VLOOKUP('Données projet'!$B$12,Paramètres!$A$1:$I$89,3,0)*VLOOKUP('Données projet'!$B$12,Paramètres!$A$1:$I$89,5,0)</f>
        <v>114.92990000000006</v>
      </c>
      <c r="CA58" s="13">
        <f t="shared" si="39"/>
        <v>30.489527151613281</v>
      </c>
      <c r="CB58" s="20">
        <f t="shared" si="10"/>
        <v>253.27216895572658</v>
      </c>
      <c r="CC58" s="59">
        <f t="shared" si="11"/>
        <v>546.60550228905993</v>
      </c>
      <c r="CD58" s="59">
        <f ca="1">AVERAGE(OFFSET($CC$3,0,0,'Données projet'!$E$12+1,1))-AVERAGE(OFFSET($H$3,0,0,'Données projet'!$E$12+1,1))</f>
        <v>437.94387006020412</v>
      </c>
      <c r="CE58" s="59">
        <f t="shared" si="40"/>
        <v>213.95083535531376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15.727692307692312</v>
      </c>
      <c r="CT58" s="12">
        <f>IF('Données projet'!$A$140&gt;35,CT57+CS58-DB57,IF(A58&lt;'Données projet'!$A$140,$CQ$205^A58,IF(A58='Données projet'!$A$140,'Données projet'!$B$140,CT57+CS58-DB57)))</f>
        <v>324</v>
      </c>
      <c r="CU58" s="17">
        <f>CT58*VLOOKUP('Données projet'!$B$13,Paramètres!$A$1:$I$89,3,0)*VLOOKUP('Données projet'!$B$13,Paramètres!$A$1:$I$89,5,0)</f>
        <v>155.84399999999999</v>
      </c>
      <c r="CV58" s="13">
        <f t="shared" si="41"/>
        <v>39.903687010744221</v>
      </c>
      <c r="CW58" s="20">
        <f t="shared" si="13"/>
        <v>340.92722154371285</v>
      </c>
      <c r="CX58" s="59">
        <f t="shared" si="14"/>
        <v>634.26055487704616</v>
      </c>
      <c r="CY58" s="59">
        <f ca="1">AVERAGE(OFFSET($CX$3,0,0,'Données projet'!$E$13+1,1))-AVERAGE(OFFSET($H$3,0,0,'Données projet'!$E$13+1,1))</f>
        <v>258.42493116335032</v>
      </c>
      <c r="CZ58" s="59">
        <f t="shared" si="42"/>
        <v>102.46122697336466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17.817419511499729</v>
      </c>
      <c r="DH58" s="21">
        <f>EXP(-LN(2)/2)*DH57+(1-EXP(-LN(2)/2))/(LN(2)/2)*DB58*DE58*VLOOKUP('Données projet'!$B$13,Paramètres!$A$1:$I$89,3,0)*0.475*44/12</f>
        <v>4.4289249032497509</v>
      </c>
      <c r="DI58" s="22">
        <f t="shared" si="15"/>
        <v>22.24634441474948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218</v>
      </c>
      <c r="DM58" s="12">
        <f>VLOOKUP(A58,'Données projet'!$A$165:$I$185,9,0)</f>
        <v>6.6</v>
      </c>
      <c r="DN58" s="12">
        <f t="array" ref="DN58">INDEX(DM:DM,MIN(IF(ISNUMBER(DM58:DM254),ROW(DM58:DM254),"")))</f>
        <v>6.6</v>
      </c>
      <c r="DO58" s="12">
        <f>IF('Données projet'!$A$166&gt;35,DO57+DN58-DW57,IF(A58&lt;'Données projet'!$A$166,$DL$205^A58,IF(A58='Données projet'!$A$166,'Données projet'!$B$166,DO57+DN58-DW57)))</f>
        <v>218.00000000000003</v>
      </c>
      <c r="DP58" s="17">
        <f>DO58*VLOOKUP('Données projet'!$B$14,Paramètres!$A$1:$I$89,3,0)*VLOOKUP('Données projet'!$B$14,Paramètres!$A$1:$I$89,5,0)</f>
        <v>190.44480000000004</v>
      </c>
      <c r="DQ58" s="13">
        <f t="shared" si="43"/>
        <v>47.638278428909231</v>
      </c>
      <c r="DR58" s="20">
        <f t="shared" si="16"/>
        <v>414.66136159701699</v>
      </c>
      <c r="DS58" s="59">
        <f t="shared" si="17"/>
        <v>707.99469493035031</v>
      </c>
      <c r="DT58" s="59">
        <f ca="1">AVERAGE(OFFSET($DS$3,0,0,'Données projet'!$E$14+1,1))-AVERAGE(OFFSET($H$3,0,0,'Données projet'!$E$14+1,1))</f>
        <v>354.24684313982857</v>
      </c>
      <c r="DU58" s="59">
        <f t="shared" si="44"/>
        <v>322.65043486962185</v>
      </c>
      <c r="DV58" s="15">
        <f>IF(ISNA(VLOOKUP(A58,'Données projet'!$A$165:$I$185,3,0)),0,VLOOKUP(A58,'Données projet'!$A$165:$I$185,3,0))</f>
        <v>8</v>
      </c>
      <c r="DW58" s="15" t="str">
        <f>IF(ISNA(VLOOKUP(A58,'Données projet'!$A$165:$I$185,4,0)),0,VLOOKUP(A58,'Données projet'!$A$165:$I$185,4,0))</f>
        <v>23</v>
      </c>
      <c r="DX58" s="16">
        <f>IF(ISNA(VLOOKUP(A58,'Données projet'!$A$165:$I$185,5,0)),0%,VLOOKUP(A58,'Données projet'!$A$165:$I$185,5,0)*VLOOKUP('Données projet'!$B$14,Paramètres!$A$1:$I$89,7,0))</f>
        <v>0.17200000000000001</v>
      </c>
      <c r="DY58" s="16">
        <f>IF(ISNA(VLOOKUP(A58,'Données projet'!$A$165:$I$185,6,0)),0%,VLOOKUP(A58,'Données projet'!$A$165:$I$185,6,0)*VLOOKUP('Données projet'!$B$14,Paramètres!$A$1:$I$89,7,0))</f>
        <v>0.17200000000000001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10.97404581280809</v>
      </c>
      <c r="EB58" s="21">
        <f>EXP(-LN(2)/25)*EB57+(1-EXP(-LN(2)/25))/(LN(2)/25)*Calculateur!DW58*Calculateur!DY58*VLOOKUP('Données projet'!$B$14,Paramètres!$A$1:$I$89,3,0)*0.475*44/12</f>
        <v>17.4136888112611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28.387734624069189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428.20000000000005</v>
      </c>
      <c r="L59" s="12">
        <f>VLOOKUP(A59,'Données projet'!$A$35:$I$55,9,0)</f>
        <v>13.793846153846165</v>
      </c>
      <c r="M59" s="12">
        <f t="array" ref="M59">INDEX(L:L,MIN(IF(ISNUMBER(L59:L255),ROW(L59:L255),"")))</f>
        <v>13.793846153846165</v>
      </c>
      <c r="N59" s="13">
        <f>IF('Données projet'!$A$36&gt;35,N58+M59-V58,IF(A59&lt;'Données projet'!$A$36,$K$205^A59,IF(A59='Données projet'!$A$36,'Données projet'!$B$36,N58+M59-V58)))</f>
        <v>428.2000000000001</v>
      </c>
      <c r="O59" s="13">
        <f>N59*VLOOKUP('Données projet'!$B$9,Paramètres!$A$1:$I$89,3,0)*VLOOKUP('Données projet'!$B$9,Paramètres!$A$1:$I$89,5,0)</f>
        <v>256.06360000000012</v>
      </c>
      <c r="P59" s="13">
        <f t="shared" si="33"/>
        <v>61.882552995500411</v>
      </c>
      <c r="Q59" s="20">
        <f t="shared" si="53"/>
        <v>553.75621646716343</v>
      </c>
      <c r="R59" s="59">
        <f t="shared" si="0"/>
        <v>847.0895498004968</v>
      </c>
      <c r="S59" s="59">
        <f ca="1">AVERAGE(OFFSET($R$3,0,0,'Données projet'!$E$9+1,1))-AVERAGE(OFFSET($H$3,0,0,'Données projet'!$E$9+1,1))</f>
        <v>355.09162485318728</v>
      </c>
      <c r="T59" s="59">
        <f t="shared" si="34"/>
        <v>320.06572891923685</v>
      </c>
      <c r="U59" s="15">
        <f>IF(ISNA(VLOOKUP(A59,'Données projet'!$A$35:$I$55,3,0)),0,VLOOKUP(A59,'Données projet'!$A$35:$I$55,3,0))</f>
        <v>6</v>
      </c>
      <c r="V59" s="15">
        <f>IF(ISNA(VLOOKUP(A59,'Données projet'!$A$35:$I$55,4,0)),0,VLOOKUP(A59,'Données projet'!$A$35:$I$55,4,0))</f>
        <v>60.092307692307692</v>
      </c>
      <c r="W59" s="16">
        <f>IF(ISNA(VLOOKUP(A59,'Données projet'!$A$35:$I$55,5,0)),0%,VLOOKUP(A59,'Données projet'!$A$35:$I$55,5,0)*VLOOKUP('Données projet'!$B$9,Paramètres!$A$1:$I$89,7,0))</f>
        <v>0.315</v>
      </c>
      <c r="X59" s="16">
        <f>IF(ISNA(VLOOKUP(A59,'Données projet'!$A$35:$I$55,6,0)),0%,VLOOKUP(A59,'Données projet'!$A$35:$I$55,6,0)*VLOOKUP('Données projet'!$B$9,Paramètres!$A$1:$I$89,7,0))</f>
        <v>7.5600000000000001E-2</v>
      </c>
      <c r="Y59" s="16">
        <f>IF(ISNA(VLOOKUP(A59,'Données projet'!$A$35:$I$55,7,0)),0%,VLOOKUP(A59,'Données projet'!$A$35:$I$55,7,0))</f>
        <v>0.13200000000000001</v>
      </c>
      <c r="Z59" s="21">
        <f>EXP(-LN(2)/35)*Z58+(1-EXP(-LN(2)/35))/(LN(2)/35)*V59*W59*VLOOKUP('Données projet'!$B$9,Paramètres!$A$1:$I$89,3,0)*0.475*44/12</f>
        <v>51.073988934152091</v>
      </c>
      <c r="AA59" s="21">
        <f>EXP(-LN(2)/25)*AA58+(1-EXP(-LN(2)/25))/(LN(2)/25)*Calculateur!V59*Calculateur!X59*VLOOKUP('Données projet'!$B$9,Paramètres!$A$1:$I$89,3,0)*0.475*44/12</f>
        <v>14.352726717765847</v>
      </c>
      <c r="AB59" s="21">
        <f>EXP(-LN(2)/2)*AB58+(1-EXP(-LN(2)/2))/(LN(2)/2)*V59*Y59*VLOOKUP('Données projet'!$B$9,Paramètres!$A$1:$I$89,3,0)*0.475*44/12</f>
        <v>5.5794293043783174</v>
      </c>
      <c r="AC59" s="22">
        <f t="shared" si="3"/>
        <v>71.006144956296254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10.763461538461542</v>
      </c>
      <c r="AI59" s="13">
        <f>IF('Données projet'!$A$62&gt;35,AI58+AH59-AQ58,IF(A59&lt;'Données projet'!$A$62,$AF$205^A59,IF(A59='Données projet'!$A$62,'Données projet'!$B$62,AI58+AH59-AQ58)))</f>
        <v>275.34807692307686</v>
      </c>
      <c r="AJ59" s="13">
        <f>AI59*VLOOKUP('Données projet'!$B$10,Paramètres!$A$1:$I$89,3,0)*VLOOKUP('Données projet'!$B$10,Paramètres!$A$1:$I$89,5,0)</f>
        <v>128.86289999999997</v>
      </c>
      <c r="AK59" s="13">
        <f t="shared" si="35"/>
        <v>33.733474712413404</v>
      </c>
      <c r="AL59" s="20">
        <f t="shared" si="4"/>
        <v>283.18868595745323</v>
      </c>
      <c r="AM59" s="59">
        <f t="shared" si="5"/>
        <v>576.5220192907866</v>
      </c>
      <c r="AN59" s="59">
        <f ca="1">AVERAGE(OFFSET($AM$3,0,0,'Données projet'!$E$10+1,1))-AVERAGE(OFFSET($H$3,0,0,'Données projet'!$E$10+1,1))</f>
        <v>246.72166704460847</v>
      </c>
      <c r="AO59" s="59">
        <f t="shared" si="36"/>
        <v>145.54897745089966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16.631821213349728</v>
      </c>
      <c r="AW59" s="21">
        <f>EXP(-LN(2)/2)*AW58+(1-EXP(-LN(2)/2))/(LN(2)/2)*AQ59*AT59*VLOOKUP('Données projet'!$B$10,Paramètres!$A$1:$I$89,3,0)*0.475*44/12</f>
        <v>4.134217478050612</v>
      </c>
      <c r="AX59" s="21">
        <f t="shared" si="6"/>
        <v>20.76603869140034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>
        <f>BD59*VLOOKUP('Données projet'!$B$11,Paramètres!$A$1:$I$89,3,0)*VLOOKUP('Données projet'!$B$11,Paramètres!$A$1:$I$89,5,0)</f>
        <v>0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88.478637356802039</v>
      </c>
      <c r="BJ59" s="59">
        <f t="shared" si="38"/>
        <v>239.55411297259155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22.124969358881351</v>
      </c>
      <c r="BQ59" s="21">
        <f>EXP(-LN(2)/25)*BQ58+(1-EXP(-LN(2)/25))/(LN(2)/25)*Calculateur!BL59*Calculateur!BN59*VLOOKUP('Données projet'!$B$11,Paramètres!$A$1:$I$89,3,0)*0.475*44/12</f>
        <v>3.5506690759496475</v>
      </c>
      <c r="BR59" s="21">
        <f>EXP(-LN(2)/2)*BR58+(1-EXP(-LN(2)/2))/(LN(2)/2)*BL59*BO59*VLOOKUP('Données projet'!$B$11,Paramètres!$A$1:$I$89,3,0)*0.475*44/12</f>
        <v>5.2483496455113109E-5</v>
      </c>
      <c r="BS59" s="22">
        <f t="shared" si="9"/>
        <v>25.675690918327454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6.5544871794871806</v>
      </c>
      <c r="BY59" s="12">
        <f>IF('Données projet'!$A$114&gt;35,BY58+BX59-CG58,IF(A59&lt;'Données projet'!$A$114,$BV$205^A59,IF(A59='Données projet'!$A$114,'Données projet'!$B$114,BY58+BX59-CG58)))</f>
        <v>133.57692307692312</v>
      </c>
      <c r="BZ59" s="13">
        <f>BY59*VLOOKUP('Données projet'!$B$12,Paramètres!$A$1:$I$89,3,0)*VLOOKUP('Données projet'!$B$12,Paramètres!$A$1:$I$89,5,0)</f>
        <v>120.86040000000004</v>
      </c>
      <c r="CA59" s="13">
        <f t="shared" si="39"/>
        <v>31.875589947214873</v>
      </c>
      <c r="CB59" s="20">
        <f t="shared" si="10"/>
        <v>266.01518249139929</v>
      </c>
      <c r="CC59" s="59">
        <f t="shared" si="11"/>
        <v>559.34851582473266</v>
      </c>
      <c r="CD59" s="59">
        <f ca="1">AVERAGE(OFFSET($CC$3,0,0,'Données projet'!$E$12+1,1))-AVERAGE(OFFSET($H$3,0,0,'Données projet'!$E$12+1,1))</f>
        <v>437.94387006020412</v>
      </c>
      <c r="CE59" s="59">
        <f t="shared" si="40"/>
        <v>213.95083535531376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15.727692307692312</v>
      </c>
      <c r="CT59" s="12">
        <f>IF('Données projet'!$A$140&gt;35,CT58+CS59-DB58,IF(A59&lt;'Données projet'!$A$140,$CQ$205^A59,IF(A59='Données projet'!$A$140,'Données projet'!$B$140,CT58+CS59-DB58)))</f>
        <v>339.72769230769234</v>
      </c>
      <c r="CU59" s="17">
        <f>CT59*VLOOKUP('Données projet'!$B$13,Paramètres!$A$1:$I$89,3,0)*VLOOKUP('Données projet'!$B$13,Paramètres!$A$1:$I$89,5,0)</f>
        <v>163.40902000000003</v>
      </c>
      <c r="CV59" s="13">
        <f t="shared" si="41"/>
        <v>41.610483382053232</v>
      </c>
      <c r="CW59" s="20">
        <f t="shared" si="13"/>
        <v>357.075635057076</v>
      </c>
      <c r="CX59" s="59">
        <f t="shared" si="14"/>
        <v>650.40896839040931</v>
      </c>
      <c r="CY59" s="59">
        <f ca="1">AVERAGE(OFFSET($CX$3,0,0,'Données projet'!$E$13+1,1))-AVERAGE(OFFSET($H$3,0,0,'Données projet'!$E$13+1,1))</f>
        <v>258.42493116335032</v>
      </c>
      <c r="CZ59" s="59">
        <f t="shared" si="42"/>
        <v>102.46122697336466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17.3302012379804</v>
      </c>
      <c r="DH59" s="21">
        <f>EXP(-LN(2)/2)*DH58+(1-EXP(-LN(2)/2))/(LN(2)/2)*DB59*DE59*VLOOKUP('Données projet'!$B$13,Paramètres!$A$1:$I$89,3,0)*0.475*44/12</f>
        <v>3.1317228324538728</v>
      </c>
      <c r="DI59" s="22">
        <f t="shared" si="15"/>
        <v>20.461924070434272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</v>
      </c>
      <c r="DO59" s="12">
        <f>IF('Données projet'!$A$166&gt;35,DO58+DN59-DW58,IF(A59&lt;'Données projet'!$A$166,$DL$205^A59,IF(A59='Données projet'!$A$166,'Données projet'!$B$166,DO58+DN59-DW58)))</f>
        <v>201.00000000000003</v>
      </c>
      <c r="DP59" s="17">
        <f>DO59*VLOOKUP('Données projet'!$B$14,Paramètres!$A$1:$I$89,3,0)*VLOOKUP('Données projet'!$B$14,Paramètres!$A$1:$I$89,5,0)</f>
        <v>175.59360000000007</v>
      </c>
      <c r="DQ59" s="13">
        <f t="shared" si="43"/>
        <v>44.340433728638573</v>
      </c>
      <c r="DR59" s="20">
        <f t="shared" si="16"/>
        <v>383.05177541071225</v>
      </c>
      <c r="DS59" s="59">
        <f t="shared" si="17"/>
        <v>676.38510874404551</v>
      </c>
      <c r="DT59" s="59">
        <f ca="1">AVERAGE(OFFSET($DS$3,0,0,'Données projet'!$E$14+1,1))-AVERAGE(OFFSET($H$3,0,0,'Données projet'!$E$14+1,1))</f>
        <v>354.24684313982857</v>
      </c>
      <c r="DU59" s="59">
        <f t="shared" si="44"/>
        <v>322.65043486962185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10.75885146792594</v>
      </c>
      <c r="EB59" s="21">
        <f>EXP(-LN(2)/25)*EB58+(1-EXP(-LN(2)/25))/(LN(2)/25)*Calculateur!DW59*Calculateur!DY59*VLOOKUP('Données projet'!$B$14,Paramètres!$A$1:$I$89,3,0)*0.475*44/12</f>
        <v>16.937510574971071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27.696362042897011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12.05461538461538</v>
      </c>
      <c r="N60" s="13">
        <f>IF('Données projet'!$A$36&gt;35,N59+M60-V59,IF(A60&lt;'Données projet'!$A$36,$K$205^A60,IF(A60='Données projet'!$A$36,'Données projet'!$B$36,N59+M60-V59)))</f>
        <v>380.16230769230776</v>
      </c>
      <c r="O60" s="13">
        <f>N60*VLOOKUP('Données projet'!$B$9,Paramètres!$A$1:$I$89,3,0)*VLOOKUP('Données projet'!$B$9,Paramètres!$A$1:$I$89,5,0)</f>
        <v>227.33706000000004</v>
      </c>
      <c r="P60" s="13">
        <f t="shared" si="33"/>
        <v>55.70650197157245</v>
      </c>
      <c r="Q60" s="20">
        <f t="shared" si="53"/>
        <v>492.9675371004887</v>
      </c>
      <c r="R60" s="59">
        <f t="shared" si="0"/>
        <v>786.30087043382196</v>
      </c>
      <c r="S60" s="59">
        <f ca="1">AVERAGE(OFFSET($R$3,0,0,'Données projet'!$E$9+1,1))-AVERAGE(OFFSET($H$3,0,0,'Données projet'!$E$9+1,1))</f>
        <v>355.09162485318728</v>
      </c>
      <c r="T60" s="59">
        <f t="shared" si="34"/>
        <v>320.06572891923685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50.07245916321061</v>
      </c>
      <c r="AA60" s="21">
        <f>EXP(-LN(2)/25)*AA59+(1-EXP(-LN(2)/25))/(LN(2)/25)*Calculateur!V60*Calculateur!X60*VLOOKUP('Données projet'!$B$9,Paramètres!$A$1:$I$89,3,0)*0.475*44/12</f>
        <v>13.960250650891446</v>
      </c>
      <c r="AB60" s="21">
        <f>EXP(-LN(2)/2)*AB59+(1-EXP(-LN(2)/2))/(LN(2)/2)*V60*Y60*VLOOKUP('Données projet'!$B$9,Paramètres!$A$1:$I$89,3,0)*0.475*44/12</f>
        <v>3.9452522962768501</v>
      </c>
      <c r="AC60" s="22">
        <f t="shared" si="3"/>
        <v>67.977962110378897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10.763461538461542</v>
      </c>
      <c r="AI60" s="13">
        <f>IF('Données projet'!$A$62&gt;35,AI59+AH60-AQ59,IF(A60&lt;'Données projet'!$A$62,$AF$205^A60,IF(A60='Données projet'!$A$62,'Données projet'!$B$62,AI59+AH60-AQ59)))</f>
        <v>286.11153846153843</v>
      </c>
      <c r="AJ60" s="13">
        <f>AI60*VLOOKUP('Données projet'!$B$10,Paramètres!$A$1:$I$89,3,0)*VLOOKUP('Données projet'!$B$10,Paramètres!$A$1:$I$89,5,0)</f>
        <v>133.90019999999998</v>
      </c>
      <c r="AK60" s="13">
        <f t="shared" si="35"/>
        <v>34.89602472081711</v>
      </c>
      <c r="AL60" s="20">
        <f t="shared" si="4"/>
        <v>293.98675805542308</v>
      </c>
      <c r="AM60" s="59">
        <f t="shared" si="5"/>
        <v>587.3200913887564</v>
      </c>
      <c r="AN60" s="59">
        <f ca="1">AVERAGE(OFFSET($AM$3,0,0,'Données projet'!$E$10+1,1))-AVERAGE(OFFSET($H$3,0,0,'Données projet'!$E$10+1,1))</f>
        <v>246.72166704460847</v>
      </c>
      <c r="AO60" s="59">
        <f t="shared" si="36"/>
        <v>145.54897745089966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16.177023187641215</v>
      </c>
      <c r="AW60" s="21">
        <f>EXP(-LN(2)/2)*AW59+(1-EXP(-LN(2)/2))/(LN(2)/2)*AQ60*AT60*VLOOKUP('Données projet'!$B$10,Paramètres!$A$1:$I$89,3,0)*0.475*44/12</f>
        <v>2.9233332136295345</v>
      </c>
      <c r="AX60" s="21">
        <f t="shared" si="6"/>
        <v>19.100356401270748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>
        <f>BD60*VLOOKUP('Données projet'!$B$11,Paramètres!$A$1:$I$89,3,0)*VLOOKUP('Données projet'!$B$11,Paramètres!$A$1:$I$89,5,0)</f>
        <v>0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88.478637356802039</v>
      </c>
      <c r="BJ60" s="59">
        <f t="shared" si="38"/>
        <v>239.55411297259155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21.691112204652487</v>
      </c>
      <c r="BQ60" s="21">
        <f>EXP(-LN(2)/25)*BQ59+(1-EXP(-LN(2)/25))/(LN(2)/25)*Calculateur!BL60*Calculateur!BN60*VLOOKUP('Données projet'!$B$11,Paramètres!$A$1:$I$89,3,0)*0.475*44/12</f>
        <v>3.4535758433462327</v>
      </c>
      <c r="BR60" s="21">
        <f>EXP(-LN(2)/2)*BR59+(1-EXP(-LN(2)/2))/(LN(2)/2)*BL60*BO60*VLOOKUP('Données projet'!$B$11,Paramètres!$A$1:$I$89,3,0)*0.475*44/12</f>
        <v>3.7111436243790607E-5</v>
      </c>
      <c r="BS60" s="22">
        <f t="shared" si="9"/>
        <v>25.144725159434962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6.5544871794871806</v>
      </c>
      <c r="BY60" s="12">
        <f>IF('Données projet'!$A$114&gt;35,BY59+BX60-CG59,IF(A60&lt;'Données projet'!$A$114,$BV$205^A60,IF(A60='Données projet'!$A$114,'Données projet'!$B$114,BY59+BX60-CG59)))</f>
        <v>140.13141025641031</v>
      </c>
      <c r="BZ60" s="13">
        <f>BY60*VLOOKUP('Données projet'!$B$12,Paramètres!$A$1:$I$89,3,0)*VLOOKUP('Données projet'!$B$12,Paramètres!$A$1:$I$89,5,0)</f>
        <v>126.79090000000004</v>
      </c>
      <c r="CA60" s="13">
        <f t="shared" si="39"/>
        <v>33.253755280938364</v>
      </c>
      <c r="CB60" s="20">
        <f t="shared" si="10"/>
        <v>278.74444128096769</v>
      </c>
      <c r="CC60" s="59">
        <f t="shared" si="11"/>
        <v>572.07777461430101</v>
      </c>
      <c r="CD60" s="59">
        <f ca="1">AVERAGE(OFFSET($CC$3,0,0,'Données projet'!$E$12+1,1))-AVERAGE(OFFSET($H$3,0,0,'Données projet'!$E$12+1,1))</f>
        <v>437.94387006020412</v>
      </c>
      <c r="CE60" s="59">
        <f t="shared" si="40"/>
        <v>213.95083535531376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15.727692307692312</v>
      </c>
      <c r="CT60" s="12">
        <f>IF('Données projet'!$A$140&gt;35,CT59+CS60-DB59,IF(A60&lt;'Données projet'!$A$140,$CQ$205^A60,IF(A60='Données projet'!$A$140,'Données projet'!$B$140,CT59+CS60-DB59)))</f>
        <v>355.45538461538467</v>
      </c>
      <c r="CU60" s="17">
        <f>CT60*VLOOKUP('Données projet'!$B$13,Paramètres!$A$1:$I$89,3,0)*VLOOKUP('Données projet'!$B$13,Paramètres!$A$1:$I$89,5,0)</f>
        <v>170.97404000000003</v>
      </c>
      <c r="CV60" s="13">
        <f t="shared" si="41"/>
        <v>43.308103551539006</v>
      </c>
      <c r="CW60" s="20">
        <f t="shared" si="13"/>
        <v>373.2080666855972</v>
      </c>
      <c r="CX60" s="59">
        <f t="shared" si="14"/>
        <v>666.54140001893052</v>
      </c>
      <c r="CY60" s="59">
        <f ca="1">AVERAGE(OFFSET($CX$3,0,0,'Données projet'!$E$13+1,1))-AVERAGE(OFFSET($H$3,0,0,'Données projet'!$E$13+1,1))</f>
        <v>258.42493116335032</v>
      </c>
      <c r="CZ60" s="59">
        <f t="shared" si="42"/>
        <v>102.46122697336466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16.856305973772152</v>
      </c>
      <c r="DH60" s="21">
        <f>EXP(-LN(2)/2)*DH59+(1-EXP(-LN(2)/2))/(LN(2)/2)*DB60*DE60*VLOOKUP('Données projet'!$B$13,Paramètres!$A$1:$I$89,3,0)*0.475*44/12</f>
        <v>2.2144624516248754</v>
      </c>
      <c r="DI60" s="22">
        <f t="shared" si="15"/>
        <v>19.070768425397027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</v>
      </c>
      <c r="DO60" s="12">
        <f>IF('Données projet'!$A$166&gt;35,DO59+DN60-DW59,IF(A60&lt;'Données projet'!$A$166,$DL$205^A60,IF(A60='Données projet'!$A$166,'Données projet'!$B$166,DO59+DN60-DW59)))</f>
        <v>207.00000000000003</v>
      </c>
      <c r="DP60" s="17">
        <f>DO60*VLOOKUP('Données projet'!$B$14,Paramètres!$A$1:$I$89,3,0)*VLOOKUP('Données projet'!$B$14,Paramètres!$A$1:$I$89,5,0)</f>
        <v>180.83520000000004</v>
      </c>
      <c r="DQ60" s="13">
        <f t="shared" si="43"/>
        <v>45.507952685945142</v>
      </c>
      <c r="DR60" s="20">
        <f t="shared" si="16"/>
        <v>394.21432426135453</v>
      </c>
      <c r="DS60" s="59">
        <f t="shared" si="17"/>
        <v>687.54765759468785</v>
      </c>
      <c r="DT60" s="59">
        <f ca="1">AVERAGE(OFFSET($DS$3,0,0,'Données projet'!$E$14+1,1))-AVERAGE(OFFSET($H$3,0,0,'Données projet'!$E$14+1,1))</f>
        <v>354.24684313982857</v>
      </c>
      <c r="DU60" s="59">
        <f t="shared" si="44"/>
        <v>322.65043486962185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10.54787695289134</v>
      </c>
      <c r="EB60" s="21">
        <f>EXP(-LN(2)/25)*EB59+(1-EXP(-LN(2)/25))/(LN(2)/25)*Calculateur!DW60*Calculateur!DY60*VLOOKUP('Données projet'!$B$14,Paramètres!$A$1:$I$89,3,0)*0.475*44/12</f>
        <v>16.474353457593516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27.022230410484855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12.05461538461538</v>
      </c>
      <c r="N61" s="13">
        <f>IF('Données projet'!$A$36&gt;35,N60+M61-V60,IF(A61&lt;'Données projet'!$A$36,$K$205^A61,IF(A61='Données projet'!$A$36,'Données projet'!$B$36,N60+M61-V60)))</f>
        <v>392.21692307692314</v>
      </c>
      <c r="O61" s="13">
        <f>N61*VLOOKUP('Données projet'!$B$9,Paramètres!$A$1:$I$89,3,0)*VLOOKUP('Données projet'!$B$9,Paramètres!$A$1:$I$89,5,0)</f>
        <v>234.54572000000007</v>
      </c>
      <c r="P61" s="13">
        <f t="shared" si="33"/>
        <v>57.264450118616011</v>
      </c>
      <c r="Q61" s="20">
        <f t="shared" si="53"/>
        <v>508.23604628992302</v>
      </c>
      <c r="R61" s="59">
        <f t="shared" si="0"/>
        <v>801.56937962325628</v>
      </c>
      <c r="S61" s="59">
        <f ca="1">AVERAGE(OFFSET($R$3,0,0,'Données projet'!$E$9+1,1))-AVERAGE(OFFSET($H$3,0,0,'Données projet'!$E$9+1,1))</f>
        <v>355.09162485318728</v>
      </c>
      <c r="T61" s="59">
        <f t="shared" si="34"/>
        <v>320.06572891923685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49.09056878020445</v>
      </c>
      <c r="AA61" s="21">
        <f>EXP(-LN(2)/25)*AA60+(1-EXP(-LN(2)/25))/(LN(2)/25)*Calculateur!V61*Calculateur!X61*VLOOKUP('Données projet'!$B$9,Paramètres!$A$1:$I$89,3,0)*0.475*44/12</f>
        <v>13.578506862705144</v>
      </c>
      <c r="AB61" s="21">
        <f>EXP(-LN(2)/2)*AB60+(1-EXP(-LN(2)/2))/(LN(2)/2)*V61*Y61*VLOOKUP('Données projet'!$B$9,Paramètres!$A$1:$I$89,3,0)*0.475*44/12</f>
        <v>2.7897146521891591</v>
      </c>
      <c r="AC61" s="22">
        <f t="shared" si="3"/>
        <v>65.458790295098751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10.763461538461542</v>
      </c>
      <c r="AI61" s="13">
        <f>IF('Données projet'!$A$62&gt;35,AI60+AH61-AQ60,IF(A61&lt;'Données projet'!$A$62,$AF$205^A61,IF(A61='Données projet'!$A$62,'Données projet'!$B$62,AI60+AH61-AQ60)))</f>
        <v>296.875</v>
      </c>
      <c r="AJ61" s="13">
        <f>AI61*VLOOKUP('Données projet'!$B$10,Paramètres!$A$1:$I$89,3,0)*VLOOKUP('Données projet'!$B$10,Paramètres!$A$1:$I$89,5,0)</f>
        <v>138.9375</v>
      </c>
      <c r="AK61" s="13">
        <f t="shared" si="35"/>
        <v>36.053493849661677</v>
      </c>
      <c r="AL61" s="20">
        <f t="shared" si="4"/>
        <v>304.77598095482739</v>
      </c>
      <c r="AM61" s="59">
        <f t="shared" si="5"/>
        <v>598.1093142881607</v>
      </c>
      <c r="AN61" s="59">
        <f ca="1">AVERAGE(OFFSET($AM$3,0,0,'Données projet'!$E$10+1,1))-AVERAGE(OFFSET($H$3,0,0,'Données projet'!$E$10+1,1))</f>
        <v>246.72166704460847</v>
      </c>
      <c r="AO61" s="59">
        <f t="shared" si="36"/>
        <v>145.54897745089966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15.734661637862489</v>
      </c>
      <c r="AW61" s="21">
        <f>EXP(-LN(2)/2)*AW60+(1-EXP(-LN(2)/2))/(LN(2)/2)*AQ61*AT61*VLOOKUP('Données projet'!$B$10,Paramètres!$A$1:$I$89,3,0)*0.475*44/12</f>
        <v>2.067108739025306</v>
      </c>
      <c r="AX61" s="21">
        <f t="shared" si="6"/>
        <v>17.801770376887795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>
        <f>BD61*VLOOKUP('Données projet'!$B$11,Paramètres!$A$1:$I$89,3,0)*VLOOKUP('Données projet'!$B$11,Paramètres!$A$1:$I$89,5,0)</f>
        <v>0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88.478637356802039</v>
      </c>
      <c r="BJ61" s="59">
        <f t="shared" si="38"/>
        <v>239.55411297259155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21.265762724591315</v>
      </c>
      <c r="BQ61" s="21">
        <f>EXP(-LN(2)/25)*BQ60+(1-EXP(-LN(2)/25))/(LN(2)/25)*Calculateur!BL61*Calculateur!BN61*VLOOKUP('Données projet'!$B$11,Paramètres!$A$1:$I$89,3,0)*0.475*44/12</f>
        <v>3.3591376302942697</v>
      </c>
      <c r="BR61" s="21">
        <f>EXP(-LN(2)/2)*BR60+(1-EXP(-LN(2)/2))/(LN(2)/2)*BL61*BO61*VLOOKUP('Données projet'!$B$11,Paramètres!$A$1:$I$89,3,0)*0.475*44/12</f>
        <v>2.6241748227556554E-5</v>
      </c>
      <c r="BS61" s="22">
        <f t="shared" si="9"/>
        <v>24.624926596633813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6.5544871794871806</v>
      </c>
      <c r="BY61" s="12">
        <f>IF('Données projet'!$A$114&gt;35,BY60+BX61-CG60,IF(A61&lt;'Données projet'!$A$114,$BV$205^A61,IF(A61='Données projet'!$A$114,'Données projet'!$B$114,BY60+BX61-CG60)))</f>
        <v>146.68589743589749</v>
      </c>
      <c r="BZ61" s="13">
        <f>BY61*VLOOKUP('Données projet'!$B$12,Paramètres!$A$1:$I$89,3,0)*VLOOKUP('Données projet'!$B$12,Paramètres!$A$1:$I$89,5,0)</f>
        <v>132.72140000000005</v>
      </c>
      <c r="CA61" s="13">
        <f t="shared" si="39"/>
        <v>34.624434731404804</v>
      </c>
      <c r="CB61" s="20">
        <f t="shared" si="10"/>
        <v>291.46066215719679</v>
      </c>
      <c r="CC61" s="59">
        <f t="shared" si="11"/>
        <v>584.79399549053005</v>
      </c>
      <c r="CD61" s="59">
        <f ca="1">AVERAGE(OFFSET($CC$3,0,0,'Données projet'!$E$12+1,1))-AVERAGE(OFFSET($H$3,0,0,'Données projet'!$E$12+1,1))</f>
        <v>437.94387006020412</v>
      </c>
      <c r="CE61" s="59">
        <f t="shared" si="40"/>
        <v>213.95083535531376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15.727692307692312</v>
      </c>
      <c r="CT61" s="12">
        <f>IF('Données projet'!$A$140&gt;35,CT60+CS61-DB60,IF(A61&lt;'Données projet'!$A$140,$CQ$205^A61,IF(A61='Données projet'!$A$140,'Données projet'!$B$140,CT60+CS61-DB60)))</f>
        <v>371.18307692307701</v>
      </c>
      <c r="CU61" s="17">
        <f>CT61*VLOOKUP('Données projet'!$B$13,Paramètres!$A$1:$I$89,3,0)*VLOOKUP('Données projet'!$B$13,Paramètres!$A$1:$I$89,5,0)</f>
        <v>178.53906000000003</v>
      </c>
      <c r="CV61" s="13">
        <f t="shared" si="41"/>
        <v>44.996999931380884</v>
      </c>
      <c r="CW61" s="20">
        <f t="shared" si="13"/>
        <v>389.32530438048843</v>
      </c>
      <c r="CX61" s="59">
        <f t="shared" si="14"/>
        <v>682.65863771382169</v>
      </c>
      <c r="CY61" s="59">
        <f ca="1">AVERAGE(OFFSET($CX$3,0,0,'Données projet'!$E$13+1,1))-AVERAGE(OFFSET($H$3,0,0,'Données projet'!$E$13+1,1))</f>
        <v>258.42493116335032</v>
      </c>
      <c r="CZ61" s="59">
        <f t="shared" si="42"/>
        <v>102.46122697336466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16.395369400484746</v>
      </c>
      <c r="DH61" s="21">
        <f>EXP(-LN(2)/2)*DH60+(1-EXP(-LN(2)/2))/(LN(2)/2)*DB61*DE61*VLOOKUP('Données projet'!$B$13,Paramètres!$A$1:$I$89,3,0)*0.475*44/12</f>
        <v>1.5658614162269364</v>
      </c>
      <c r="DI61" s="22">
        <f t="shared" si="15"/>
        <v>17.961230816711684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</v>
      </c>
      <c r="DO61" s="12">
        <f>IF('Données projet'!$A$166&gt;35,DO60+DN61-DW60,IF(A61&lt;'Données projet'!$A$166,$DL$205^A61,IF(A61='Données projet'!$A$166,'Données projet'!$B$166,DO60+DN61-DW60)))</f>
        <v>213.00000000000003</v>
      </c>
      <c r="DP61" s="17">
        <f>DO61*VLOOKUP('Données projet'!$B$14,Paramètres!$A$1:$I$89,3,0)*VLOOKUP('Données projet'!$B$14,Paramètres!$A$1:$I$89,5,0)</f>
        <v>186.07680000000005</v>
      </c>
      <c r="DQ61" s="13">
        <f t="shared" si="43"/>
        <v>46.671538591528673</v>
      </c>
      <c r="DR61" s="20">
        <f t="shared" si="16"/>
        <v>405.37002304691242</v>
      </c>
      <c r="DS61" s="59">
        <f t="shared" si="17"/>
        <v>698.70335638024574</v>
      </c>
      <c r="DT61" s="59">
        <f ca="1">AVERAGE(OFFSET($DS$3,0,0,'Données projet'!$E$14+1,1))-AVERAGE(OFFSET($H$3,0,0,'Données projet'!$E$14+1,1))</f>
        <v>354.24684313982857</v>
      </c>
      <c r="DU61" s="59">
        <f t="shared" si="44"/>
        <v>322.65043486962185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10.341039519414819</v>
      </c>
      <c r="EB61" s="21">
        <f>EXP(-LN(2)/25)*EB60+(1-EXP(-LN(2)/25))/(LN(2)/25)*Calculateur!DW61*Calculateur!DY61*VLOOKUP('Données projet'!$B$14,Paramètres!$A$1:$I$89,3,0)*0.475*44/12</f>
        <v>16.023861395947026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26.364900915361844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12.05461538461538</v>
      </c>
      <c r="N62" s="13">
        <f>IF('Données projet'!$A$36&gt;35,N61+M62-V61,IF(A62&lt;'Données projet'!$A$36,$K$205^A62,IF(A62='Données projet'!$A$36,'Données projet'!$B$36,N61+M62-V61)))</f>
        <v>404.27153846153851</v>
      </c>
      <c r="O62" s="13">
        <f>N62*VLOOKUP('Données projet'!$B$9,Paramètres!$A$1:$I$89,3,0)*VLOOKUP('Données projet'!$B$9,Paramètres!$A$1:$I$89,5,0)</f>
        <v>241.75438000000005</v>
      </c>
      <c r="P62" s="13">
        <f t="shared" si="33"/>
        <v>58.816833733689712</v>
      </c>
      <c r="Q62" s="20">
        <f t="shared" si="53"/>
        <v>523.49486391950961</v>
      </c>
      <c r="R62" s="59">
        <f t="shared" si="0"/>
        <v>816.82819725284298</v>
      </c>
      <c r="S62" s="59">
        <f ca="1">AVERAGE(OFFSET($R$3,0,0,'Données projet'!$E$9+1,1))-AVERAGE(OFFSET($H$3,0,0,'Données projet'!$E$9+1,1))</f>
        <v>355.09162485318728</v>
      </c>
      <c r="T62" s="59">
        <f t="shared" si="34"/>
        <v>320.06572891923685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48.12793266871504</v>
      </c>
      <c r="AA62" s="21">
        <f>EXP(-LN(2)/25)*AA61+(1-EXP(-LN(2)/25))/(LN(2)/25)*Calculateur!V62*Calculateur!X62*VLOOKUP('Données projet'!$B$9,Paramètres!$A$1:$I$89,3,0)*0.475*44/12</f>
        <v>13.207201878481829</v>
      </c>
      <c r="AB62" s="21">
        <f>EXP(-LN(2)/2)*AB61+(1-EXP(-LN(2)/2))/(LN(2)/2)*V62*Y62*VLOOKUP('Données projet'!$B$9,Paramètres!$A$1:$I$89,3,0)*0.475*44/12</f>
        <v>1.9726261481384255</v>
      </c>
      <c r="AC62" s="22">
        <f t="shared" si="3"/>
        <v>63.307760695335297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10.763461538461542</v>
      </c>
      <c r="AI62" s="13">
        <f>IF('Données projet'!$A$62&gt;35,AI61+AH62-AQ61,IF(A62&lt;'Données projet'!$A$62,$AF$205^A62,IF(A62='Données projet'!$A$62,'Données projet'!$B$62,AI61+AH62-AQ61)))</f>
        <v>307.63846153846157</v>
      </c>
      <c r="AJ62" s="13">
        <f>AI62*VLOOKUP('Données projet'!$B$10,Paramètres!$A$1:$I$89,3,0)*VLOOKUP('Données projet'!$B$10,Paramètres!$A$1:$I$89,5,0)</f>
        <v>143.97480000000002</v>
      </c>
      <c r="AK62" s="13">
        <f t="shared" si="35"/>
        <v>37.206087411055172</v>
      </c>
      <c r="AL62" s="20">
        <f t="shared" si="4"/>
        <v>315.55671224092112</v>
      </c>
      <c r="AM62" s="59">
        <f t="shared" si="5"/>
        <v>608.89004557425437</v>
      </c>
      <c r="AN62" s="59">
        <f ca="1">AVERAGE(OFFSET($AM$3,0,0,'Données projet'!$E$10+1,1))-AVERAGE(OFFSET($H$3,0,0,'Données projet'!$E$10+1,1))</f>
        <v>246.72166704460847</v>
      </c>
      <c r="AO62" s="59">
        <f t="shared" si="36"/>
        <v>145.54897745089966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15.304396487925246</v>
      </c>
      <c r="AW62" s="21">
        <f>EXP(-LN(2)/2)*AW61+(1-EXP(-LN(2)/2))/(LN(2)/2)*AQ62*AT62*VLOOKUP('Données projet'!$B$10,Paramètres!$A$1:$I$89,3,0)*0.475*44/12</f>
        <v>1.4616666068147672</v>
      </c>
      <c r="AX62" s="21">
        <f t="shared" si="6"/>
        <v>16.766063094740012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>
        <f>BD62*VLOOKUP('Données projet'!$B$11,Paramètres!$A$1:$I$89,3,0)*VLOOKUP('Données projet'!$B$11,Paramètres!$A$1:$I$89,5,0)</f>
        <v>0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88.478637356802039</v>
      </c>
      <c r="BJ62" s="59">
        <f t="shared" si="38"/>
        <v>239.55411297259155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20.848754088396579</v>
      </c>
      <c r="BQ62" s="21">
        <f>EXP(-LN(2)/25)*BQ61+(1-EXP(-LN(2)/25))/(LN(2)/25)*Calculateur!BL62*Calculateur!BN62*VLOOKUP('Données projet'!$B$11,Paramètres!$A$1:$I$89,3,0)*0.475*44/12</f>
        <v>3.2672818351445025</v>
      </c>
      <c r="BR62" s="21">
        <f>EXP(-LN(2)/2)*BR61+(1-EXP(-LN(2)/2))/(LN(2)/2)*BL62*BO62*VLOOKUP('Données projet'!$B$11,Paramètres!$A$1:$I$89,3,0)*0.475*44/12</f>
        <v>1.8555718121895304E-5</v>
      </c>
      <c r="BS62" s="22">
        <f t="shared" si="9"/>
        <v>24.116054479259201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6.5544871794871806</v>
      </c>
      <c r="BY62" s="12">
        <f>IF('Données projet'!$A$114&gt;35,BY61+BX62-CG61,IF(A62&lt;'Données projet'!$A$114,$BV$205^A62,IF(A62='Données projet'!$A$114,'Données projet'!$B$114,BY61+BX62-CG61)))</f>
        <v>153.24038461538467</v>
      </c>
      <c r="BZ62" s="13">
        <f>BY62*VLOOKUP('Données projet'!$B$12,Paramètres!$A$1:$I$89,3,0)*VLOOKUP('Données projet'!$B$12,Paramètres!$A$1:$I$89,5,0)</f>
        <v>138.65190000000004</v>
      </c>
      <c r="CA62" s="13">
        <f t="shared" si="39"/>
        <v>35.988001015960506</v>
      </c>
      <c r="CB62" s="20">
        <f t="shared" si="10"/>
        <v>304.16449426946457</v>
      </c>
      <c r="CC62" s="59">
        <f t="shared" si="11"/>
        <v>597.49782760279788</v>
      </c>
      <c r="CD62" s="59">
        <f ca="1">AVERAGE(OFFSET($CC$3,0,0,'Données projet'!$E$12+1,1))-AVERAGE(OFFSET($H$3,0,0,'Données projet'!$E$12+1,1))</f>
        <v>437.94387006020412</v>
      </c>
      <c r="CE62" s="59">
        <f t="shared" si="40"/>
        <v>213.95083535531376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15.727692307692312</v>
      </c>
      <c r="CT62" s="12">
        <f>IF('Données projet'!$A$140&gt;35,CT61+CS62-DB61,IF(A62&lt;'Données projet'!$A$140,$CQ$205^A62,IF(A62='Données projet'!$A$140,'Données projet'!$B$140,CT61+CS62-DB61)))</f>
        <v>386.91076923076935</v>
      </c>
      <c r="CU62" s="17">
        <f>CT62*VLOOKUP('Données projet'!$B$13,Paramètres!$A$1:$I$89,3,0)*VLOOKUP('Données projet'!$B$13,Paramètres!$A$1:$I$89,5,0)</f>
        <v>186.10408000000007</v>
      </c>
      <c r="CV62" s="13">
        <f t="shared" si="41"/>
        <v>46.677584426065835</v>
      </c>
      <c r="CW62" s="20">
        <f t="shared" si="13"/>
        <v>405.42806554206476</v>
      </c>
      <c r="CX62" s="59">
        <f t="shared" si="14"/>
        <v>698.76139887539807</v>
      </c>
      <c r="CY62" s="59">
        <f ca="1">AVERAGE(OFFSET($CX$3,0,0,'Données projet'!$E$13+1,1))-AVERAGE(OFFSET($H$3,0,0,'Données projet'!$E$13+1,1))</f>
        <v>258.42493116335032</v>
      </c>
      <c r="CZ62" s="59">
        <f t="shared" si="42"/>
        <v>102.46122697336466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15.947037162033487</v>
      </c>
      <c r="DH62" s="21">
        <f>EXP(-LN(2)/2)*DH61+(1-EXP(-LN(2)/2))/(LN(2)/2)*DB62*DE62*VLOOKUP('Données projet'!$B$13,Paramètres!$A$1:$I$89,3,0)*0.475*44/12</f>
        <v>1.1072312258124377</v>
      </c>
      <c r="DI62" s="22">
        <f t="shared" si="15"/>
        <v>17.054268387845923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</v>
      </c>
      <c r="DO62" s="12">
        <f>IF('Données projet'!$A$166&gt;35,DO61+DN62-DW61,IF(A62&lt;'Données projet'!$A$166,$DL$205^A62,IF(A62='Données projet'!$A$166,'Données projet'!$B$166,DO61+DN62-DW61)))</f>
        <v>219.00000000000003</v>
      </c>
      <c r="DP62" s="17">
        <f>DO62*VLOOKUP('Données projet'!$B$14,Paramètres!$A$1:$I$89,3,0)*VLOOKUP('Données projet'!$B$14,Paramètres!$A$1:$I$89,5,0)</f>
        <v>191.31840000000005</v>
      </c>
      <c r="DQ62" s="13">
        <f t="shared" si="43"/>
        <v>47.831314962098396</v>
      </c>
      <c r="DR62" s="20">
        <f t="shared" si="16"/>
        <v>416.51908689232141</v>
      </c>
      <c r="DS62" s="59">
        <f t="shared" si="17"/>
        <v>709.85242022565467</v>
      </c>
      <c r="DT62" s="59">
        <f ca="1">AVERAGE(OFFSET($DS$3,0,0,'Données projet'!$E$14+1,1))-AVERAGE(OFFSET($H$3,0,0,'Données projet'!$E$14+1,1))</f>
        <v>354.24684313982857</v>
      </c>
      <c r="DU62" s="59">
        <f t="shared" si="44"/>
        <v>322.65043486962185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10.138258041850396</v>
      </c>
      <c r="EB62" s="21">
        <f>EXP(-LN(2)/25)*EB61+(1-EXP(-LN(2)/25))/(LN(2)/25)*Calculateur!DW62*Calculateur!DY62*VLOOKUP('Données projet'!$B$14,Paramètres!$A$1:$I$89,3,0)*0.475*44/12</f>
        <v>15.585688063416606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25.723946105267004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12.05461538461538</v>
      </c>
      <c r="N63" s="13">
        <f>IF('Données projet'!$A$36&gt;35,N62+M63-V62,IF(A63&lt;'Données projet'!$A$36,$K$205^A63,IF(A63='Données projet'!$A$36,'Données projet'!$B$36,N62+M63-V62)))</f>
        <v>416.32615384615389</v>
      </c>
      <c r="O63" s="13">
        <f>N63*VLOOKUP('Données projet'!$B$9,Paramètres!$A$1:$I$89,3,0)*VLOOKUP('Données projet'!$B$9,Paramètres!$A$1:$I$89,5,0)</f>
        <v>248.96304000000006</v>
      </c>
      <c r="P63" s="13">
        <f t="shared" si="33"/>
        <v>60.363837788674616</v>
      </c>
      <c r="Q63" s="20">
        <f t="shared" si="53"/>
        <v>538.7443121486084</v>
      </c>
      <c r="R63" s="59">
        <f t="shared" si="0"/>
        <v>832.07764548194177</v>
      </c>
      <c r="S63" s="59">
        <f ca="1">AVERAGE(OFFSET($R$3,0,0,'Données projet'!$E$9+1,1))-AVERAGE(OFFSET($H$3,0,0,'Données projet'!$E$9+1,1))</f>
        <v>355.09162485318728</v>
      </c>
      <c r="T63" s="59">
        <f t="shared" si="34"/>
        <v>320.06572891923685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47.18417326422189</v>
      </c>
      <c r="AA63" s="21">
        <f>EXP(-LN(2)/25)*AA62+(1-EXP(-LN(2)/25))/(LN(2)/25)*Calculateur!V63*Calculateur!X63*VLOOKUP('Données projet'!$B$9,Paramètres!$A$1:$I$89,3,0)*0.475*44/12</f>
        <v>12.846050248578182</v>
      </c>
      <c r="AB63" s="21">
        <f>EXP(-LN(2)/2)*AB62+(1-EXP(-LN(2)/2))/(LN(2)/2)*V63*Y63*VLOOKUP('Données projet'!$B$9,Paramètres!$A$1:$I$89,3,0)*0.475*44/12</f>
        <v>1.3948573260945798</v>
      </c>
      <c r="AC63" s="22">
        <f t="shared" si="3"/>
        <v>61.425080838894651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10.763461538461542</v>
      </c>
      <c r="AI63" s="13">
        <f>IF('Données projet'!$A$62&gt;35,AI62+AH63-AQ62,IF(A63&lt;'Données projet'!$A$62,$AF$205^A63,IF(A63='Données projet'!$A$62,'Données projet'!$B$62,AI62+AH63-AQ62)))</f>
        <v>318.40192307692314</v>
      </c>
      <c r="AJ63" s="13">
        <f>AI63*VLOOKUP('Données projet'!$B$10,Paramètres!$A$1:$I$89,3,0)*VLOOKUP('Données projet'!$B$10,Paramètres!$A$1:$I$89,5,0)</f>
        <v>149.01210000000003</v>
      </c>
      <c r="AK63" s="13">
        <f t="shared" si="35"/>
        <v>38.353995535783497</v>
      </c>
      <c r="AL63" s="20">
        <f t="shared" si="4"/>
        <v>326.32928305815631</v>
      </c>
      <c r="AM63" s="59">
        <f t="shared" si="5"/>
        <v>619.66261639148956</v>
      </c>
      <c r="AN63" s="59">
        <f ca="1">AVERAGE(OFFSET($AM$3,0,0,'Données projet'!$E$10+1,1))-AVERAGE(OFFSET($H$3,0,0,'Données projet'!$E$10+1,1))</f>
        <v>246.72166704460847</v>
      </c>
      <c r="AO63" s="59">
        <f t="shared" si="36"/>
        <v>145.54897745089966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14.885896961139697</v>
      </c>
      <c r="AW63" s="21">
        <f>EXP(-LN(2)/2)*AW62+(1-EXP(-LN(2)/2))/(LN(2)/2)*AQ63*AT63*VLOOKUP('Données projet'!$B$10,Paramètres!$A$1:$I$89,3,0)*0.475*44/12</f>
        <v>1.033554369512653</v>
      </c>
      <c r="AX63" s="21">
        <f t="shared" si="6"/>
        <v>15.91945133065235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>
        <f>BD63*VLOOKUP('Données projet'!$B$11,Paramètres!$A$1:$I$89,3,0)*VLOOKUP('Données projet'!$B$11,Paramètres!$A$1:$I$89,5,0)</f>
        <v>0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88.478637356802039</v>
      </c>
      <c r="BJ63" s="59">
        <f t="shared" si="38"/>
        <v>239.55411297259155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20.439922737207468</v>
      </c>
      <c r="BQ63" s="21">
        <f>EXP(-LN(2)/25)*BQ62+(1-EXP(-LN(2)/25))/(LN(2)/25)*Calculateur!BL63*Calculateur!BN63*VLOOKUP('Données projet'!$B$11,Paramètres!$A$1:$I$89,3,0)*0.475*44/12</f>
        <v>3.1779378415435917</v>
      </c>
      <c r="BR63" s="21">
        <f>EXP(-LN(2)/2)*BR62+(1-EXP(-LN(2)/2))/(LN(2)/2)*BL63*BO63*VLOOKUP('Données projet'!$B$11,Paramètres!$A$1:$I$89,3,0)*0.475*44/12</f>
        <v>1.3120874113778277E-5</v>
      </c>
      <c r="BS63" s="22">
        <f t="shared" si="9"/>
        <v>23.617873699625175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159.7948717948718</v>
      </c>
      <c r="BW63" s="12">
        <f>VLOOKUP(A63,'Données projet'!$A$113:$I$133,9,0)</f>
        <v>6.5544871794871806</v>
      </c>
      <c r="BX63" s="12">
        <f t="array" ref="BX63">INDEX(BW:BW,MIN(IF(ISNUMBER(BW63:BW259),ROW(BW63:BW259),"")))</f>
        <v>6.5544871794871806</v>
      </c>
      <c r="BY63" s="12">
        <f>IF('Données projet'!$A$114&gt;35,BY62+BX63-CG62,IF(A63&lt;'Données projet'!$A$114,$BV$205^A63,IF(A63='Données projet'!$A$114,'Données projet'!$B$114,BY62+BX63-CG62)))</f>
        <v>159.79487179487185</v>
      </c>
      <c r="BZ63" s="13">
        <f>BY63*VLOOKUP('Données projet'!$B$12,Paramètres!$A$1:$I$89,3,0)*VLOOKUP('Données projet'!$B$12,Paramètres!$A$1:$I$89,5,0)</f>
        <v>144.58240000000006</v>
      </c>
      <c r="CA63" s="13">
        <f t="shared" si="39"/>
        <v>37.344793164426221</v>
      </c>
      <c r="CB63" s="20">
        <f t="shared" si="10"/>
        <v>316.85652809470906</v>
      </c>
      <c r="CC63" s="59">
        <f t="shared" si="11"/>
        <v>610.18986142804238</v>
      </c>
      <c r="CD63" s="59">
        <f ca="1">AVERAGE(OFFSET($CC$3,0,0,'Données projet'!$E$12+1,1))-AVERAGE(OFFSET($H$3,0,0,'Données projet'!$E$12+1,1))</f>
        <v>437.94387006020412</v>
      </c>
      <c r="CE63" s="59">
        <f t="shared" si="40"/>
        <v>213.95083535531376</v>
      </c>
      <c r="CF63" s="15">
        <f>IF(ISNA(VLOOKUP(A63,'Données projet'!$A$113:$I$133,3,0)),0,VLOOKUP(A63,'Données projet'!$A$113:$I$133,3,0))</f>
        <v>4</v>
      </c>
      <c r="CG63" s="15">
        <f>IF(ISNA(VLOOKUP(A63,'Données projet'!$A$113:$I$133,4,0)),0,VLOOKUP(A63,'Données projet'!$A$113:$I$133,4,0))</f>
        <v>32.71153846153846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402.63846153846157</v>
      </c>
      <c r="CR63" s="12">
        <f>VLOOKUP(A63,'Données projet'!$A$139:$I$159,9,0)</f>
        <v>15.727692307692312</v>
      </c>
      <c r="CS63" s="12">
        <f t="array" ref="CS63">INDEX(CR:CR,MIN(IF(ISNUMBER(CR63:CR259),ROW(CR63:CR259),"")))</f>
        <v>15.727692307692312</v>
      </c>
      <c r="CT63" s="12">
        <f>IF('Données projet'!$A$140&gt;35,CT62+CS63-DB62,IF(A63&lt;'Données projet'!$A$140,$CQ$205^A63,IF(A63='Données projet'!$A$140,'Données projet'!$B$140,CT62+CS63-DB62)))</f>
        <v>402.63846153846168</v>
      </c>
      <c r="CU63" s="17">
        <f>CT63*VLOOKUP('Données projet'!$B$13,Paramètres!$A$1:$I$89,3,0)*VLOOKUP('Données projet'!$B$13,Paramètres!$A$1:$I$89,5,0)</f>
        <v>193.66910000000007</v>
      </c>
      <c r="CV63" s="13">
        <f t="shared" si="41"/>
        <v>48.350233557615013</v>
      </c>
      <c r="CW63" s="20">
        <f t="shared" si="13"/>
        <v>421.51700594617961</v>
      </c>
      <c r="CX63" s="59">
        <f t="shared" si="14"/>
        <v>714.85033927951292</v>
      </c>
      <c r="CY63" s="59">
        <f ca="1">AVERAGE(OFFSET($CX$3,0,0,'Données projet'!$E$13+1,1))-AVERAGE(OFFSET($H$3,0,0,'Données projet'!$E$13+1,1))</f>
        <v>258.42493116335032</v>
      </c>
      <c r="CZ63" s="59">
        <f t="shared" si="42"/>
        <v>102.46122697336466</v>
      </c>
      <c r="DA63" s="15">
        <f>IF(ISNA(VLOOKUP(A63,'Données projet'!$A$139:$I$159,3,0)),0,VLOOKUP(A63,'Données projet'!$A$139:$I$159,3,0))</f>
        <v>2</v>
      </c>
      <c r="DB63" s="15">
        <f>IF(ISNA(VLOOKUP(A63,'Données projet'!$A$139:$I$159,4,0)),0,VLOOKUP(A63,'Données projet'!$A$139:$I$159,4,0))</f>
        <v>133.13846153846154</v>
      </c>
      <c r="DC63" s="16">
        <f>IF(ISNA(VLOOKUP(A63,'Données projet'!$A$139:$I$159,5,0)),0%,VLOOKUP(A63,'Données projet'!$A$139:$I$159,5,0)*VLOOKUP('Données projet'!$B$13,Paramètres!$A$1:$I$89,7,0))</f>
        <v>0.38500000000000001</v>
      </c>
      <c r="DD63" s="16">
        <f>IF(ISNA(VLOOKUP(A63,'Données projet'!$A$139:$I$159,6,0)),0%,VLOOKUP(A63,'Données projet'!$A$139:$I$159,6,0)*VLOOKUP('Données projet'!$B$13,Paramètres!$A$1:$I$89,7,0))</f>
        <v>9.240000000000001E-2</v>
      </c>
      <c r="DE63" s="16">
        <f>IF(ISNA(VLOOKUP(A63,'Données projet'!$A$139:$I$159,7,0)),0%,VLOOKUP(A63,'Données projet'!$A$139:$I$159,7,0))</f>
        <v>0.13200000000000001</v>
      </c>
      <c r="DF63" s="21">
        <f>EXP(-LN(2)/35)*DF62+(1-EXP(-LN(2)/35))/(LN(2)/35)*DB63*DC63*VLOOKUP('Données projet'!$B$13,Paramètres!$A$1:$I$89,3,0)*0.475*44/12</f>
        <v>32.706772983717904</v>
      </c>
      <c r="DG63" s="21">
        <f>EXP(-LN(2)/25)*DG62+(1-EXP(-LN(2)/25))/(LN(2)/25)*Calculateur!DB63*Calculateur!DD63*VLOOKUP('Données projet'!$B$13,Paramètres!$A$1:$I$89,3,0)*0.475*44/12</f>
        <v>23.32968314171308</v>
      </c>
      <c r="DH63" s="21">
        <f>EXP(-LN(2)/2)*DH62+(1-EXP(-LN(2)/2))/(LN(2)/2)*DB63*DE63*VLOOKUP('Données projet'!$B$13,Paramètres!$A$1:$I$89,3,0)*0.475*44/12</f>
        <v>10.353947562282682</v>
      </c>
      <c r="DI63" s="22">
        <f t="shared" si="15"/>
        <v>66.390403687713672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225</v>
      </c>
      <c r="DM63" s="12">
        <f>VLOOKUP(A63,'Données projet'!$A$165:$I$185,9,0)</f>
        <v>6</v>
      </c>
      <c r="DN63" s="12">
        <f t="array" ref="DN63">INDEX(DM:DM,MIN(IF(ISNUMBER(DM63:DM259),ROW(DM63:DM259),"")))</f>
        <v>6</v>
      </c>
      <c r="DO63" s="12">
        <f>IF('Données projet'!$A$166&gt;35,DO62+DN63-DW62,IF(A63&lt;'Données projet'!$A$166,$DL$205^A63,IF(A63='Données projet'!$A$166,'Données projet'!$B$166,DO62+DN63-DW62)))</f>
        <v>225.00000000000003</v>
      </c>
      <c r="DP63" s="17">
        <f>DO63*VLOOKUP('Données projet'!$B$14,Paramètres!$A$1:$I$89,3,0)*VLOOKUP('Données projet'!$B$14,Paramètres!$A$1:$I$89,5,0)</f>
        <v>196.56000000000006</v>
      </c>
      <c r="DQ63" s="13">
        <f t="shared" si="43"/>
        <v>48.987398161128134</v>
      </c>
      <c r="DR63" s="20">
        <f t="shared" si="16"/>
        <v>427.66171846396492</v>
      </c>
      <c r="DS63" s="59">
        <f t="shared" si="17"/>
        <v>720.99505179729817</v>
      </c>
      <c r="DT63" s="59">
        <f ca="1">AVERAGE(OFFSET($DS$3,0,0,'Données projet'!$E$14+1,1))-AVERAGE(OFFSET($H$3,0,0,'Données projet'!$E$14+1,1))</f>
        <v>354.24684313982857</v>
      </c>
      <c r="DU63" s="59">
        <f t="shared" si="44"/>
        <v>322.65043486962185</v>
      </c>
      <c r="DV63" s="15">
        <f>IF(ISNA(VLOOKUP(A63,'Données projet'!$A$165:$I$185,3,0)),0,VLOOKUP(A63,'Données projet'!$A$165:$I$185,3,0))</f>
        <v>9</v>
      </c>
      <c r="DW63" s="15" t="str">
        <f>IF(ISNA(VLOOKUP(A63,'Données projet'!$A$165:$I$185,4,0)),0,VLOOKUP(A63,'Données projet'!$A$165:$I$185,4,0))</f>
        <v>21</v>
      </c>
      <c r="DX63" s="16">
        <f>IF(ISNA(VLOOKUP(A63,'Données projet'!$A$165:$I$185,5,0)),0%,VLOOKUP(A63,'Données projet'!$A$165:$I$185,5,0)*VLOOKUP('Données projet'!$B$14,Paramètres!$A$1:$I$89,7,0))</f>
        <v>0.215</v>
      </c>
      <c r="DY63" s="16">
        <f>IF(ISNA(VLOOKUP(A63,'Données projet'!$A$165:$I$185,6,0)),0%,VLOOKUP(A63,'Données projet'!$A$165:$I$185,6,0)*VLOOKUP('Données projet'!$B$14,Paramètres!$A$1:$I$89,7,0))</f>
        <v>0.17200000000000001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14.299764225249856</v>
      </c>
      <c r="EB63" s="21">
        <f>EXP(-LN(2)/25)*EB62+(1-EXP(-LN(2)/25))/(LN(2)/25)*Calculateur!DW63*Calculateur!DY63*VLOOKUP('Données projet'!$B$14,Paramètres!$A$1:$I$89,3,0)*0.475*44/12</f>
        <v>18.634011030197261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32.933775255447117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12.05461538461538</v>
      </c>
      <c r="N64" s="13">
        <f>IF('Données projet'!$A$36&gt;35,N63+M64-V63,IF(A64&lt;'Données projet'!$A$36,$K$205^A64,IF(A64='Données projet'!$A$36,'Données projet'!$B$36,N63+M64-V63)))</f>
        <v>428.38076923076926</v>
      </c>
      <c r="O64" s="13">
        <f>N64*VLOOKUP('Données projet'!$B$9,Paramètres!$A$1:$I$89,3,0)*VLOOKUP('Données projet'!$B$9,Paramètres!$A$1:$I$89,5,0)</f>
        <v>256.17170000000004</v>
      </c>
      <c r="P64" s="13">
        <f t="shared" si="33"/>
        <v>61.90563593470165</v>
      </c>
      <c r="Q64" s="20">
        <f t="shared" si="53"/>
        <v>553.98469341960538</v>
      </c>
      <c r="R64" s="59">
        <f t="shared" si="0"/>
        <v>847.31802675293875</v>
      </c>
      <c r="S64" s="59">
        <f ca="1">AVERAGE(OFFSET($R$3,0,0,'Données projet'!$E$9+1,1))-AVERAGE(OFFSET($H$3,0,0,'Données projet'!$E$9+1,1))</f>
        <v>355.09162485318728</v>
      </c>
      <c r="T64" s="59">
        <f t="shared" si="34"/>
        <v>320.06572891923685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46.258920406014447</v>
      </c>
      <c r="AA64" s="21">
        <f>EXP(-LN(2)/25)*AA63+(1-EXP(-LN(2)/25))/(LN(2)/25)*Calculateur!V64*Calculateur!X64*VLOOKUP('Données projet'!$B$9,Paramètres!$A$1:$I$89,3,0)*0.475*44/12</f>
        <v>12.49477432898639</v>
      </c>
      <c r="AB64" s="21">
        <f>EXP(-LN(2)/2)*AB63+(1-EXP(-LN(2)/2))/(LN(2)/2)*V64*Y64*VLOOKUP('Données projet'!$B$9,Paramètres!$A$1:$I$89,3,0)*0.475*44/12</f>
        <v>0.98631307406921287</v>
      </c>
      <c r="AC64" s="22">
        <f t="shared" si="3"/>
        <v>59.74000780907005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10.763461538461542</v>
      </c>
      <c r="AI64" s="13">
        <f>IF('Données projet'!$A$62&gt;35,AI63+AH64-AQ63,IF(A64&lt;'Données projet'!$A$62,$AF$205^A64,IF(A64='Données projet'!$A$62,'Données projet'!$B$62,AI63+AH64-AQ63)))</f>
        <v>329.16538461538471</v>
      </c>
      <c r="AJ64" s="13">
        <f>AI64*VLOOKUP('Données projet'!$B$10,Paramètres!$A$1:$I$89,3,0)*VLOOKUP('Données projet'!$B$10,Paramètres!$A$1:$I$89,5,0)</f>
        <v>154.04940000000005</v>
      </c>
      <c r="AK64" s="13">
        <f t="shared" si="35"/>
        <v>39.497394770746702</v>
      </c>
      <c r="AL64" s="20">
        <f t="shared" si="4"/>
        <v>337.09400089238392</v>
      </c>
      <c r="AM64" s="59">
        <f t="shared" si="5"/>
        <v>630.42733422571723</v>
      </c>
      <c r="AN64" s="59">
        <f ca="1">AVERAGE(OFFSET($AM$3,0,0,'Données projet'!$E$10+1,1))-AVERAGE(OFFSET($H$3,0,0,'Données projet'!$E$10+1,1))</f>
        <v>246.72166704460847</v>
      </c>
      <c r="AO64" s="59">
        <f t="shared" si="36"/>
        <v>145.54897745089966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14.478841325922032</v>
      </c>
      <c r="AW64" s="21">
        <f>EXP(-LN(2)/2)*AW63+(1-EXP(-LN(2)/2))/(LN(2)/2)*AQ64*AT64*VLOOKUP('Données projet'!$B$10,Paramètres!$A$1:$I$89,3,0)*0.475*44/12</f>
        <v>0.73083330340738362</v>
      </c>
      <c r="AX64" s="21">
        <f t="shared" si="6"/>
        <v>15.209674629329415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88.478637356802039</v>
      </c>
      <c r="BJ64" s="59">
        <f t="shared" si="38"/>
        <v>239.55411297259155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20.039108319452673</v>
      </c>
      <c r="BQ64" s="21">
        <f>EXP(-LN(2)/25)*BQ63+(1-EXP(-LN(2)/25))/(LN(2)/25)*Calculateur!BL64*Calculateur!BN64*VLOOKUP('Données projet'!$B$11,Paramètres!$A$1:$I$89,3,0)*0.475*44/12</f>
        <v>3.0910369641460944</v>
      </c>
      <c r="BR64" s="21">
        <f>EXP(-LN(2)/2)*BR63+(1-EXP(-LN(2)/2))/(LN(2)/2)*BL64*BO64*VLOOKUP('Données projet'!$B$11,Paramètres!$A$1:$I$89,3,0)*0.475*44/12</f>
        <v>9.2778590609476519E-6</v>
      </c>
      <c r="BS64" s="22">
        <f t="shared" si="9"/>
        <v>23.130154561457829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6.4078525641025657</v>
      </c>
      <c r="BY64" s="12">
        <f>IF('Données projet'!$A$114&gt;35,BY63+BX64-CG63,IF(A64&lt;'Données projet'!$A$114,$BV$205^A64,IF(A64='Données projet'!$A$114,'Données projet'!$B$114,BY63+BX64-CG63)))</f>
        <v>133.49118589743597</v>
      </c>
      <c r="BZ64" s="13">
        <f>BY64*VLOOKUP('Données projet'!$B$12,Paramètres!$A$1:$I$89,3,0)*VLOOKUP('Données projet'!$B$12,Paramètres!$A$1:$I$89,5,0)</f>
        <v>120.78282500000005</v>
      </c>
      <c r="CA64" s="13">
        <f t="shared" si="39"/>
        <v>31.857511217053343</v>
      </c>
      <c r="CB64" s="20">
        <f t="shared" si="10"/>
        <v>265.8485855780346</v>
      </c>
      <c r="CC64" s="59">
        <f t="shared" si="11"/>
        <v>559.18191891136792</v>
      </c>
      <c r="CD64" s="59">
        <f ca="1">AVERAGE(OFFSET($CC$3,0,0,'Données projet'!$E$12+1,1))-AVERAGE(OFFSET($H$3,0,0,'Données projet'!$E$12+1,1))</f>
        <v>437.94387006020412</v>
      </c>
      <c r="CE64" s="59">
        <f t="shared" si="40"/>
        <v>213.95083535531376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12.440000000000003</v>
      </c>
      <c r="CT64" s="12">
        <f>IF('Données projet'!$A$140&gt;35,CT63+CS64-DB63,IF(A64&lt;'Données projet'!$A$140,$CQ$205^A64,IF(A64='Données projet'!$A$140,'Données projet'!$B$140,CT63+CS64-DB63)))</f>
        <v>281.94000000000017</v>
      </c>
      <c r="CU64" s="17">
        <f>CT64*VLOOKUP('Données projet'!$B$13,Paramètres!$A$1:$I$89,3,0)*VLOOKUP('Données projet'!$B$13,Paramètres!$A$1:$I$89,5,0)</f>
        <v>135.61314000000007</v>
      </c>
      <c r="CV64" s="13">
        <f t="shared" si="41"/>
        <v>35.290182998454078</v>
      </c>
      <c r="CW64" s="20">
        <f t="shared" si="13"/>
        <v>297.65662088897426</v>
      </c>
      <c r="CX64" s="59">
        <f t="shared" si="14"/>
        <v>590.98995422230757</v>
      </c>
      <c r="CY64" s="59">
        <f ca="1">AVERAGE(OFFSET($CX$3,0,0,'Données projet'!$E$13+1,1))-AVERAGE(OFFSET($H$3,0,0,'Données projet'!$E$13+1,1))</f>
        <v>258.42493116335032</v>
      </c>
      <c r="CZ64" s="59">
        <f t="shared" si="42"/>
        <v>102.46122697336466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32.0654131146689</v>
      </c>
      <c r="DG64" s="21">
        <f>EXP(-LN(2)/25)*DG63+(1-EXP(-LN(2)/25))/(LN(2)/25)*Calculateur!DB64*Calculateur!DD64*VLOOKUP('Données projet'!$B$13,Paramètres!$A$1:$I$89,3,0)*0.475*44/12</f>
        <v>22.69173172934822</v>
      </c>
      <c r="DH64" s="21">
        <f>EXP(-LN(2)/2)*DH63+(1-EXP(-LN(2)/2))/(LN(2)/2)*DB64*DE64*VLOOKUP('Données projet'!$B$13,Paramètres!$A$1:$I$89,3,0)*0.475*44/12</f>
        <v>7.3213465333400087</v>
      </c>
      <c r="DI64" s="22">
        <f t="shared" si="15"/>
        <v>62.078491377357125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5.6</v>
      </c>
      <c r="DO64" s="12">
        <f>IF('Données projet'!$A$166&gt;35,DO63+DN64-DW63,IF(A64&lt;'Données projet'!$A$166,$DL$205^A64,IF(A64='Données projet'!$A$166,'Données projet'!$B$166,DO63+DN64-DW63)))</f>
        <v>209.60000000000002</v>
      </c>
      <c r="DP64" s="17">
        <f>DO64*VLOOKUP('Données projet'!$B$14,Paramètres!$A$1:$I$89,3,0)*VLOOKUP('Données projet'!$B$14,Paramètres!$A$1:$I$89,5,0)</f>
        <v>183.10656000000003</v>
      </c>
      <c r="DQ64" s="13">
        <f t="shared" si="43"/>
        <v>46.012648718992089</v>
      </c>
      <c r="DR64" s="20">
        <f t="shared" si="16"/>
        <v>399.04928851891128</v>
      </c>
      <c r="DS64" s="59">
        <f t="shared" si="17"/>
        <v>692.3826218522446</v>
      </c>
      <c r="DT64" s="59">
        <f ca="1">AVERAGE(OFFSET($DS$3,0,0,'Données projet'!$E$14+1,1))-AVERAGE(OFFSET($H$3,0,0,'Données projet'!$E$14+1,1))</f>
        <v>354.24684313982857</v>
      </c>
      <c r="DU64" s="59">
        <f t="shared" si="44"/>
        <v>322.65043486962185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14.019354570787659</v>
      </c>
      <c r="EB64" s="21">
        <f>EXP(-LN(2)/25)*EB63+(1-EXP(-LN(2)/25))/(LN(2)/25)*Calculateur!DW64*Calculateur!DY64*VLOOKUP('Données projet'!$B$14,Paramètres!$A$1:$I$89,3,0)*0.475*44/12</f>
        <v>18.124463018656463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32.143817589444126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12.05461538461538</v>
      </c>
      <c r="N65" s="13">
        <f>IF('Données projet'!$A$36&gt;35,N64+M65-V64,IF(A65&lt;'Données projet'!$A$36,$K$205^A65,IF(A65='Données projet'!$A$36,'Données projet'!$B$36,N64+M65-V64)))</f>
        <v>440.43538461538463</v>
      </c>
      <c r="O65" s="13">
        <f>N65*VLOOKUP('Données projet'!$B$9,Paramètres!$A$1:$I$89,3,0)*VLOOKUP('Données projet'!$B$9,Paramètres!$A$1:$I$89,5,0)</f>
        <v>263.38036</v>
      </c>
      <c r="P65" s="13">
        <f t="shared" si="33"/>
        <v>63.442391493835359</v>
      </c>
      <c r="Q65" s="20">
        <f t="shared" si="53"/>
        <v>569.21629218509656</v>
      </c>
      <c r="R65" s="59">
        <f t="shared" si="0"/>
        <v>862.54962551842982</v>
      </c>
      <c r="S65" s="59">
        <f ca="1">AVERAGE(OFFSET($R$3,0,0,'Données projet'!$E$9+1,1))-AVERAGE(OFFSET($H$3,0,0,'Données projet'!$E$9+1,1))</f>
        <v>355.09162485318728</v>
      </c>
      <c r="T65" s="59">
        <f t="shared" si="34"/>
        <v>320.06572891923685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45.351811192007936</v>
      </c>
      <c r="AA65" s="21">
        <f>EXP(-LN(2)/25)*AA64+(1-EXP(-LN(2)/25))/(LN(2)/25)*Calculateur!V65*Calculateur!X65*VLOOKUP('Données projet'!$B$9,Paramètres!$A$1:$I$89,3,0)*0.475*44/12</f>
        <v>12.153104067888632</v>
      </c>
      <c r="AB65" s="21">
        <f>EXP(-LN(2)/2)*AB64+(1-EXP(-LN(2)/2))/(LN(2)/2)*V65*Y65*VLOOKUP('Données projet'!$B$9,Paramètres!$A$1:$I$89,3,0)*0.475*44/12</f>
        <v>0.69742866304729001</v>
      </c>
      <c r="AC65" s="22">
        <f t="shared" si="3"/>
        <v>58.202343922943861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10.763461538461542</v>
      </c>
      <c r="AI65" s="13">
        <f>IF('Données projet'!$A$62&gt;35,AI64+AH65-AQ64,IF(A65&lt;'Données projet'!$A$62,$AF$205^A65,IF(A65='Données projet'!$A$62,'Données projet'!$B$62,AI64+AH65-AQ64)))</f>
        <v>339.92884615384628</v>
      </c>
      <c r="AJ65" s="13">
        <f>AI65*VLOOKUP('Données projet'!$B$10,Paramètres!$A$1:$I$89,3,0)*VLOOKUP('Données projet'!$B$10,Paramètres!$A$1:$I$89,5,0)</f>
        <v>159.08670000000006</v>
      </c>
      <c r="AK65" s="13">
        <f t="shared" si="35"/>
        <v>40.636449461585293</v>
      </c>
      <c r="AL65" s="20">
        <f t="shared" si="4"/>
        <v>347.85115197892782</v>
      </c>
      <c r="AM65" s="59">
        <f t="shared" si="5"/>
        <v>641.18448531226113</v>
      </c>
      <c r="AN65" s="59">
        <f ca="1">AVERAGE(OFFSET($AM$3,0,0,'Données projet'!$E$10+1,1))-AVERAGE(OFFSET($H$3,0,0,'Données projet'!$E$10+1,1))</f>
        <v>246.72166704460847</v>
      </c>
      <c r="AO65" s="59">
        <f t="shared" si="36"/>
        <v>145.54897745089966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14.082916648455519</v>
      </c>
      <c r="AW65" s="21">
        <f>EXP(-LN(2)/2)*AW64+(1-EXP(-LN(2)/2))/(LN(2)/2)*AQ65*AT65*VLOOKUP('Données projet'!$B$10,Paramètres!$A$1:$I$89,3,0)*0.475*44/12</f>
        <v>0.5167771847563265</v>
      </c>
      <c r="AX65" s="21">
        <f t="shared" si="6"/>
        <v>14.599693833211846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88.478637356802039</v>
      </c>
      <c r="BJ65" s="59">
        <f t="shared" si="38"/>
        <v>239.55411297259155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19.646153627957393</v>
      </c>
      <c r="BQ65" s="21">
        <f>EXP(-LN(2)/25)*BQ64+(1-EXP(-LN(2)/25))/(LN(2)/25)*Calculateur!BL65*Calculateur!BN65*VLOOKUP('Données projet'!$B$11,Paramètres!$A$1:$I$89,3,0)*0.475*44/12</f>
        <v>3.0065123958109501</v>
      </c>
      <c r="BR65" s="21">
        <f>EXP(-LN(2)/2)*BR64+(1-EXP(-LN(2)/2))/(LN(2)/2)*BL65*BO65*VLOOKUP('Données projet'!$B$11,Paramètres!$A$1:$I$89,3,0)*0.475*44/12</f>
        <v>6.5604370568891386E-6</v>
      </c>
      <c r="BS65" s="22">
        <f t="shared" si="9"/>
        <v>22.652672584205401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6.4078525641025657</v>
      </c>
      <c r="BY65" s="12">
        <f>IF('Données projet'!$A$114&gt;35,BY64+BX65-CG64,IF(A65&lt;'Données projet'!$A$114,$BV$205^A65,IF(A65='Données projet'!$A$114,'Données projet'!$B$114,BY64+BX65-CG64)))</f>
        <v>139.89903846153854</v>
      </c>
      <c r="BZ65" s="13">
        <f>BY65*VLOOKUP('Données projet'!$B$12,Paramètres!$A$1:$I$89,3,0)*VLOOKUP('Données projet'!$B$12,Paramètres!$A$1:$I$89,5,0)</f>
        <v>126.58065000000006</v>
      </c>
      <c r="CA65" s="13">
        <f t="shared" si="39"/>
        <v>33.205026419850867</v>
      </c>
      <c r="CB65" s="20">
        <f t="shared" si="10"/>
        <v>278.29338643124032</v>
      </c>
      <c r="CC65" s="59">
        <f t="shared" si="11"/>
        <v>571.62671976457364</v>
      </c>
      <c r="CD65" s="59">
        <f ca="1">AVERAGE(OFFSET($CC$3,0,0,'Données projet'!$E$12+1,1))-AVERAGE(OFFSET($H$3,0,0,'Données projet'!$E$12+1,1))</f>
        <v>437.94387006020412</v>
      </c>
      <c r="CE65" s="59">
        <f t="shared" si="40"/>
        <v>213.95083535531376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12.440000000000003</v>
      </c>
      <c r="CT65" s="12">
        <f>IF('Données projet'!$A$140&gt;35,CT64+CS65-DB64,IF(A65&lt;'Données projet'!$A$140,$CQ$205^A65,IF(A65='Données projet'!$A$140,'Données projet'!$B$140,CT64+CS65-DB64)))</f>
        <v>294.38000000000017</v>
      </c>
      <c r="CU65" s="17">
        <f>CT65*VLOOKUP('Données projet'!$B$13,Paramètres!$A$1:$I$89,3,0)*VLOOKUP('Données projet'!$B$13,Paramètres!$A$1:$I$89,5,0)</f>
        <v>141.59678000000008</v>
      </c>
      <c r="CV65" s="13">
        <f t="shared" si="41"/>
        <v>36.662563575217789</v>
      </c>
      <c r="CW65" s="20">
        <f t="shared" si="13"/>
        <v>310.46835672683778</v>
      </c>
      <c r="CX65" s="59">
        <f t="shared" si="14"/>
        <v>603.80169006017104</v>
      </c>
      <c r="CY65" s="59">
        <f ca="1">AVERAGE(OFFSET($CX$3,0,0,'Données projet'!$E$13+1,1))-AVERAGE(OFFSET($H$3,0,0,'Données projet'!$E$13+1,1))</f>
        <v>258.42493116335032</v>
      </c>
      <c r="CZ65" s="59">
        <f t="shared" si="42"/>
        <v>102.46122697336466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31.436629921461055</v>
      </c>
      <c r="DG65" s="21">
        <f>EXP(-LN(2)/25)*DG64+(1-EXP(-LN(2)/25))/(LN(2)/25)*Calculateur!DB65*Calculateur!DD65*VLOOKUP('Données projet'!$B$13,Paramètres!$A$1:$I$89,3,0)*0.475*44/12</f>
        <v>22.071225131902885</v>
      </c>
      <c r="DH65" s="21">
        <f>EXP(-LN(2)/2)*DH64+(1-EXP(-LN(2)/2))/(LN(2)/2)*DB65*DE65*VLOOKUP('Données projet'!$B$13,Paramètres!$A$1:$I$89,3,0)*0.475*44/12</f>
        <v>5.1769737811413421</v>
      </c>
      <c r="DI65" s="22">
        <f t="shared" si="15"/>
        <v>58.684828834505282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5.6</v>
      </c>
      <c r="DO65" s="12">
        <f>IF('Données projet'!$A$166&gt;35,DO64+DN65-DW64,IF(A65&lt;'Données projet'!$A$166,$DL$205^A65,IF(A65='Données projet'!$A$166,'Données projet'!$B$166,DO64+DN65-DW64)))</f>
        <v>215.20000000000002</v>
      </c>
      <c r="DP65" s="17">
        <f>DO65*VLOOKUP('Données projet'!$B$14,Paramètres!$A$1:$I$89,3,0)*VLOOKUP('Données projet'!$B$14,Paramètres!$A$1:$I$89,5,0)</f>
        <v>187.99872000000002</v>
      </c>
      <c r="DQ65" s="13">
        <f t="shared" si="43"/>
        <v>47.097225953569499</v>
      </c>
      <c r="DR65" s="20">
        <f t="shared" si="16"/>
        <v>409.45877253580028</v>
      </c>
      <c r="DS65" s="59">
        <f t="shared" si="17"/>
        <v>702.79210586913359</v>
      </c>
      <c r="DT65" s="59">
        <f ca="1">AVERAGE(OFFSET($DS$3,0,0,'Données projet'!$E$14+1,1))-AVERAGE(OFFSET($H$3,0,0,'Données projet'!$E$14+1,1))</f>
        <v>354.24684313982857</v>
      </c>
      <c r="DU65" s="59">
        <f t="shared" si="44"/>
        <v>322.65043486962185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13.744443578616464</v>
      </c>
      <c r="EB65" s="21">
        <f>EXP(-LN(2)/25)*EB64+(1-EXP(-LN(2)/25))/(LN(2)/25)*Calculateur!DW65*Calculateur!DY65*VLOOKUP('Données projet'!$B$14,Paramètres!$A$1:$I$89,3,0)*0.475*44/12</f>
        <v>17.628848624287215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31.373292202903677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12.05461538461538</v>
      </c>
      <c r="N66" s="13">
        <f>IF('Données projet'!$A$36&gt;35,N65+M66-V65,IF(A66&lt;'Données projet'!$A$36,$K$205^A66,IF(A66='Données projet'!$A$36,'Données projet'!$B$36,N65+M66-V65)))</f>
        <v>452.49</v>
      </c>
      <c r="O66" s="13">
        <f>N66*VLOOKUP('Données projet'!$B$9,Paramètres!$A$1:$I$89,3,0)*VLOOKUP('Données projet'!$B$9,Paramètres!$A$1:$I$89,5,0)</f>
        <v>270.58902000000006</v>
      </c>
      <c r="P66" s="13">
        <f t="shared" si="33"/>
        <v>64.974258339135972</v>
      </c>
      <c r="Q66" s="20">
        <f t="shared" si="53"/>
        <v>584.43937644066193</v>
      </c>
      <c r="R66" s="59">
        <f t="shared" si="0"/>
        <v>877.7727097739953</v>
      </c>
      <c r="S66" s="59">
        <f ca="1">AVERAGE(OFFSET($R$3,0,0,'Données projet'!$E$9+1,1))-AVERAGE(OFFSET($H$3,0,0,'Données projet'!$E$9+1,1))</f>
        <v>355.09162485318728</v>
      </c>
      <c r="T66" s="59">
        <f t="shared" si="34"/>
        <v>320.06572891923685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44.462489836406107</v>
      </c>
      <c r="AA66" s="21">
        <f>EXP(-LN(2)/25)*AA65+(1-EXP(-LN(2)/25))/(LN(2)/25)*Calculateur!V66*Calculateur!X66*VLOOKUP('Données projet'!$B$9,Paramètres!$A$1:$I$89,3,0)*0.475*44/12</f>
        <v>11.820776798048252</v>
      </c>
      <c r="AB66" s="21">
        <f>EXP(-LN(2)/2)*AB65+(1-EXP(-LN(2)/2))/(LN(2)/2)*V66*Y66*VLOOKUP('Données projet'!$B$9,Paramètres!$A$1:$I$89,3,0)*0.475*44/12</f>
        <v>0.49315653703460649</v>
      </c>
      <c r="AC66" s="22">
        <f t="shared" si="3"/>
        <v>56.776423171488965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350.69230769230768</v>
      </c>
      <c r="AG66" s="12">
        <f>VLOOKUP(A66,'Données projet'!$A$61:$I$81,9,0)</f>
        <v>10.763461538461542</v>
      </c>
      <c r="AH66" s="12">
        <f t="array" ref="AH66">INDEX(AG:AG,MIN(IF(ISNUMBER(AG66:AG262),ROW(AG66:AG262),"")))</f>
        <v>10.763461538461542</v>
      </c>
      <c r="AI66" s="13">
        <f>IF('Données projet'!$A$62&gt;35,AI65+AH66-AQ65,IF(A66&lt;'Données projet'!$A$62,$AF$205^A66,IF(A66='Données projet'!$A$62,'Données projet'!$B$62,AI65+AH66-AQ65)))</f>
        <v>350.69230769230785</v>
      </c>
      <c r="AJ66" s="13">
        <f>AI66*VLOOKUP('Données projet'!$B$10,Paramètres!$A$1:$I$89,3,0)*VLOOKUP('Données projet'!$B$10,Paramètres!$A$1:$I$89,5,0)</f>
        <v>164.12400000000008</v>
      </c>
      <c r="AK66" s="13">
        <f t="shared" si="35"/>
        <v>41.771312955270602</v>
      </c>
      <c r="AL66" s="20">
        <f t="shared" si="4"/>
        <v>358.60100339709646</v>
      </c>
      <c r="AM66" s="59">
        <f t="shared" si="5"/>
        <v>651.93433673042978</v>
      </c>
      <c r="AN66" s="59">
        <f ca="1">AVERAGE(OFFSET($AM$3,0,0,'Données projet'!$E$10+1,1))-AVERAGE(OFFSET($H$3,0,0,'Données projet'!$E$10+1,1))</f>
        <v>246.72166704460847</v>
      </c>
      <c r="AO66" s="59">
        <f t="shared" si="36"/>
        <v>145.54897745089966</v>
      </c>
      <c r="AP66" s="15">
        <f>IF(ISNA(VLOOKUP(A66,'Données projet'!$A$61:$I$81,3,0)),0,VLOOKUP(A66,'Données projet'!$A$61:$I$81,3,0))</f>
        <v>2</v>
      </c>
      <c r="AQ66" s="15">
        <f>IF(ISNA(VLOOKUP(A66,'Données projet'!$A$61:$I$81,4,0)),0,VLOOKUP(A66,'Données projet'!$A$61:$I$81,4,0))</f>
        <v>108.08461538461538</v>
      </c>
      <c r="AR66" s="16">
        <f>IF(ISNA(VLOOKUP(A66,'Données projet'!$A$61:$I$81,5,0)),0%,VLOOKUP(A66,'Données projet'!$A$61:$I$81,5,0)*VLOOKUP('Données projet'!$B$10,Paramètres!$A$1:$I$89,7,0))</f>
        <v>0.38500000000000001</v>
      </c>
      <c r="AS66" s="16">
        <f>IF(ISNA(VLOOKUP(A66,'Données projet'!$A$61:$I$81,6,0)),0%,VLOOKUP(A66,'Données projet'!$A$61:$I$81,6,0)*VLOOKUP('Données projet'!$B$10,Paramètres!$A$1:$I$89,7,0))</f>
        <v>9.240000000000001E-2</v>
      </c>
      <c r="AT66" s="16">
        <f>IF(ISNA(VLOOKUP(A66,'Données projet'!$A$61:$I$81,7,0)),0%,VLOOKUP(A66,'Données projet'!$A$61:$I$81,7,0))</f>
        <v>0.13200000000000001</v>
      </c>
      <c r="AU66" s="21">
        <f>EXP(-LN(2)/35)*AU65+(1-EXP(-LN(2)/35))/(LN(2)/35)*AQ66*AR66*VLOOKUP('Données projet'!$B$10,Paramètres!$A$1:$I$89,3,0)*0.475*44/12</f>
        <v>25.834426228446034</v>
      </c>
      <c r="AV66" s="21">
        <f>EXP(-LN(2)/25)*AV65+(1-EXP(-LN(2)/25))/(LN(2)/25)*Calculateur!AQ66*Calculateur!AS66*VLOOKUP('Données projet'!$B$10,Paramètres!$A$1:$I$89,3,0)*0.475*44/12</f>
        <v>19.873668051802269</v>
      </c>
      <c r="AW66" s="21">
        <f>EXP(-LN(2)/2)*AW65+(1-EXP(-LN(2)/2))/(LN(2)/2)*AQ66*AT66*VLOOKUP('Données projet'!$B$10,Paramètres!$A$1:$I$89,3,0)*0.475*44/12</f>
        <v>7.9253715568647767</v>
      </c>
      <c r="AX66" s="21">
        <f t="shared" si="6"/>
        <v>53.633465837113079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88.478637356802039</v>
      </c>
      <c r="BJ66" s="59">
        <f t="shared" si="38"/>
        <v>239.55411297259155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19.26090453828364</v>
      </c>
      <c r="BQ66" s="21">
        <f>EXP(-LN(2)/25)*BQ65+(1-EXP(-LN(2)/25))/(LN(2)/25)*Calculateur!BL66*Calculateur!BN66*VLOOKUP('Données projet'!$B$11,Paramètres!$A$1:$I$89,3,0)*0.475*44/12</f>
        <v>2.9242991562418843</v>
      </c>
      <c r="BR66" s="21">
        <f>EXP(-LN(2)/2)*BR65+(1-EXP(-LN(2)/2))/(LN(2)/2)*BL66*BO66*VLOOKUP('Données projet'!$B$11,Paramètres!$A$1:$I$89,3,0)*0.475*44/12</f>
        <v>4.6389295304738259E-6</v>
      </c>
      <c r="BS66" s="22">
        <f t="shared" si="9"/>
        <v>22.185208333455055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6.4078525641025657</v>
      </c>
      <c r="BY66" s="12">
        <f>IF('Données projet'!$A$114&gt;35,BY65+BX66-CG65,IF(A66&lt;'Données projet'!$A$114,$BV$205^A66,IF(A66='Données projet'!$A$114,'Données projet'!$B$114,BY65+BX66-CG65)))</f>
        <v>146.30689102564111</v>
      </c>
      <c r="BZ66" s="13">
        <f>BY66*VLOOKUP('Données projet'!$B$12,Paramètres!$A$1:$I$89,3,0)*VLOOKUP('Données projet'!$B$12,Paramètres!$A$1:$I$89,5,0)</f>
        <v>132.37847500000007</v>
      </c>
      <c r="CA66" s="13">
        <f t="shared" si="39"/>
        <v>34.545373794220808</v>
      </c>
      <c r="CB66" s="20">
        <f t="shared" si="10"/>
        <v>290.72570331660137</v>
      </c>
      <c r="CC66" s="59">
        <f t="shared" si="11"/>
        <v>584.05903664993468</v>
      </c>
      <c r="CD66" s="59">
        <f ca="1">AVERAGE(OFFSET($CC$3,0,0,'Données projet'!$E$12+1,1))-AVERAGE(OFFSET($H$3,0,0,'Données projet'!$E$12+1,1))</f>
        <v>437.94387006020412</v>
      </c>
      <c r="CE66" s="59">
        <f t="shared" si="40"/>
        <v>213.95083535531376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12.440000000000003</v>
      </c>
      <c r="CT66" s="12">
        <f>IF('Données projet'!$A$140&gt;35,CT65+CS66-DB65,IF(A66&lt;'Données projet'!$A$140,$CQ$205^A66,IF(A66='Données projet'!$A$140,'Données projet'!$B$140,CT65+CS66-DB65)))</f>
        <v>306.82000000000016</v>
      </c>
      <c r="CU66" s="17">
        <f>CT66*VLOOKUP('Données projet'!$B$13,Paramètres!$A$1:$I$89,3,0)*VLOOKUP('Données projet'!$B$13,Paramètres!$A$1:$I$89,5,0)</f>
        <v>147.58042000000009</v>
      </c>
      <c r="CV66" s="13">
        <f t="shared" si="41"/>
        <v>38.028208052889703</v>
      </c>
      <c r="CW66" s="20">
        <f t="shared" si="13"/>
        <v>323.26836052544974</v>
      </c>
      <c r="CX66" s="59">
        <f t="shared" si="14"/>
        <v>616.60169385878305</v>
      </c>
      <c r="CY66" s="59">
        <f ca="1">AVERAGE(OFFSET($CX$3,0,0,'Données projet'!$E$13+1,1))-AVERAGE(OFFSET($H$3,0,0,'Données projet'!$E$13+1,1))</f>
        <v>258.42493116335032</v>
      </c>
      <c r="CZ66" s="59">
        <f t="shared" si="42"/>
        <v>102.46122697336466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30.820176783152135</v>
      </c>
      <c r="DG66" s="21">
        <f>EXP(-LN(2)/25)*DG65+(1-EXP(-LN(2)/25))/(LN(2)/25)*Calculateur!DB66*Calculateur!DD66*VLOOKUP('Données projet'!$B$13,Paramètres!$A$1:$I$89,3,0)*0.475*44/12</f>
        <v>21.467686319995714</v>
      </c>
      <c r="DH66" s="21">
        <f>EXP(-LN(2)/2)*DH65+(1-EXP(-LN(2)/2))/(LN(2)/2)*DB66*DE66*VLOOKUP('Données projet'!$B$13,Paramètres!$A$1:$I$89,3,0)*0.475*44/12</f>
        <v>3.6606732666700048</v>
      </c>
      <c r="DI66" s="22">
        <f t="shared" si="15"/>
        <v>55.948536369817852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5.6</v>
      </c>
      <c r="DO66" s="12">
        <f>IF('Données projet'!$A$166&gt;35,DO65+DN66-DW65,IF(A66&lt;'Données projet'!$A$166,$DL$205^A66,IF(A66='Données projet'!$A$166,'Données projet'!$B$166,DO65+DN66-DW65)))</f>
        <v>220.8</v>
      </c>
      <c r="DP66" s="17">
        <f>DO66*VLOOKUP('Données projet'!$B$14,Paramètres!$A$1:$I$89,3,0)*VLOOKUP('Données projet'!$B$14,Paramètres!$A$1:$I$89,5,0)</f>
        <v>192.89088000000004</v>
      </c>
      <c r="DQ66" s="13">
        <f t="shared" si="43"/>
        <v>48.178522586846704</v>
      </c>
      <c r="DR66" s="20">
        <f t="shared" si="16"/>
        <v>419.86254283875809</v>
      </c>
      <c r="DS66" s="59">
        <f t="shared" si="17"/>
        <v>713.1958761720914</v>
      </c>
      <c r="DT66" s="59">
        <f ca="1">AVERAGE(OFFSET($DS$3,0,0,'Données projet'!$E$14+1,1))-AVERAGE(OFFSET($H$3,0,0,'Données projet'!$E$14+1,1))</f>
        <v>354.24684313982857</v>
      </c>
      <c r="DU66" s="59">
        <f t="shared" si="44"/>
        <v>322.65043486962185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13.474923423322597</v>
      </c>
      <c r="EB66" s="21">
        <f>EXP(-LN(2)/25)*EB65+(1-EXP(-LN(2)/25))/(LN(2)/25)*Calculateur!DW66*Calculateur!DY66*VLOOKUP('Données projet'!$B$14,Paramètres!$A$1:$I$89,3,0)*0.475*44/12</f>
        <v>17.146786831595225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30.621710254917822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12.05461538461538</v>
      </c>
      <c r="N67" s="13">
        <f>IF('Données projet'!$A$36&gt;35,N66+M67-V66,IF(A67&lt;'Données projet'!$A$36,$K$205^A67,IF(A67='Données projet'!$A$36,'Données projet'!$B$36,N66+M67-V66)))</f>
        <v>464.54461538461538</v>
      </c>
      <c r="O67" s="13">
        <f>N67*VLOOKUP('Données projet'!$B$9,Paramètres!$A$1:$I$89,3,0)*VLOOKUP('Données projet'!$B$9,Paramètres!$A$1:$I$89,5,0)</f>
        <v>277.79768000000001</v>
      </c>
      <c r="P67" s="13">
        <f t="shared" si="33"/>
        <v>66.501381678302167</v>
      </c>
      <c r="Q67" s="20">
        <f t="shared" ref="Q67:Q98" si="54">(O67+P67)*0.475*44/12</f>
        <v>599.65419908970955</v>
      </c>
      <c r="R67" s="59">
        <f t="shared" ref="R67:R130" si="55">Q67+(I67+J67)*44/12</f>
        <v>892.98753242304292</v>
      </c>
      <c r="S67" s="59">
        <f ca="1">AVERAGE(OFFSET($R$3,0,0,'Données projet'!$E$9+1,1))-AVERAGE(OFFSET($H$3,0,0,'Données projet'!$E$9+1,1))</f>
        <v>355.09162485318728</v>
      </c>
      <c r="T67" s="59">
        <f t="shared" si="34"/>
        <v>320.06572891923685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43.590607530155161</v>
      </c>
      <c r="AA67" s="21">
        <f>EXP(-LN(2)/25)*AA66+(1-EXP(-LN(2)/25))/(LN(2)/25)*Calculateur!V67*Calculateur!X67*VLOOKUP('Données projet'!$B$9,Paramètres!$A$1:$I$89,3,0)*0.475*44/12</f>
        <v>11.497537034877988</v>
      </c>
      <c r="AB67" s="21">
        <f>EXP(-LN(2)/2)*AB66+(1-EXP(-LN(2)/2))/(LN(2)/2)*V67*Y67*VLOOKUP('Données projet'!$B$9,Paramètres!$A$1:$I$89,3,0)*0.475*44/12</f>
        <v>0.34871433152364506</v>
      </c>
      <c r="AC67" s="22">
        <f t="shared" si="3"/>
        <v>55.436858896556792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9.8224358974358967</v>
      </c>
      <c r="AI67" s="13">
        <f>IF('Données projet'!$A$62&gt;35,AI66+AH67-AQ66,IF(A67&lt;'Données projet'!$A$62,$AF$205^A67,IF(A67='Données projet'!$A$62,'Données projet'!$B$62,AI66+AH67-AQ66)))</f>
        <v>252.4301282051284</v>
      </c>
      <c r="AJ67" s="13">
        <f>AI67*VLOOKUP('Données projet'!$B$10,Paramètres!$A$1:$I$89,3,0)*VLOOKUP('Données projet'!$B$10,Paramètres!$A$1:$I$89,5,0)</f>
        <v>118.1373000000001</v>
      </c>
      <c r="AK67" s="13">
        <f t="shared" si="35"/>
        <v>31.240160341179944</v>
      </c>
      <c r="AL67" s="20">
        <f t="shared" si="4"/>
        <v>260.16574342755524</v>
      </c>
      <c r="AM67" s="59">
        <f t="shared" si="5"/>
        <v>553.49907676088856</v>
      </c>
      <c r="AN67" s="59">
        <f ca="1">AVERAGE(OFFSET($AM$3,0,0,'Données projet'!$E$10+1,1))-AVERAGE(OFFSET($H$3,0,0,'Données projet'!$E$10+1,1))</f>
        <v>246.72166704460847</v>
      </c>
      <c r="AO67" s="59">
        <f t="shared" si="36"/>
        <v>145.54897745089966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25.327828887550289</v>
      </c>
      <c r="AV67" s="21">
        <f>EXP(-LN(2)/25)*AV66+(1-EXP(-LN(2)/25))/(LN(2)/25)*Calculateur!AQ67*Calculateur!AS67*VLOOKUP('Données projet'!$B$10,Paramètres!$A$1:$I$89,3,0)*0.475*44/12</f>
        <v>19.330221553814955</v>
      </c>
      <c r="AW67" s="21">
        <f>EXP(-LN(2)/2)*AW66+(1-EXP(-LN(2)/2))/(LN(2)/2)*AQ67*AT67*VLOOKUP('Données projet'!$B$10,Paramètres!$A$1:$I$89,3,0)*0.475*44/12</f>
        <v>5.6040839712820691</v>
      </c>
      <c r="AX67" s="21">
        <f t="shared" si="6"/>
        <v>50.262134412647313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88.478637356802039</v>
      </c>
      <c r="BJ67" s="59">
        <f t="shared" si="38"/>
        <v>239.55411297259155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18.883209948279649</v>
      </c>
      <c r="BQ67" s="21">
        <f>EXP(-LN(2)/25)*BQ66+(1-EXP(-LN(2)/25))/(LN(2)/25)*Calculateur!BL67*Calculateur!BN67*VLOOKUP('Données projet'!$B$11,Paramètres!$A$1:$I$89,3,0)*0.475*44/12</f>
        <v>2.8443340420322407</v>
      </c>
      <c r="BR67" s="21">
        <f>EXP(-LN(2)/2)*BR66+(1-EXP(-LN(2)/2))/(LN(2)/2)*BL67*BO67*VLOOKUP('Données projet'!$B$11,Paramètres!$A$1:$I$89,3,0)*0.475*44/12</f>
        <v>3.2802185284445693E-6</v>
      </c>
      <c r="BS67" s="22">
        <f t="shared" si="9"/>
        <v>21.727547270530419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6.4078525641025657</v>
      </c>
      <c r="BY67" s="12">
        <f>IF('Données projet'!$A$114&gt;35,BY66+BX67-CG66,IF(A67&lt;'Données projet'!$A$114,$BV$205^A67,IF(A67='Données projet'!$A$114,'Données projet'!$B$114,BY66+BX67-CG66)))</f>
        <v>152.71474358974368</v>
      </c>
      <c r="BZ67" s="13">
        <f>BY67*VLOOKUP('Données projet'!$B$12,Paramètres!$A$1:$I$89,3,0)*VLOOKUP('Données projet'!$B$12,Paramètres!$A$1:$I$89,5,0)</f>
        <v>138.17630000000008</v>
      </c>
      <c r="CA67" s="13">
        <f t="shared" si="39"/>
        <v>35.878903150134711</v>
      </c>
      <c r="CB67" s="20">
        <f t="shared" si="10"/>
        <v>303.14614548648473</v>
      </c>
      <c r="CC67" s="59">
        <f t="shared" si="11"/>
        <v>596.47947881981804</v>
      </c>
      <c r="CD67" s="59">
        <f ca="1">AVERAGE(OFFSET($CC$3,0,0,'Données projet'!$E$12+1,1))-AVERAGE(OFFSET($H$3,0,0,'Données projet'!$E$12+1,1))</f>
        <v>437.94387006020412</v>
      </c>
      <c r="CE67" s="59">
        <f t="shared" si="40"/>
        <v>213.95083535531376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12.440000000000003</v>
      </c>
      <c r="CT67" s="12">
        <f>IF('Données projet'!$A$140&gt;35,CT66+CS67-DB66,IF(A67&lt;'Données projet'!$A$140,$CQ$205^A67,IF(A67='Données projet'!$A$140,'Données projet'!$B$140,CT66+CS67-DB66)))</f>
        <v>319.26000000000016</v>
      </c>
      <c r="CU67" s="17">
        <f>CT67*VLOOKUP('Données projet'!$B$13,Paramètres!$A$1:$I$89,3,0)*VLOOKUP('Données projet'!$B$13,Paramètres!$A$1:$I$89,5,0)</f>
        <v>153.56406000000007</v>
      </c>
      <c r="CV67" s="13">
        <f t="shared" si="41"/>
        <v>39.387420788415085</v>
      </c>
      <c r="CW67" s="20">
        <f t="shared" si="13"/>
        <v>336.05716237315636</v>
      </c>
      <c r="CX67" s="59">
        <f t="shared" si="14"/>
        <v>629.39049570648967</v>
      </c>
      <c r="CY67" s="59">
        <f ca="1">AVERAGE(OFFSET($CX$3,0,0,'Données projet'!$E$13+1,1))-AVERAGE(OFFSET($H$3,0,0,'Données projet'!$E$13+1,1))</f>
        <v>258.42493116335032</v>
      </c>
      <c r="CZ67" s="59">
        <f t="shared" si="42"/>
        <v>102.46122697336466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30.215811914886167</v>
      </c>
      <c r="DG67" s="21">
        <f>EXP(-LN(2)/25)*DG66+(1-EXP(-LN(2)/25))/(LN(2)/25)*Calculateur!DB67*Calculateur!DD67*VLOOKUP('Données projet'!$B$13,Paramètres!$A$1:$I$89,3,0)*0.475*44/12</f>
        <v>20.880651308638871</v>
      </c>
      <c r="DH67" s="21">
        <f>EXP(-LN(2)/2)*DH66+(1-EXP(-LN(2)/2))/(LN(2)/2)*DB67*DE67*VLOOKUP('Données projet'!$B$13,Paramètres!$A$1:$I$89,3,0)*0.475*44/12</f>
        <v>2.5884868905706715</v>
      </c>
      <c r="DI67" s="22">
        <f t="shared" si="15"/>
        <v>53.684950114095706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5.6</v>
      </c>
      <c r="DO67" s="12">
        <f>IF('Données projet'!$A$166&gt;35,DO66+DN67-DW66,IF(A67&lt;'Données projet'!$A$166,$DL$205^A67,IF(A67='Données projet'!$A$166,'Données projet'!$B$166,DO66+DN67-DW66)))</f>
        <v>226.4</v>
      </c>
      <c r="DP67" s="17">
        <f>DO67*VLOOKUP('Données projet'!$B$14,Paramètres!$A$1:$I$89,3,0)*VLOOKUP('Données projet'!$B$14,Paramètres!$A$1:$I$89,5,0)</f>
        <v>197.78304000000003</v>
      </c>
      <c r="DQ67" s="13">
        <f t="shared" si="43"/>
        <v>49.256631390532817</v>
      </c>
      <c r="DR67" s="20">
        <f t="shared" si="16"/>
        <v>430.26076100517804</v>
      </c>
      <c r="DS67" s="59">
        <f t="shared" si="17"/>
        <v>723.59409433851135</v>
      </c>
      <c r="DT67" s="59">
        <f ca="1">AVERAGE(OFFSET($DS$3,0,0,'Données projet'!$E$14+1,1))-AVERAGE(OFFSET($H$3,0,0,'Données projet'!$E$14+1,1))</f>
        <v>354.24684313982857</v>
      </c>
      <c r="DU67" s="59">
        <f t="shared" si="44"/>
        <v>322.65043486962185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13.210688393882981</v>
      </c>
      <c r="EB67" s="21">
        <f>EXP(-LN(2)/25)*EB66+(1-EXP(-LN(2)/25))/(LN(2)/25)*Calculateur!DW67*Calculateur!DY67*VLOOKUP('Données projet'!$B$14,Paramètres!$A$1:$I$89,3,0)*0.475*44/12</f>
        <v>16.677907043974923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29.888595437857902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12.05461538461538</v>
      </c>
      <c r="N68" s="13">
        <f>IF('Données projet'!$A$36&gt;35,N67+M68-V67,IF(A68&lt;'Données projet'!$A$36,$K$205^A68,IF(A68='Données projet'!$A$36,'Données projet'!$B$36,N67+M68-V67)))</f>
        <v>476.59923076923076</v>
      </c>
      <c r="O68" s="13">
        <f>N68*VLOOKUP('Données projet'!$B$9,Paramètres!$A$1:$I$89,3,0)*VLOOKUP('Données projet'!$B$9,Paramètres!$A$1:$I$89,5,0)</f>
        <v>285.00634000000002</v>
      </c>
      <c r="P68" s="13">
        <f t="shared" si="33"/>
        <v>68.023898753685756</v>
      </c>
      <c r="Q68" s="20">
        <f t="shared" si="54"/>
        <v>614.86099916266949</v>
      </c>
      <c r="R68" s="59">
        <f t="shared" si="55"/>
        <v>908.19433249600274</v>
      </c>
      <c r="S68" s="59">
        <f ca="1">AVERAGE(OFFSET($R$3,0,0,'Données projet'!$E$9+1,1))-AVERAGE(OFFSET($H$3,0,0,'Données projet'!$E$9+1,1))</f>
        <v>355.09162485318728</v>
      </c>
      <c r="T68" s="59">
        <f t="shared" si="34"/>
        <v>320.06572891923685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42.735822304134096</v>
      </c>
      <c r="AA68" s="21">
        <f>EXP(-LN(2)/25)*AA67+(1-EXP(-LN(2)/25))/(LN(2)/25)*Calculateur!V68*Calculateur!X68*VLOOKUP('Données projet'!$B$9,Paramètres!$A$1:$I$89,3,0)*0.475*44/12</f>
        <v>11.183136280030055</v>
      </c>
      <c r="AB68" s="21">
        <f>EXP(-LN(2)/2)*AB67+(1-EXP(-LN(2)/2))/(LN(2)/2)*V68*Y68*VLOOKUP('Données projet'!$B$9,Paramètres!$A$1:$I$89,3,0)*0.475*44/12</f>
        <v>0.2465782685173033</v>
      </c>
      <c r="AC68" s="22">
        <f t="shared" ref="AC68:AC131" si="57">SUM(Z68:AB68)</f>
        <v>54.165536852681456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9.8224358974358967</v>
      </c>
      <c r="AI68" s="13">
        <f>IF('Données projet'!$A$62&gt;35,AI67+AH68-AQ67,IF(A68&lt;'Données projet'!$A$62,$AF$205^A68,IF(A68='Données projet'!$A$62,'Données projet'!$B$62,AI67+AH68-AQ67)))</f>
        <v>262.25256410256429</v>
      </c>
      <c r="AJ68" s="13">
        <f>AI68*VLOOKUP('Données projet'!$B$10,Paramètres!$A$1:$I$89,3,0)*VLOOKUP('Données projet'!$B$10,Paramètres!$A$1:$I$89,5,0)</f>
        <v>122.73420000000009</v>
      </c>
      <c r="AK68" s="13">
        <f t="shared" si="35"/>
        <v>32.311867973295051</v>
      </c>
      <c r="AL68" s="20">
        <f t="shared" ref="AL68:AL131" si="58">(AJ68+AK68)*0.475*44/12</f>
        <v>270.03856838682231</v>
      </c>
      <c r="AM68" s="59">
        <f t="shared" ref="AM68:AM131" si="59">AL68+(AD68+AE68)*44/12</f>
        <v>563.37190172015562</v>
      </c>
      <c r="AN68" s="59">
        <f ca="1">AVERAGE(OFFSET($AM$3,0,0,'Données projet'!$E$10+1,1))-AVERAGE(OFFSET($H$3,0,0,'Données projet'!$E$10+1,1))</f>
        <v>246.72166704460847</v>
      </c>
      <c r="AO68" s="59">
        <f t="shared" si="36"/>
        <v>145.54897745089966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24.83116561151564</v>
      </c>
      <c r="AV68" s="21">
        <f>EXP(-LN(2)/25)*AV67+(1-EXP(-LN(2)/25))/(LN(2)/25)*Calculateur!AQ68*Calculateur!AS68*VLOOKUP('Données projet'!$B$10,Paramètres!$A$1:$I$89,3,0)*0.475*44/12</f>
        <v>18.801635628893713</v>
      </c>
      <c r="AW68" s="21">
        <f>EXP(-LN(2)/2)*AW67+(1-EXP(-LN(2)/2))/(LN(2)/2)*AQ68*AT68*VLOOKUP('Données projet'!$B$10,Paramètres!$A$1:$I$89,3,0)*0.475*44/12</f>
        <v>3.9626857784323888</v>
      </c>
      <c r="AX68" s="21">
        <f t="shared" ref="AX68:AX131" si="60">SUM(AU68:AW68)</f>
        <v>47.595487018841737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88.478637356802039</v>
      </c>
      <c r="BJ68" s="59">
        <f t="shared" si="38"/>
        <v>239.55411297259155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18.512921718814685</v>
      </c>
      <c r="BQ68" s="21">
        <f>EXP(-LN(2)/25)*BQ67+(1-EXP(-LN(2)/25))/(LN(2)/25)*Calculateur!BL68*Calculateur!BN68*VLOOKUP('Données projet'!$B$11,Paramètres!$A$1:$I$89,3,0)*0.475*44/12</f>
        <v>2.7665555780758426</v>
      </c>
      <c r="BR68" s="21">
        <f>EXP(-LN(2)/2)*BR67+(1-EXP(-LN(2)/2))/(LN(2)/2)*BL68*BO68*VLOOKUP('Données projet'!$B$11,Paramètres!$A$1:$I$89,3,0)*0.475*44/12</f>
        <v>2.319464765236913E-6</v>
      </c>
      <c r="BS68" s="22">
        <f t="shared" ref="BS68:BS131" si="63">SUM(BP68:BR68)</f>
        <v>21.279479616355292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6.4078525641025657</v>
      </c>
      <c r="BY68" s="12">
        <f>IF('Données projet'!$A$114&gt;35,BY67+BX68-CG67,IF(A68&lt;'Données projet'!$A$114,$BV$205^A68,IF(A68='Données projet'!$A$114,'Données projet'!$B$114,BY67+BX68-CG67)))</f>
        <v>159.12259615384625</v>
      </c>
      <c r="BZ68" s="13">
        <f>BY68*VLOOKUP('Données projet'!$B$12,Paramètres!$A$1:$I$89,3,0)*VLOOKUP('Données projet'!$B$12,Paramètres!$A$1:$I$89,5,0)</f>
        <v>143.97412500000007</v>
      </c>
      <c r="CA68" s="13">
        <f t="shared" si="39"/>
        <v>37.205933281077044</v>
      </c>
      <c r="CB68" s="20">
        <f t="shared" ref="CB68:CB131" si="64">(BZ68+CA68)*0.475*44/12</f>
        <v>315.55526817287597</v>
      </c>
      <c r="CC68" s="59">
        <f t="shared" ref="CC68:CC131" si="65">CB68+(BT68+BU68)*44/12</f>
        <v>608.88860150620928</v>
      </c>
      <c r="CD68" s="59">
        <f ca="1">AVERAGE(OFFSET($CC$3,0,0,'Données projet'!$E$12+1,1))-AVERAGE(OFFSET($H$3,0,0,'Données projet'!$E$12+1,1))</f>
        <v>437.94387006020412</v>
      </c>
      <c r="CE68" s="59">
        <f t="shared" si="40"/>
        <v>213.95083535531376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12.440000000000003</v>
      </c>
      <c r="CT68" s="12">
        <f>IF('Données projet'!$A$140&gt;35,CT67+CS68-DB67,IF(A68&lt;'Données projet'!$A$140,$CQ$205^A68,IF(A68='Données projet'!$A$140,'Données projet'!$B$140,CT67+CS68-DB67)))</f>
        <v>331.70000000000016</v>
      </c>
      <c r="CU68" s="17">
        <f>CT68*VLOOKUP('Données projet'!$B$13,Paramètres!$A$1:$I$89,3,0)*VLOOKUP('Données projet'!$B$13,Paramètres!$A$1:$I$89,5,0)</f>
        <v>159.54770000000008</v>
      </c>
      <c r="CV68" s="13">
        <f t="shared" si="41"/>
        <v>40.740481077148104</v>
      </c>
      <c r="CW68" s="20">
        <f t="shared" ref="CW68:CW131" si="67">(CU68+CV68)*0.475*44/12</f>
        <v>348.8352487093664</v>
      </c>
      <c r="CX68" s="59">
        <f t="shared" ref="CX68:CX131" si="68">CW68+(CO68+CP68)*44/12</f>
        <v>642.16858204269965</v>
      </c>
      <c r="CY68" s="59">
        <f ca="1">AVERAGE(OFFSET($CX$3,0,0,'Données projet'!$E$13+1,1))-AVERAGE(OFFSET($H$3,0,0,'Données projet'!$E$13+1,1))</f>
        <v>258.42493116335032</v>
      </c>
      <c r="CZ68" s="59">
        <f t="shared" si="42"/>
        <v>102.46122697336466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29.623298273060723</v>
      </c>
      <c r="DG68" s="21">
        <f>EXP(-LN(2)/25)*DG67+(1-EXP(-LN(2)/25))/(LN(2)/25)*Calculateur!DB68*Calculateur!DD68*VLOOKUP('Données projet'!$B$13,Paramètres!$A$1:$I$89,3,0)*0.475*44/12</f>
        <v>20.309668800538411</v>
      </c>
      <c r="DH68" s="21">
        <f>EXP(-LN(2)/2)*DH67+(1-EXP(-LN(2)/2))/(LN(2)/2)*DB68*DE68*VLOOKUP('Données projet'!$B$13,Paramètres!$A$1:$I$89,3,0)*0.475*44/12</f>
        <v>1.8303366333350026</v>
      </c>
      <c r="DI68" s="22">
        <f t="shared" ref="DI68:DI131" si="69">SUM(DF68:DH68)</f>
        <v>51.763303706934131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232</v>
      </c>
      <c r="DM68" s="12">
        <f>VLOOKUP(A68,'Données projet'!$A$165:$I$185,9,0)</f>
        <v>5.6</v>
      </c>
      <c r="DN68" s="12">
        <f t="array" ref="DN68">INDEX(DM:DM,MIN(IF(ISNUMBER(DM68:DM264),ROW(DM68:DM264),"")))</f>
        <v>5.6</v>
      </c>
      <c r="DO68" s="12">
        <f>IF('Données projet'!$A$166&gt;35,DO67+DN68-DW67,IF(A68&lt;'Données projet'!$A$166,$DL$205^A68,IF(A68='Données projet'!$A$166,'Données projet'!$B$166,DO67+DN68-DW67)))</f>
        <v>232</v>
      </c>
      <c r="DP68" s="17">
        <f>DO68*VLOOKUP('Données projet'!$B$14,Paramètres!$A$1:$I$89,3,0)*VLOOKUP('Données projet'!$B$14,Paramètres!$A$1:$I$89,5,0)</f>
        <v>202.67520000000002</v>
      </c>
      <c r="DQ68" s="13">
        <f t="shared" si="43"/>
        <v>50.331640285313689</v>
      </c>
      <c r="DR68" s="20">
        <f t="shared" ref="DR68:DR131" si="70">(DP68+DQ68)*0.475*44/12</f>
        <v>440.653580163588</v>
      </c>
      <c r="DS68" s="59">
        <f t="shared" ref="DS68:DS131" si="71">DR68+(DJ68+DK68)*44/12</f>
        <v>733.98691349692126</v>
      </c>
      <c r="DT68" s="59">
        <f ca="1">AVERAGE(OFFSET($DS$3,0,0,'Données projet'!$E$14+1,1))-AVERAGE(OFFSET($H$3,0,0,'Données projet'!$E$14+1,1))</f>
        <v>354.24684313982857</v>
      </c>
      <c r="DU68" s="59">
        <f t="shared" si="44"/>
        <v>322.65043486962185</v>
      </c>
      <c r="DV68" s="15">
        <f>IF(ISNA(VLOOKUP(A68,'Données projet'!$A$165:$I$185,3,0)),0,VLOOKUP(A68,'Données projet'!$A$165:$I$185,3,0))</f>
        <v>10</v>
      </c>
      <c r="DW68" s="15" t="str">
        <f>IF(ISNA(VLOOKUP(A68,'Données projet'!$A$165:$I$185,4,0)),0,VLOOKUP(A68,'Données projet'!$A$165:$I$185,4,0))</f>
        <v>20</v>
      </c>
      <c r="DX68" s="16">
        <f>IF(ISNA(VLOOKUP(A68,'Données projet'!$A$165:$I$185,5,0)),0%,VLOOKUP(A68,'Données projet'!$A$165:$I$185,5,0)*VLOOKUP('Données projet'!$B$14,Paramètres!$A$1:$I$89,7,0))</f>
        <v>0.215</v>
      </c>
      <c r="DY68" s="16">
        <f>IF(ISNA(VLOOKUP(A68,'Données projet'!$A$165:$I$185,6,0)),0%,VLOOKUP(A68,'Données projet'!$A$165:$I$185,6,0)*VLOOKUP('Données projet'!$B$14,Paramètres!$A$1:$I$89,7,0))</f>
        <v>0.17200000000000001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17.104312223511158</v>
      </c>
      <c r="EB68" s="21">
        <f>EXP(-LN(2)/25)*EB67+(1-EXP(-LN(2)/25))/(LN(2)/25)*Calculateur!DW68*Calculateur!DY68*VLOOKUP('Données projet'!$B$14,Paramètres!$A$1:$I$89,3,0)*0.475*44/12</f>
        <v>19.53091015736679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36.635222380877948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488.65384615384613</v>
      </c>
      <c r="L69" s="12">
        <f>VLOOKUP(A69,'Données projet'!$A$35:$I$55,9,0)</f>
        <v>12.05461538461538</v>
      </c>
      <c r="M69" s="12">
        <f t="array" ref="M69">INDEX(L:L,MIN(IF(ISNUMBER(L69:L265),ROW(L69:L265),"")))</f>
        <v>12.05461538461538</v>
      </c>
      <c r="N69" s="13">
        <f>IF('Données projet'!$A$36&gt;35,N68+M69-V68,IF(A69&lt;'Données projet'!$A$36,$K$205^A69,IF(A69='Données projet'!$A$36,'Données projet'!$B$36,N68+M69-V68)))</f>
        <v>488.65384615384613</v>
      </c>
      <c r="O69" s="13">
        <f>N69*VLOOKUP('Données projet'!$B$9,Paramètres!$A$1:$I$89,3,0)*VLOOKUP('Données projet'!$B$9,Paramètres!$A$1:$I$89,5,0)</f>
        <v>292.21500000000003</v>
      </c>
      <c r="P69" s="13">
        <f t="shared" ref="P69:P132" si="87">EXP(-1.0587+0.8836*LN(O69)+0.284)</f>
        <v>69.541939469490984</v>
      </c>
      <c r="Q69" s="20">
        <f t="shared" si="54"/>
        <v>630.06000290936356</v>
      </c>
      <c r="R69" s="59">
        <f t="shared" si="55"/>
        <v>923.39333624269693</v>
      </c>
      <c r="S69" s="59">
        <f ca="1">AVERAGE(OFFSET($R$3,0,0,'Données projet'!$E$9+1,1))-AVERAGE(OFFSET($H$3,0,0,'Données projet'!$E$9+1,1))</f>
        <v>355.09162485318728</v>
      </c>
      <c r="T69" s="59">
        <f t="shared" ref="T69:T132" si="88">$T$3</f>
        <v>320.06572891923685</v>
      </c>
      <c r="U69" s="15">
        <f>IF(ISNA(VLOOKUP(A69,'Données projet'!$A$35:$I$55,3,0)),0,VLOOKUP(A69,'Données projet'!$A$35:$I$55,3,0))</f>
        <v>7</v>
      </c>
      <c r="V69" s="15">
        <f>IF(ISNA(VLOOKUP(A69,'Données projet'!$A$35:$I$55,4,0)),0,VLOOKUP(A69,'Données projet'!$A$35:$I$55,4,0))</f>
        <v>68.146153846153851</v>
      </c>
      <c r="W69" s="16">
        <f>IF(ISNA(VLOOKUP(A69,'Données projet'!$A$35:$I$55,5,0)),0%,VLOOKUP(A69,'Données projet'!$A$35:$I$55,5,0)*VLOOKUP('Données projet'!$B$9,Paramètres!$A$1:$I$89,7,0))</f>
        <v>0.315</v>
      </c>
      <c r="X69" s="16">
        <f>IF(ISNA(VLOOKUP(A69,'Données projet'!$A$35:$I$55,6,0)),0%,VLOOKUP(A69,'Données projet'!$A$35:$I$55,6,0)*VLOOKUP('Données projet'!$B$9,Paramètres!$A$1:$I$89,7,0))</f>
        <v>7.5600000000000001E-2</v>
      </c>
      <c r="Y69" s="16">
        <f>IF(ISNA(VLOOKUP(A69,'Données projet'!$A$35:$I$55,7,0)),0%,VLOOKUP(A69,'Données projet'!$A$35:$I$55,7,0))</f>
        <v>0.13200000000000001</v>
      </c>
      <c r="Z69" s="21">
        <f>EXP(-LN(2)/35)*Z68+(1-EXP(-LN(2)/35))/(LN(2)/35)*V69*W69*VLOOKUP('Données projet'!$B$9,Paramètres!$A$1:$I$89,3,0)*0.475*44/12</f>
        <v>58.926496901088441</v>
      </c>
      <c r="AA69" s="21">
        <f>EXP(-LN(2)/25)*AA68+(1-EXP(-LN(2)/25))/(LN(2)/25)*Calculateur!V69*Calculateur!X69*VLOOKUP('Données projet'!$B$9,Paramètres!$A$1:$I$89,3,0)*0.475*44/12</f>
        <v>14.948128718413415</v>
      </c>
      <c r="AB69" s="21">
        <f>EXP(-LN(2)/2)*AB68+(1-EXP(-LN(2)/2))/(LN(2)/2)*V69*Y69*VLOOKUP('Données projet'!$B$9,Paramètres!$A$1:$I$89,3,0)*0.475*44/12</f>
        <v>6.2648439306852666</v>
      </c>
      <c r="AC69" s="22">
        <f t="shared" si="57"/>
        <v>80.13946955018713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9.8224358974358967</v>
      </c>
      <c r="AI69" s="13">
        <f>IF('Données projet'!$A$62&gt;35,AI68+AH69-AQ68,IF(A69&lt;'Données projet'!$A$62,$AF$205^A69,IF(A69='Données projet'!$A$62,'Données projet'!$B$62,AI68+AH69-AQ68)))</f>
        <v>272.07500000000022</v>
      </c>
      <c r="AJ69" s="13">
        <f>AI69*VLOOKUP('Données projet'!$B$10,Paramètres!$A$1:$I$89,3,0)*VLOOKUP('Données projet'!$B$10,Paramètres!$A$1:$I$89,5,0)</f>
        <v>127.33110000000011</v>
      </c>
      <c r="AK69" s="13">
        <f t="shared" ref="AK69:AK132" si="89">EXP(-1.0587+0.8836*LN(AJ69)+0.284)</f>
        <v>33.378912344830439</v>
      </c>
      <c r="AL69" s="20">
        <f t="shared" si="58"/>
        <v>279.90327150057988</v>
      </c>
      <c r="AM69" s="59">
        <f t="shared" si="59"/>
        <v>573.23660483391313</v>
      </c>
      <c r="AN69" s="59">
        <f ca="1">AVERAGE(OFFSET($AM$3,0,0,'Données projet'!$E$10+1,1))-AVERAGE(OFFSET($H$3,0,0,'Données projet'!$E$10+1,1))</f>
        <v>246.72166704460847</v>
      </c>
      <c r="AO69" s="59">
        <f t="shared" ref="AO69:AO132" si="90">$AO$3</f>
        <v>145.54897745089966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24.344241599389346</v>
      </c>
      <c r="AV69" s="21">
        <f>EXP(-LN(2)/25)*AV68+(1-EXP(-LN(2)/25))/(LN(2)/25)*Calculateur!AQ69*Calculateur!AS69*VLOOKUP('Données projet'!$B$10,Paramètres!$A$1:$I$89,3,0)*0.475*44/12</f>
        <v>18.287503913886567</v>
      </c>
      <c r="AW69" s="21">
        <f>EXP(-LN(2)/2)*AW68+(1-EXP(-LN(2)/2))/(LN(2)/2)*AQ69*AT69*VLOOKUP('Données projet'!$B$10,Paramètres!$A$1:$I$89,3,0)*0.475*44/12</f>
        <v>2.802041985641035</v>
      </c>
      <c r="AX69" s="21">
        <f t="shared" si="60"/>
        <v>45.433787498916949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88.478637356802039</v>
      </c>
      <c r="BJ69" s="59">
        <f t="shared" ref="BJ69:BJ132" si="92">$BJ$3</f>
        <v>239.55411297259155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18.149894615676008</v>
      </c>
      <c r="BQ69" s="21">
        <f>EXP(-LN(2)/25)*BQ68+(1-EXP(-LN(2)/25))/(LN(2)/25)*Calculateur!BL69*Calculateur!BN69*VLOOKUP('Données projet'!$B$11,Paramètres!$A$1:$I$89,3,0)*0.475*44/12</f>
        <v>2.6909039703065241</v>
      </c>
      <c r="BR69" s="21">
        <f>EXP(-LN(2)/2)*BR68+(1-EXP(-LN(2)/2))/(LN(2)/2)*BL69*BO69*VLOOKUP('Données projet'!$B$11,Paramètres!$A$1:$I$89,3,0)*0.475*44/12</f>
        <v>1.6401092642222846E-6</v>
      </c>
      <c r="BS69" s="22">
        <f t="shared" si="63"/>
        <v>20.840800226091797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6.4078525641025657</v>
      </c>
      <c r="BY69" s="12">
        <f>IF('Données projet'!$A$114&gt;35,BY68+BX69-CG68,IF(A69&lt;'Données projet'!$A$114,$BV$205^A69,IF(A69='Données projet'!$A$114,'Données projet'!$B$114,BY68+BX69-CG68)))</f>
        <v>165.53044871794881</v>
      </c>
      <c r="BZ69" s="13">
        <f>BY69*VLOOKUP('Données projet'!$B$12,Paramètres!$A$1:$I$89,3,0)*VLOOKUP('Données projet'!$B$12,Paramètres!$A$1:$I$89,5,0)</f>
        <v>149.77195000000009</v>
      </c>
      <c r="CA69" s="13">
        <f t="shared" ref="CA69:CA132" si="93">EXP(-1.0587+0.8836*LN(BZ69)+0.284)</f>
        <v>38.526755851762609</v>
      </c>
      <c r="CB69" s="20">
        <f t="shared" si="64"/>
        <v>327.95357935848665</v>
      </c>
      <c r="CC69" s="59">
        <f t="shared" si="65"/>
        <v>621.28691269181991</v>
      </c>
      <c r="CD69" s="59">
        <f ca="1">AVERAGE(OFFSET($CC$3,0,0,'Données projet'!$E$12+1,1))-AVERAGE(OFFSET($H$3,0,0,'Données projet'!$E$12+1,1))</f>
        <v>437.94387006020412</v>
      </c>
      <c r="CE69" s="59">
        <f t="shared" ref="CE69:CE132" si="94">$CE$3</f>
        <v>213.95083535531376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12.440000000000003</v>
      </c>
      <c r="CT69" s="12">
        <f>IF('Données projet'!$A$140&gt;35,CT68+CS69-DB68,IF(A69&lt;'Données projet'!$A$140,$CQ$205^A69,IF(A69='Données projet'!$A$140,'Données projet'!$B$140,CT68+CS69-DB68)))</f>
        <v>344.14000000000016</v>
      </c>
      <c r="CU69" s="17">
        <f>CT69*VLOOKUP('Données projet'!$B$13,Paramètres!$A$1:$I$89,3,0)*VLOOKUP('Données projet'!$B$13,Paramètres!$A$1:$I$89,5,0)</f>
        <v>165.53134000000009</v>
      </c>
      <c r="CV69" s="13">
        <f t="shared" ref="CV69:CV132" si="95">EXP(-1.0587+0.8836*LN(CU69)+0.284)</f>
        <v>42.087646078408042</v>
      </c>
      <c r="CW69" s="20">
        <f t="shared" si="67"/>
        <v>361.60306741989416</v>
      </c>
      <c r="CX69" s="59">
        <f t="shared" si="68"/>
        <v>654.93640075322742</v>
      </c>
      <c r="CY69" s="59">
        <f ca="1">AVERAGE(OFFSET($CX$3,0,0,'Données projet'!$E$13+1,1))-AVERAGE(OFFSET($H$3,0,0,'Données projet'!$E$13+1,1))</f>
        <v>258.42493116335032</v>
      </c>
      <c r="CZ69" s="59">
        <f t="shared" ref="CZ69:CZ132" si="96">$CZ$3</f>
        <v>102.46122697336466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29.042403462353839</v>
      </c>
      <c r="DG69" s="21">
        <f>EXP(-LN(2)/25)*DG68+(1-EXP(-LN(2)/25))/(LN(2)/25)*Calculateur!DB69*Calculateur!DD69*VLOOKUP('Données projet'!$B$13,Paramètres!$A$1:$I$89,3,0)*0.475*44/12</f>
        <v>19.754299839148626</v>
      </c>
      <c r="DH69" s="21">
        <f>EXP(-LN(2)/2)*DH68+(1-EXP(-LN(2)/2))/(LN(2)/2)*DB69*DE69*VLOOKUP('Données projet'!$B$13,Paramètres!$A$1:$I$89,3,0)*0.475*44/12</f>
        <v>1.294243445285336</v>
      </c>
      <c r="DI69" s="22">
        <f t="shared" si="69"/>
        <v>50.0909467467878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5</v>
      </c>
      <c r="DO69" s="12">
        <f>IF('Données projet'!$A$166&gt;35,DO68+DN69-DW68,IF(A69&lt;'Données projet'!$A$166,$DL$205^A69,IF(A69='Données projet'!$A$166,'Données projet'!$B$166,DO68+DN69-DW68)))</f>
        <v>217</v>
      </c>
      <c r="DP69" s="17">
        <f>DO69*VLOOKUP('Données projet'!$B$14,Paramètres!$A$1:$I$89,3,0)*VLOOKUP('Données projet'!$B$14,Paramètres!$A$1:$I$89,5,0)</f>
        <v>189.57120000000003</v>
      </c>
      <c r="DQ69" s="13">
        <f t="shared" ref="DQ69:DQ132" si="97">EXP(-1.0587+0.8836*LN(DP69)+0.284)</f>
        <v>47.44513879693244</v>
      </c>
      <c r="DR69" s="20">
        <f t="shared" si="70"/>
        <v>412.8034567379907</v>
      </c>
      <c r="DS69" s="59">
        <f t="shared" si="71"/>
        <v>706.13679007132396</v>
      </c>
      <c r="DT69" s="59">
        <f ca="1">AVERAGE(OFFSET($DS$3,0,0,'Données projet'!$E$14+1,1))-AVERAGE(OFFSET($H$3,0,0,'Données projet'!$E$14+1,1))</f>
        <v>354.24684313982857</v>
      </c>
      <c r="DU69" s="59">
        <f t="shared" ref="DU69:DU132" si="98">$DU$3</f>
        <v>322.65043486962185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16.768907093408426</v>
      </c>
      <c r="EB69" s="21">
        <f>EXP(-LN(2)/25)*EB68+(1-EXP(-LN(2)/25))/(LN(2)/25)*Calculateur!DW69*Calculateur!DY69*VLOOKUP('Données projet'!$B$14,Paramètres!$A$1:$I$89,3,0)*0.475*44/12</f>
        <v>18.996836392027667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35.76574348543609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9.9715384615384544</v>
      </c>
      <c r="N70" s="13">
        <f>IF('Données projet'!$A$36&gt;35,N69+M70-V69,IF(A70&lt;'Données projet'!$A$36,$K$205^A70,IF(A70='Données projet'!$A$36,'Données projet'!$B$36,N69+M70-V69)))</f>
        <v>430.47923076923075</v>
      </c>
      <c r="O70" s="13">
        <f>N70*VLOOKUP('Données projet'!$B$9,Paramètres!$A$1:$I$89,3,0)*VLOOKUP('Données projet'!$B$9,Paramètres!$A$1:$I$89,5,0)</f>
        <v>257.42658</v>
      </c>
      <c r="P70" s="13">
        <f t="shared" si="87"/>
        <v>62.173511644566837</v>
      </c>
      <c r="Q70" s="20">
        <f t="shared" si="54"/>
        <v>556.63682628095387</v>
      </c>
      <c r="R70" s="59">
        <f t="shared" si="55"/>
        <v>849.97015961428724</v>
      </c>
      <c r="S70" s="59">
        <f ca="1">AVERAGE(OFFSET($R$3,0,0,'Données projet'!$E$9+1,1))-AVERAGE(OFFSET($H$3,0,0,'Données projet'!$E$9+1,1))</f>
        <v>355.09162485318728</v>
      </c>
      <c r="T70" s="59">
        <f t="shared" si="88"/>
        <v>320.06572891923685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57.770984238472266</v>
      </c>
      <c r="AA70" s="21">
        <f>EXP(-LN(2)/25)*AA69+(1-EXP(-LN(2)/25))/(LN(2)/25)*Calculateur!V70*Calculateur!X70*VLOOKUP('Données projet'!$B$9,Paramètres!$A$1:$I$89,3,0)*0.475*44/12</f>
        <v>14.539371352520474</v>
      </c>
      <c r="AB70" s="21">
        <f>EXP(-LN(2)/2)*AB69+(1-EXP(-LN(2)/2))/(LN(2)/2)*V70*Y70*VLOOKUP('Données projet'!$B$9,Paramètres!$A$1:$I$89,3,0)*0.475*44/12</f>
        <v>4.4299136264629375</v>
      </c>
      <c r="AC70" s="22">
        <f t="shared" si="57"/>
        <v>76.740269217455676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9.8224358974358967</v>
      </c>
      <c r="AI70" s="13">
        <f>IF('Données projet'!$A$62&gt;35,AI69+AH70-AQ69,IF(A70&lt;'Données projet'!$A$62,$AF$205^A70,IF(A70='Données projet'!$A$62,'Données projet'!$B$62,AI69+AH70-AQ69)))</f>
        <v>281.89743589743614</v>
      </c>
      <c r="AJ70" s="13">
        <f>AI70*VLOOKUP('Données projet'!$B$10,Paramètres!$A$1:$I$89,3,0)*VLOOKUP('Données projet'!$B$10,Paramètres!$A$1:$I$89,5,0)</f>
        <v>131.92800000000011</v>
      </c>
      <c r="AK70" s="13">
        <f t="shared" si="89"/>
        <v>34.441481093359563</v>
      </c>
      <c r="AL70" s="20">
        <f t="shared" si="58"/>
        <v>289.76017957093472</v>
      </c>
      <c r="AM70" s="59">
        <f t="shared" si="59"/>
        <v>583.09351290426798</v>
      </c>
      <c r="AN70" s="59">
        <f ca="1">AVERAGE(OFFSET($AM$3,0,0,'Données projet'!$E$10+1,1))-AVERAGE(OFFSET($H$3,0,0,'Données projet'!$E$10+1,1))</f>
        <v>246.72166704460847</v>
      </c>
      <c r="AO70" s="59">
        <f t="shared" si="90"/>
        <v>145.54897745089966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23.866865870146526</v>
      </c>
      <c r="AV70" s="21">
        <f>EXP(-LN(2)/25)*AV69+(1-EXP(-LN(2)/25))/(LN(2)/25)*Calculateur!AQ70*Calculateur!AS70*VLOOKUP('Données projet'!$B$10,Paramètres!$A$1:$I$89,3,0)*0.475*44/12</f>
        <v>17.787431157663306</v>
      </c>
      <c r="AW70" s="21">
        <f>EXP(-LN(2)/2)*AW69+(1-EXP(-LN(2)/2))/(LN(2)/2)*AQ70*AT70*VLOOKUP('Données projet'!$B$10,Paramètres!$A$1:$I$89,3,0)*0.475*44/12</f>
        <v>1.9813428892161946</v>
      </c>
      <c r="AX70" s="21">
        <f t="shared" si="60"/>
        <v>43.635639917026026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88.478637356802039</v>
      </c>
      <c r="BJ70" s="59">
        <f t="shared" si="92"/>
        <v>239.55411297259155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17.793986252605212</v>
      </c>
      <c r="BQ70" s="21">
        <f>EXP(-LN(2)/25)*BQ69+(1-EXP(-LN(2)/25))/(LN(2)/25)*Calculateur!BL70*Calculateur!BN70*VLOOKUP('Données projet'!$B$11,Paramètres!$A$1:$I$89,3,0)*0.475*44/12</f>
        <v>2.6173210597300023</v>
      </c>
      <c r="BR70" s="21">
        <f>EXP(-LN(2)/2)*BR69+(1-EXP(-LN(2)/2))/(LN(2)/2)*BL70*BO70*VLOOKUP('Données projet'!$B$11,Paramètres!$A$1:$I$89,3,0)*0.475*44/12</f>
        <v>1.1597323826184565E-6</v>
      </c>
      <c r="BS70" s="22">
        <f t="shared" si="63"/>
        <v>20.411308472067596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6.4078525641025657</v>
      </c>
      <c r="BY70" s="12">
        <f>IF('Données projet'!$A$114&gt;35,BY69+BX70-CG69,IF(A70&lt;'Données projet'!$A$114,$BV$205^A70,IF(A70='Données projet'!$A$114,'Données projet'!$B$114,BY69+BX70-CG69)))</f>
        <v>171.93830128205138</v>
      </c>
      <c r="BZ70" s="13">
        <f>BY70*VLOOKUP('Données projet'!$B$12,Paramètres!$A$1:$I$89,3,0)*VLOOKUP('Données projet'!$B$12,Paramètres!$A$1:$I$89,5,0)</f>
        <v>155.56977500000008</v>
      </c>
      <c r="CA70" s="13">
        <f t="shared" si="93"/>
        <v>39.841638666929413</v>
      </c>
      <c r="CB70" s="20">
        <f t="shared" si="64"/>
        <v>340.3415454699022</v>
      </c>
      <c r="CC70" s="59">
        <f t="shared" si="65"/>
        <v>633.67487880323552</v>
      </c>
      <c r="CD70" s="59">
        <f ca="1">AVERAGE(OFFSET($CC$3,0,0,'Données projet'!$E$12+1,1))-AVERAGE(OFFSET($H$3,0,0,'Données projet'!$E$12+1,1))</f>
        <v>437.94387006020412</v>
      </c>
      <c r="CE70" s="59">
        <f t="shared" si="94"/>
        <v>213.95083535531376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12.440000000000003</v>
      </c>
      <c r="CT70" s="12">
        <f>IF('Données projet'!$A$140&gt;35,CT69+CS70-DB69,IF(A70&lt;'Données projet'!$A$140,$CQ$205^A70,IF(A70='Données projet'!$A$140,'Données projet'!$B$140,CT69+CS70-DB69)))</f>
        <v>356.58000000000015</v>
      </c>
      <c r="CU70" s="17">
        <f>CT70*VLOOKUP('Données projet'!$B$13,Paramètres!$A$1:$I$89,3,0)*VLOOKUP('Données projet'!$B$13,Paramètres!$A$1:$I$89,5,0)</f>
        <v>171.51498000000007</v>
      </c>
      <c r="CV70" s="13">
        <f t="shared" si="95"/>
        <v>43.429153306133657</v>
      </c>
      <c r="CW70" s="20">
        <f t="shared" si="67"/>
        <v>374.36103217484953</v>
      </c>
      <c r="CX70" s="59">
        <f t="shared" si="68"/>
        <v>667.69436550818284</v>
      </c>
      <c r="CY70" s="59">
        <f ca="1">AVERAGE(OFFSET($CX$3,0,0,'Données projet'!$E$13+1,1))-AVERAGE(OFFSET($H$3,0,0,'Données projet'!$E$13+1,1))</f>
        <v>258.42493116335032</v>
      </c>
      <c r="CZ70" s="59">
        <f t="shared" si="96"/>
        <v>102.46122697336466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28.472899644574067</v>
      </c>
      <c r="DG70" s="21">
        <f>EXP(-LN(2)/25)*DG69+(1-EXP(-LN(2)/25))/(LN(2)/25)*Calculateur!DB70*Calculateur!DD70*VLOOKUP('Données projet'!$B$13,Paramètres!$A$1:$I$89,3,0)*0.475*44/12</f>
        <v>19.214117471213626</v>
      </c>
      <c r="DH70" s="21">
        <f>EXP(-LN(2)/2)*DH69+(1-EXP(-LN(2)/2))/(LN(2)/2)*DB70*DE70*VLOOKUP('Données projet'!$B$13,Paramètres!$A$1:$I$89,3,0)*0.475*44/12</f>
        <v>0.91516831666750154</v>
      </c>
      <c r="DI70" s="22">
        <f t="shared" si="69"/>
        <v>48.602185432455201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5</v>
      </c>
      <c r="DO70" s="12">
        <f>IF('Données projet'!$A$166&gt;35,DO69+DN70-DW69,IF(A70&lt;'Données projet'!$A$166,$DL$205^A70,IF(A70='Données projet'!$A$166,'Données projet'!$B$166,DO69+DN70-DW69)))</f>
        <v>222</v>
      </c>
      <c r="DP70" s="17">
        <f>DO70*VLOOKUP('Données projet'!$B$14,Paramètres!$A$1:$I$89,3,0)*VLOOKUP('Données projet'!$B$14,Paramètres!$A$1:$I$89,5,0)</f>
        <v>193.93920000000003</v>
      </c>
      <c r="DQ70" s="13">
        <f t="shared" si="97"/>
        <v>48.409811198069384</v>
      </c>
      <c r="DR70" s="20">
        <f t="shared" si="70"/>
        <v>422.09119450330417</v>
      </c>
      <c r="DS70" s="59">
        <f t="shared" si="71"/>
        <v>715.42452783663748</v>
      </c>
      <c r="DT70" s="59">
        <f ca="1">AVERAGE(OFFSET($DS$3,0,0,'Données projet'!$E$14+1,1))-AVERAGE(OFFSET($H$3,0,0,'Données projet'!$E$14+1,1))</f>
        <v>354.24684313982857</v>
      </c>
      <c r="DU70" s="59">
        <f t="shared" si="98"/>
        <v>322.65043486962185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16.440079053330081</v>
      </c>
      <c r="EB70" s="21">
        <f>EXP(-LN(2)/25)*EB69+(1-EXP(-LN(2)/25))/(LN(2)/25)*Calculateur!DW70*Calculateur!DY70*VLOOKUP('Données projet'!$B$14,Paramètres!$A$1:$I$89,3,0)*0.475*44/12</f>
        <v>18.477366901887464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34.917445955217545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9.9715384615384544</v>
      </c>
      <c r="N71" s="13">
        <f>IF('Données projet'!$A$36&gt;35,N70+M71-V70,IF(A71&lt;'Données projet'!$A$36,$K$205^A71,IF(A71='Données projet'!$A$36,'Données projet'!$B$36,N70+M71-V70)))</f>
        <v>440.4507692307692</v>
      </c>
      <c r="O71" s="13">
        <f>N71*VLOOKUP('Données projet'!$B$9,Paramètres!$A$1:$I$89,3,0)*VLOOKUP('Données projet'!$B$9,Paramètres!$A$1:$I$89,5,0)</f>
        <v>263.38956000000002</v>
      </c>
      <c r="P71" s="13">
        <f t="shared" si="87"/>
        <v>63.444349611612601</v>
      </c>
      <c r="Q71" s="20">
        <f t="shared" si="54"/>
        <v>569.23572590689196</v>
      </c>
      <c r="R71" s="59">
        <f t="shared" si="55"/>
        <v>862.56905924022522</v>
      </c>
      <c r="S71" s="59">
        <f ca="1">AVERAGE(OFFSET($R$3,0,0,'Données projet'!$E$9+1,1))-AVERAGE(OFFSET($H$3,0,0,'Données projet'!$E$9+1,1))</f>
        <v>355.09162485318728</v>
      </c>
      <c r="T71" s="59">
        <f t="shared" si="88"/>
        <v>320.06572891923685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56.638130474376865</v>
      </c>
      <c r="AA71" s="21">
        <f>EXP(-LN(2)/25)*AA70+(1-EXP(-LN(2)/25))/(LN(2)/25)*Calculateur!V71*Calculateur!X71*VLOOKUP('Données projet'!$B$9,Paramètres!$A$1:$I$89,3,0)*0.475*44/12</f>
        <v>14.141791478293493</v>
      </c>
      <c r="AB71" s="21">
        <f>EXP(-LN(2)/2)*AB70+(1-EXP(-LN(2)/2))/(LN(2)/2)*V71*Y71*VLOOKUP('Données projet'!$B$9,Paramètres!$A$1:$I$89,3,0)*0.475*44/12</f>
        <v>3.1324219653426337</v>
      </c>
      <c r="AC71" s="22">
        <f t="shared" si="57"/>
        <v>73.912343918012994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9.8224358974358967</v>
      </c>
      <c r="AI71" s="13">
        <f>IF('Données projet'!$A$62&gt;35,AI70+AH71-AQ70,IF(A71&lt;'Données projet'!$A$62,$AF$205^A71,IF(A71='Données projet'!$A$62,'Données projet'!$B$62,AI70+AH71-AQ70)))</f>
        <v>291.71987179487206</v>
      </c>
      <c r="AJ71" s="13">
        <f>AI71*VLOOKUP('Données projet'!$B$10,Paramètres!$A$1:$I$89,3,0)*VLOOKUP('Données projet'!$B$10,Paramètres!$A$1:$I$89,5,0)</f>
        <v>136.52490000000012</v>
      </c>
      <c r="AK71" s="13">
        <f t="shared" si="89"/>
        <v>35.49974803884507</v>
      </c>
      <c r="AL71" s="20">
        <f t="shared" si="58"/>
        <v>299.60959533432202</v>
      </c>
      <c r="AM71" s="59">
        <f t="shared" si="59"/>
        <v>592.94292866765534</v>
      </c>
      <c r="AN71" s="59">
        <f ca="1">AVERAGE(OFFSET($AM$3,0,0,'Données projet'!$E$10+1,1))-AVERAGE(OFFSET($H$3,0,0,'Données projet'!$E$10+1,1))</f>
        <v>246.72166704460847</v>
      </c>
      <c r="AO71" s="59">
        <f t="shared" si="90"/>
        <v>145.54897745089966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23.398851187783716</v>
      </c>
      <c r="AV71" s="21">
        <f>EXP(-LN(2)/25)*AV70+(1-EXP(-LN(2)/25))/(LN(2)/25)*Calculateur!AQ71*Calculateur!AS71*VLOOKUP('Données projet'!$B$10,Paramètres!$A$1:$I$89,3,0)*0.475*44/12</f>
        <v>17.301032917256652</v>
      </c>
      <c r="AW71" s="21">
        <f>EXP(-LN(2)/2)*AW70+(1-EXP(-LN(2)/2))/(LN(2)/2)*AQ71*AT71*VLOOKUP('Données projet'!$B$10,Paramètres!$A$1:$I$89,3,0)*0.475*44/12</f>
        <v>1.4010209928205177</v>
      </c>
      <c r="AX71" s="21">
        <f t="shared" si="60"/>
        <v>42.100905097860888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88.478637356802039</v>
      </c>
      <c r="BJ71" s="59">
        <f t="shared" si="92"/>
        <v>239.55411297259155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17.445057035451565</v>
      </c>
      <c r="BQ71" s="21">
        <f>EXP(-LN(2)/25)*BQ70+(1-EXP(-LN(2)/25))/(LN(2)/25)*Calculateur!BL71*Calculateur!BN71*VLOOKUP('Données projet'!$B$11,Paramètres!$A$1:$I$89,3,0)*0.475*44/12</f>
        <v>2.5457502777127528</v>
      </c>
      <c r="BR71" s="21">
        <f>EXP(-LN(2)/2)*BR70+(1-EXP(-LN(2)/2))/(LN(2)/2)*BL71*BO71*VLOOKUP('Données projet'!$B$11,Paramètres!$A$1:$I$89,3,0)*0.475*44/12</f>
        <v>8.2005463211114232E-7</v>
      </c>
      <c r="BS71" s="22">
        <f t="shared" si="63"/>
        <v>19.990808133218948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>
        <f>VLOOKUP(A71,'Données projet'!$A$113:$I$133,2,0)</f>
        <v>178.34615384615387</v>
      </c>
      <c r="BW71" s="12">
        <f>VLOOKUP(A71,'Données projet'!$A$113:$I$133,9,0)</f>
        <v>6.4078525641025657</v>
      </c>
      <c r="BX71" s="12">
        <f t="array" ref="BX71">INDEX(BW:BW,MIN(IF(ISNUMBER(BW71:BW267),ROW(BW71:BW267),"")))</f>
        <v>6.4078525641025657</v>
      </c>
      <c r="BY71" s="12">
        <f>IF('Données projet'!$A$114&gt;35,BY70+BX71-CG70,IF(A71&lt;'Données projet'!$A$114,$BV$205^A71,IF(A71='Données projet'!$A$114,'Données projet'!$B$114,BY70+BX71-CG70)))</f>
        <v>178.34615384615395</v>
      </c>
      <c r="BZ71" s="13">
        <f>BY71*VLOOKUP('Données projet'!$B$12,Paramètres!$A$1:$I$89,3,0)*VLOOKUP('Données projet'!$B$12,Paramètres!$A$1:$I$89,5,0)</f>
        <v>161.3676000000001</v>
      </c>
      <c r="CA71" s="13">
        <f t="shared" si="93"/>
        <v>41.150828439142686</v>
      </c>
      <c r="CB71" s="20">
        <f t="shared" si="64"/>
        <v>352.71959619817363</v>
      </c>
      <c r="CC71" s="59">
        <f t="shared" si="65"/>
        <v>646.05292953150695</v>
      </c>
      <c r="CD71" s="59">
        <f ca="1">AVERAGE(OFFSET($CC$3,0,0,'Données projet'!$E$12+1,1))-AVERAGE(OFFSET($H$3,0,0,'Données projet'!$E$12+1,1))</f>
        <v>437.94387006020412</v>
      </c>
      <c r="CE71" s="59">
        <f t="shared" si="94"/>
        <v>213.95083535531376</v>
      </c>
      <c r="CF71" s="15">
        <f>IF(ISNA(VLOOKUP(A71,'Données projet'!$A$113:$I$133,3,0)),0,VLOOKUP(A71,'Données projet'!$A$113:$I$133,3,0))</f>
        <v>5</v>
      </c>
      <c r="CG71" s="15">
        <f>IF(ISNA(VLOOKUP(A71,'Données projet'!$A$113:$I$133,4,0)),0,VLOOKUP(A71,'Données projet'!$A$113:$I$133,4,0))</f>
        <v>33.256410256410255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12.440000000000003</v>
      </c>
      <c r="CT71" s="12">
        <f>IF('Données projet'!$A$140&gt;35,CT70+CS71-DB70,IF(A71&lt;'Données projet'!$A$140,$CQ$205^A71,IF(A71='Données projet'!$A$140,'Données projet'!$B$140,CT70+CS71-DB70)))</f>
        <v>369.02000000000015</v>
      </c>
      <c r="CU71" s="17">
        <f>CT71*VLOOKUP('Données projet'!$B$13,Paramètres!$A$1:$I$89,3,0)*VLOOKUP('Données projet'!$B$13,Paramètres!$A$1:$I$89,5,0)</f>
        <v>177.49862000000007</v>
      </c>
      <c r="CV71" s="13">
        <f t="shared" si="95"/>
        <v>44.765222762207046</v>
      </c>
      <c r="CW71" s="20">
        <f t="shared" si="67"/>
        <v>387.10952614417732</v>
      </c>
      <c r="CX71" s="59">
        <f t="shared" si="68"/>
        <v>680.44285947751064</v>
      </c>
      <c r="CY71" s="59">
        <f ca="1">AVERAGE(OFFSET($CX$3,0,0,'Données projet'!$E$13+1,1))-AVERAGE(OFFSET($H$3,0,0,'Données projet'!$E$13+1,1))</f>
        <v>258.42493116335032</v>
      </c>
      <c r="CZ71" s="59">
        <f t="shared" si="96"/>
        <v>102.46122697336466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27.91456344929793</v>
      </c>
      <c r="DG71" s="21">
        <f>EXP(-LN(2)/25)*DG70+(1-EXP(-LN(2)/25))/(LN(2)/25)*Calculateur!DB71*Calculateur!DD71*VLOOKUP('Données projet'!$B$13,Paramètres!$A$1:$I$89,3,0)*0.475*44/12</f>
        <v>18.688706418536768</v>
      </c>
      <c r="DH71" s="21">
        <f>EXP(-LN(2)/2)*DH70+(1-EXP(-LN(2)/2))/(LN(2)/2)*DB71*DE71*VLOOKUP('Données projet'!$B$13,Paramètres!$A$1:$I$89,3,0)*0.475*44/12</f>
        <v>0.6471217226426681</v>
      </c>
      <c r="DI71" s="22">
        <f t="shared" si="69"/>
        <v>47.250391590477363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5</v>
      </c>
      <c r="DO71" s="12">
        <f>IF('Données projet'!$A$166&gt;35,DO70+DN71-DW70,IF(A71&lt;'Données projet'!$A$166,$DL$205^A71,IF(A71='Données projet'!$A$166,'Données projet'!$B$166,DO70+DN71-DW70)))</f>
        <v>227</v>
      </c>
      <c r="DP71" s="17">
        <f>DO71*VLOOKUP('Données projet'!$B$14,Paramètres!$A$1:$I$89,3,0)*VLOOKUP('Données projet'!$B$14,Paramètres!$A$1:$I$89,5,0)</f>
        <v>198.30720000000002</v>
      </c>
      <c r="DQ71" s="13">
        <f t="shared" si="97"/>
        <v>49.371957679623371</v>
      </c>
      <c r="DR71" s="20">
        <f t="shared" si="70"/>
        <v>431.37453295867743</v>
      </c>
      <c r="DS71" s="59">
        <f t="shared" si="71"/>
        <v>724.70786629201075</v>
      </c>
      <c r="DT71" s="59">
        <f ca="1">AVERAGE(OFFSET($DS$3,0,0,'Données projet'!$E$14+1,1))-AVERAGE(OFFSET($H$3,0,0,'Données projet'!$E$14+1,1))</f>
        <v>354.24684313982857</v>
      </c>
      <c r="DU71" s="59">
        <f t="shared" si="98"/>
        <v>322.65043486962185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16.117699130552371</v>
      </c>
      <c r="EB71" s="21">
        <f>EXP(-LN(2)/25)*EB70+(1-EXP(-LN(2)/25))/(LN(2)/25)*Calculateur!DW71*Calculateur!DY71*VLOOKUP('Données projet'!$B$14,Paramètres!$A$1:$I$89,3,0)*0.475*44/12</f>
        <v>17.972102332272858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34.089801462825228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9.9715384615384544</v>
      </c>
      <c r="N72" s="13">
        <f>IF('Données projet'!$A$36&gt;35,N71+M72-V71,IF(A72&lt;'Données projet'!$A$36,$K$205^A72,IF(A72='Données projet'!$A$36,'Données projet'!$B$36,N71+M72-V71)))</f>
        <v>450.42230769230764</v>
      </c>
      <c r="O72" s="13">
        <f>N72*VLOOKUP('Données projet'!$B$9,Paramètres!$A$1:$I$89,3,0)*VLOOKUP('Données projet'!$B$9,Paramètres!$A$1:$I$89,5,0)</f>
        <v>269.35253999999998</v>
      </c>
      <c r="P72" s="13">
        <f t="shared" si="87"/>
        <v>64.711842740845071</v>
      </c>
      <c r="Q72" s="20">
        <f t="shared" si="54"/>
        <v>581.8287999403052</v>
      </c>
      <c r="R72" s="59">
        <f t="shared" si="55"/>
        <v>875.16213327363857</v>
      </c>
      <c r="S72" s="59">
        <f ca="1">AVERAGE(OFFSET($R$3,0,0,'Données projet'!$E$9+1,1))-AVERAGE(OFFSET($H$3,0,0,'Données projet'!$E$9+1,1))</f>
        <v>355.09162485318728</v>
      </c>
      <c r="T72" s="59">
        <f t="shared" si="88"/>
        <v>320.06572891923685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55.527491281622808</v>
      </c>
      <c r="AA72" s="21">
        <f>EXP(-LN(2)/25)*AA71+(1-EXP(-LN(2)/25))/(LN(2)/25)*Calculateur!V72*Calculateur!X72*VLOOKUP('Données projet'!$B$9,Paramètres!$A$1:$I$89,3,0)*0.475*44/12</f>
        <v>13.755083446635066</v>
      </c>
      <c r="AB72" s="21">
        <f>EXP(-LN(2)/2)*AB71+(1-EXP(-LN(2)/2))/(LN(2)/2)*V72*Y72*VLOOKUP('Données projet'!$B$9,Paramètres!$A$1:$I$89,3,0)*0.475*44/12</f>
        <v>2.2149568132314692</v>
      </c>
      <c r="AC72" s="22">
        <f t="shared" si="57"/>
        <v>71.497531541489337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9.8224358974358967</v>
      </c>
      <c r="AI72" s="13">
        <f>IF('Données projet'!$A$62&gt;35,AI71+AH72-AQ71,IF(A72&lt;'Données projet'!$A$62,$AF$205^A72,IF(A72='Données projet'!$A$62,'Données projet'!$B$62,AI71+AH72-AQ71)))</f>
        <v>301.54230769230799</v>
      </c>
      <c r="AJ72" s="13">
        <f>AI72*VLOOKUP('Données projet'!$B$10,Paramètres!$A$1:$I$89,3,0)*VLOOKUP('Données projet'!$B$10,Paramètres!$A$1:$I$89,5,0)</f>
        <v>141.12180000000015</v>
      </c>
      <c r="AK72" s="13">
        <f t="shared" si="89"/>
        <v>36.553874631825011</v>
      </c>
      <c r="AL72" s="20">
        <f t="shared" si="58"/>
        <v>309.4517999837621</v>
      </c>
      <c r="AM72" s="59">
        <f t="shared" si="59"/>
        <v>602.78513331709541</v>
      </c>
      <c r="AN72" s="59">
        <f ca="1">AVERAGE(OFFSET($AM$3,0,0,'Données projet'!$E$10+1,1))-AVERAGE(OFFSET($H$3,0,0,'Données projet'!$E$10+1,1))</f>
        <v>246.72166704460847</v>
      </c>
      <c r="AO72" s="59">
        <f t="shared" si="90"/>
        <v>145.54897745089966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22.940013987881269</v>
      </c>
      <c r="AV72" s="21">
        <f>EXP(-LN(2)/25)*AV71+(1-EXP(-LN(2)/25))/(LN(2)/25)*Calculateur!AQ72*Calculateur!AS72*VLOOKUP('Données projet'!$B$10,Paramètres!$A$1:$I$89,3,0)*0.475*44/12</f>
        <v>16.82793526231249</v>
      </c>
      <c r="AW72" s="21">
        <f>EXP(-LN(2)/2)*AW71+(1-EXP(-LN(2)/2))/(LN(2)/2)*AQ72*AT72*VLOOKUP('Données projet'!$B$10,Paramètres!$A$1:$I$89,3,0)*0.475*44/12</f>
        <v>0.99067144460809742</v>
      </c>
      <c r="AX72" s="21">
        <f t="shared" si="60"/>
        <v>40.758620694801856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88.478637356802039</v>
      </c>
      <c r="BJ72" s="59">
        <f t="shared" si="92"/>
        <v>239.55411297259155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17.102970107420497</v>
      </c>
      <c r="BQ72" s="21">
        <f>EXP(-LN(2)/25)*BQ71+(1-EXP(-LN(2)/25))/(LN(2)/25)*Calculateur!BL72*Calculateur!BN72*VLOOKUP('Données projet'!$B$11,Paramètres!$A$1:$I$89,3,0)*0.475*44/12</f>
        <v>2.4761366024935088</v>
      </c>
      <c r="BR72" s="21">
        <f>EXP(-LN(2)/2)*BR71+(1-EXP(-LN(2)/2))/(LN(2)/2)*BL72*BO72*VLOOKUP('Données projet'!$B$11,Paramètres!$A$1:$I$89,3,0)*0.475*44/12</f>
        <v>5.7986619130922824E-7</v>
      </c>
      <c r="BS72" s="22">
        <f t="shared" si="63"/>
        <v>19.579107289780197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6.2679487179487152</v>
      </c>
      <c r="BY72" s="12">
        <f>IF('Données projet'!$A$114&gt;35,BY71+BX72-CG71,IF(A72&lt;'Données projet'!$A$114,$BV$205^A72,IF(A72='Données projet'!$A$114,'Données projet'!$B$114,BY71+BX72-CG71)))</f>
        <v>151.35769230769242</v>
      </c>
      <c r="BZ72" s="13">
        <f>BY72*VLOOKUP('Données projet'!$B$12,Paramètres!$A$1:$I$89,3,0)*VLOOKUP('Données projet'!$B$12,Paramètres!$A$1:$I$89,5,0)</f>
        <v>136.94844000000009</v>
      </c>
      <c r="CA72" s="13">
        <f t="shared" si="93"/>
        <v>35.597041849388326</v>
      </c>
      <c r="CB72" s="20">
        <f t="shared" si="64"/>
        <v>300.51671422101811</v>
      </c>
      <c r="CC72" s="59">
        <f t="shared" si="65"/>
        <v>593.85004755435148</v>
      </c>
      <c r="CD72" s="59">
        <f ca="1">AVERAGE(OFFSET($CC$3,0,0,'Données projet'!$E$12+1,1))-AVERAGE(OFFSET($H$3,0,0,'Données projet'!$E$12+1,1))</f>
        <v>437.94387006020412</v>
      </c>
      <c r="CE72" s="59">
        <f t="shared" si="94"/>
        <v>213.95083535531376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12.440000000000003</v>
      </c>
      <c r="CT72" s="12">
        <f>IF('Données projet'!$A$140&gt;35,CT71+CS72-DB71,IF(A72&lt;'Données projet'!$A$140,$CQ$205^A72,IF(A72='Données projet'!$A$140,'Données projet'!$B$140,CT71+CS72-DB71)))</f>
        <v>381.46000000000015</v>
      </c>
      <c r="CU72" s="17">
        <f>CT72*VLOOKUP('Données projet'!$B$13,Paramètres!$A$1:$I$89,3,0)*VLOOKUP('Données projet'!$B$13,Paramètres!$A$1:$I$89,5,0)</f>
        <v>183.48226000000008</v>
      </c>
      <c r="CV72" s="13">
        <f t="shared" si="95"/>
        <v>46.096058774030688</v>
      </c>
      <c r="CW72" s="20">
        <f t="shared" si="67"/>
        <v>399.84890519810352</v>
      </c>
      <c r="CX72" s="59">
        <f t="shared" si="68"/>
        <v>693.18223853143684</v>
      </c>
      <c r="CY72" s="59">
        <f ca="1">AVERAGE(OFFSET($CX$3,0,0,'Données projet'!$E$13+1,1))-AVERAGE(OFFSET($H$3,0,0,'Données projet'!$E$13+1,1))</f>
        <v>258.42493116335032</v>
      </c>
      <c r="CZ72" s="59">
        <f t="shared" si="96"/>
        <v>102.46122697336466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27.367175886259705</v>
      </c>
      <c r="DG72" s="21">
        <f>EXP(-LN(2)/25)*DG71+(1-EXP(-LN(2)/25))/(LN(2)/25)*Calculateur!DB72*Calculateur!DD72*VLOOKUP('Données projet'!$B$13,Paramètres!$A$1:$I$89,3,0)*0.475*44/12</f>
        <v>18.177662758725521</v>
      </c>
      <c r="DH72" s="21">
        <f>EXP(-LN(2)/2)*DH71+(1-EXP(-LN(2)/2))/(LN(2)/2)*DB72*DE72*VLOOKUP('Données projet'!$B$13,Paramètres!$A$1:$I$89,3,0)*0.475*44/12</f>
        <v>0.45758415833375082</v>
      </c>
      <c r="DI72" s="22">
        <f t="shared" si="69"/>
        <v>46.002422803318979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5</v>
      </c>
      <c r="DO72" s="12">
        <f>IF('Données projet'!$A$166&gt;35,DO71+DN72-DW71,IF(A72&lt;'Données projet'!$A$166,$DL$205^A72,IF(A72='Données projet'!$A$166,'Données projet'!$B$166,DO71+DN72-DW71)))</f>
        <v>232</v>
      </c>
      <c r="DP72" s="17">
        <f>DO72*VLOOKUP('Données projet'!$B$14,Paramètres!$A$1:$I$89,3,0)*VLOOKUP('Données projet'!$B$14,Paramètres!$A$1:$I$89,5,0)</f>
        <v>202.67520000000002</v>
      </c>
      <c r="DQ72" s="13">
        <f t="shared" si="97"/>
        <v>50.331640285313689</v>
      </c>
      <c r="DR72" s="20">
        <f t="shared" si="70"/>
        <v>440.653580163588</v>
      </c>
      <c r="DS72" s="59">
        <f t="shared" si="71"/>
        <v>733.98691349692126</v>
      </c>
      <c r="DT72" s="59">
        <f ca="1">AVERAGE(OFFSET($DS$3,0,0,'Données projet'!$E$14+1,1))-AVERAGE(OFFSET($H$3,0,0,'Données projet'!$E$14+1,1))</f>
        <v>354.24684313982857</v>
      </c>
      <c r="DU72" s="59">
        <f t="shared" si="98"/>
        <v>322.65043486962185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15.801640881427995</v>
      </c>
      <c r="EB72" s="21">
        <f>EXP(-LN(2)/25)*EB71+(1-EXP(-LN(2)/25))/(LN(2)/25)*Calculateur!DW72*Calculateur!DY72*VLOOKUP('Données projet'!$B$14,Paramètres!$A$1:$I$89,3,0)*0.475*44/12</f>
        <v>17.48065424888507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33.282295130313067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9.9715384615384544</v>
      </c>
      <c r="N73" s="13">
        <f>IF('Données projet'!$A$36&gt;35,N72+M73-V72,IF(A73&lt;'Données projet'!$A$36,$K$205^A73,IF(A73='Données projet'!$A$36,'Données projet'!$B$36,N72+M73-V72)))</f>
        <v>460.39384615384608</v>
      </c>
      <c r="O73" s="13">
        <f>N73*VLOOKUP('Données projet'!$B$9,Paramètres!$A$1:$I$89,3,0)*VLOOKUP('Données projet'!$B$9,Paramètres!$A$1:$I$89,5,0)</f>
        <v>275.31551999999994</v>
      </c>
      <c r="P73" s="13">
        <f t="shared" si="87"/>
        <v>65.976073607419792</v>
      </c>
      <c r="Q73" s="20">
        <f t="shared" si="54"/>
        <v>594.41619219958932</v>
      </c>
      <c r="R73" s="59">
        <f t="shared" si="55"/>
        <v>887.74952553292269</v>
      </c>
      <c r="S73" s="59">
        <f ca="1">AVERAGE(OFFSET($R$3,0,0,'Données projet'!$E$9+1,1))-AVERAGE(OFFSET($H$3,0,0,'Données projet'!$E$9+1,1))</f>
        <v>355.09162485318728</v>
      </c>
      <c r="T73" s="59">
        <f t="shared" si="88"/>
        <v>320.06572891923685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54.438631046015637</v>
      </c>
      <c r="AA73" s="21">
        <f>EXP(-LN(2)/25)*AA72+(1-EXP(-LN(2)/25))/(LN(2)/25)*Calculateur!V73*Calculateur!X73*VLOOKUP('Données projet'!$B$9,Paramètres!$A$1:$I$89,3,0)*0.475*44/12</f>
        <v>13.378949966438428</v>
      </c>
      <c r="AB73" s="21">
        <f>EXP(-LN(2)/2)*AB72+(1-EXP(-LN(2)/2))/(LN(2)/2)*V73*Y73*VLOOKUP('Données projet'!$B$9,Paramètres!$A$1:$I$89,3,0)*0.475*44/12</f>
        <v>1.5662109826713173</v>
      </c>
      <c r="AC73" s="22">
        <f t="shared" si="57"/>
        <v>69.383791995125392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9.8224358974358967</v>
      </c>
      <c r="AI73" s="13">
        <f>IF('Données projet'!$A$62&gt;35,AI72+AH73-AQ72,IF(A73&lt;'Données projet'!$A$62,$AF$205^A73,IF(A73='Données projet'!$A$62,'Données projet'!$B$62,AI72+AH73-AQ72)))</f>
        <v>311.36474358974391</v>
      </c>
      <c r="AJ73" s="13">
        <f>AI73*VLOOKUP('Données projet'!$B$10,Paramètres!$A$1:$I$89,3,0)*VLOOKUP('Données projet'!$B$10,Paramètres!$A$1:$I$89,5,0)</f>
        <v>145.71870000000015</v>
      </c>
      <c r="AK73" s="13">
        <f t="shared" si="89"/>
        <v>37.604011207604955</v>
      </c>
      <c r="AL73" s="20">
        <f t="shared" si="58"/>
        <v>319.28705535324553</v>
      </c>
      <c r="AM73" s="59">
        <f t="shared" si="59"/>
        <v>612.62038868657885</v>
      </c>
      <c r="AN73" s="59">
        <f ca="1">AVERAGE(OFFSET($AM$3,0,0,'Données projet'!$E$10+1,1))-AVERAGE(OFFSET($H$3,0,0,'Données projet'!$E$10+1,1))</f>
        <v>246.72166704460847</v>
      </c>
      <c r="AO73" s="59">
        <f t="shared" si="90"/>
        <v>145.54897745089966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22.490174305605851</v>
      </c>
      <c r="AV73" s="21">
        <f>EXP(-LN(2)/25)*AV72+(1-EXP(-LN(2)/25))/(LN(2)/25)*Calculateur!AQ73*Calculateur!AS73*VLOOKUP('Données projet'!$B$10,Paramètres!$A$1:$I$89,3,0)*0.475*44/12</f>
        <v>16.367774487621901</v>
      </c>
      <c r="AW73" s="21">
        <f>EXP(-LN(2)/2)*AW72+(1-EXP(-LN(2)/2))/(LN(2)/2)*AQ73*AT73*VLOOKUP('Données projet'!$B$10,Paramètres!$A$1:$I$89,3,0)*0.475*44/12</f>
        <v>0.70051049641025898</v>
      </c>
      <c r="AX73" s="21">
        <f t="shared" si="60"/>
        <v>39.558459289638009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88.478637356802039</v>
      </c>
      <c r="BJ73" s="59">
        <f t="shared" si="92"/>
        <v>239.55411297259155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16.767591295395693</v>
      </c>
      <c r="BQ73" s="21">
        <f>EXP(-LN(2)/25)*BQ72+(1-EXP(-LN(2)/25))/(LN(2)/25)*Calculateur!BL73*Calculateur!BN73*VLOOKUP('Données projet'!$B$11,Paramètres!$A$1:$I$89,3,0)*0.475*44/12</f>
        <v>2.4084265168839591</v>
      </c>
      <c r="BR73" s="21">
        <f>EXP(-LN(2)/2)*BR72+(1-EXP(-LN(2)/2))/(LN(2)/2)*BL73*BO73*VLOOKUP('Données projet'!$B$11,Paramètres!$A$1:$I$89,3,0)*0.475*44/12</f>
        <v>4.1002731605557116E-7</v>
      </c>
      <c r="BS73" s="22">
        <f t="shared" si="63"/>
        <v>19.176018222306968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6.2679487179487152</v>
      </c>
      <c r="BY73" s="12">
        <f>IF('Données projet'!$A$114&gt;35,BY72+BX73-CG72,IF(A73&lt;'Données projet'!$A$114,$BV$205^A73,IF(A73='Données projet'!$A$114,'Données projet'!$B$114,BY72+BX73-CG72)))</f>
        <v>157.62564102564113</v>
      </c>
      <c r="BZ73" s="13">
        <f>BY73*VLOOKUP('Données projet'!$B$12,Paramètres!$A$1:$I$89,3,0)*VLOOKUP('Données projet'!$B$12,Paramètres!$A$1:$I$89,5,0)</f>
        <v>142.6196800000001</v>
      </c>
      <c r="CA73" s="13">
        <f t="shared" si="93"/>
        <v>36.896488336047767</v>
      </c>
      <c r="CB73" s="20">
        <f t="shared" si="64"/>
        <v>312.65732651861669</v>
      </c>
      <c r="CC73" s="59">
        <f t="shared" si="65"/>
        <v>605.99065985195</v>
      </c>
      <c r="CD73" s="59">
        <f ca="1">AVERAGE(OFFSET($CC$3,0,0,'Données projet'!$E$12+1,1))-AVERAGE(OFFSET($H$3,0,0,'Données projet'!$E$12+1,1))</f>
        <v>437.94387006020412</v>
      </c>
      <c r="CE73" s="59">
        <f t="shared" si="94"/>
        <v>213.95083535531376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393.90000000000003</v>
      </c>
      <c r="CR73" s="12">
        <f>VLOOKUP(A73,'Données projet'!$A$139:$I$159,9,0)</f>
        <v>12.440000000000003</v>
      </c>
      <c r="CS73" s="12">
        <f t="array" ref="CS73">INDEX(CR:CR,MIN(IF(ISNUMBER(CR73:CR269),ROW(CR73:CR269),"")))</f>
        <v>12.440000000000003</v>
      </c>
      <c r="CT73" s="12">
        <f>IF('Données projet'!$A$140&gt;35,CT72+CS73-DB72,IF(A73&lt;'Données projet'!$A$140,$CQ$205^A73,IF(A73='Données projet'!$A$140,'Données projet'!$B$140,CT72+CS73-DB72)))</f>
        <v>393.90000000000015</v>
      </c>
      <c r="CU73" s="17">
        <f>CT73*VLOOKUP('Données projet'!$B$13,Paramètres!$A$1:$I$89,3,0)*VLOOKUP('Données projet'!$B$13,Paramètres!$A$1:$I$89,5,0)</f>
        <v>189.46590000000006</v>
      </c>
      <c r="CV73" s="13">
        <f t="shared" si="95"/>
        <v>47.421851585666552</v>
      </c>
      <c r="CW73" s="20">
        <f t="shared" si="67"/>
        <v>412.57950067836936</v>
      </c>
      <c r="CX73" s="59">
        <f t="shared" si="68"/>
        <v>705.91283401170267</v>
      </c>
      <c r="CY73" s="59">
        <f ca="1">AVERAGE(OFFSET($CX$3,0,0,'Données projet'!$E$13+1,1))-AVERAGE(OFFSET($H$3,0,0,'Données projet'!$E$13+1,1))</f>
        <v>258.42493116335032</v>
      </c>
      <c r="CZ73" s="59">
        <f t="shared" si="96"/>
        <v>102.46122697336466</v>
      </c>
      <c r="DA73" s="15">
        <f>IF(ISNA(VLOOKUP(A73,'Données projet'!$A$139:$I$159,3,0)),0,VLOOKUP(A73,'Données projet'!$A$139:$I$159,3,0))</f>
        <v>3</v>
      </c>
      <c r="DB73" s="15">
        <f>IF(ISNA(VLOOKUP(A73,'Données projet'!$A$139:$I$159,4,0)),0,VLOOKUP(A73,'Données projet'!$A$139:$I$159,4,0))</f>
        <v>105.74615384615385</v>
      </c>
      <c r="DC73" s="16">
        <f>IF(ISNA(VLOOKUP(A73,'Données projet'!$A$139:$I$159,5,0)),0%,VLOOKUP(A73,'Données projet'!$A$139:$I$159,5,0)*VLOOKUP('Données projet'!$B$13,Paramètres!$A$1:$I$89,7,0))</f>
        <v>0.38500000000000001</v>
      </c>
      <c r="DD73" s="16">
        <f>IF(ISNA(VLOOKUP(A73,'Données projet'!$A$139:$I$159,6,0)),0%,VLOOKUP(A73,'Données projet'!$A$139:$I$159,6,0)*VLOOKUP('Données projet'!$B$13,Paramètres!$A$1:$I$89,7,0))</f>
        <v>9.240000000000001E-2</v>
      </c>
      <c r="DE73" s="16">
        <f>IF(ISNA(VLOOKUP(A73,'Données projet'!$A$139:$I$159,7,0)),0%,VLOOKUP(A73,'Données projet'!$A$139:$I$159,7,0))</f>
        <v>0.13200000000000001</v>
      </c>
      <c r="DF73" s="21">
        <f>EXP(-LN(2)/35)*DF72+(1-EXP(-LN(2)/35))/(LN(2)/35)*DB73*DC73*VLOOKUP('Données projet'!$B$13,Paramètres!$A$1:$I$89,3,0)*0.475*44/12</f>
        <v>52.80810535439624</v>
      </c>
      <c r="DG73" s="21">
        <f>EXP(-LN(2)/25)*DG72+(1-EXP(-LN(2)/25))/(LN(2)/25)*Calculateur!DB73*Calculateur!DD73*VLOOKUP('Données projet'!$B$13,Paramètres!$A$1:$I$89,3,0)*0.475*44/12</f>
        <v>23.890665483160134</v>
      </c>
      <c r="DH73" s="21">
        <f>EXP(-LN(2)/2)*DH72+(1-EXP(-LN(2)/2))/(LN(2)/2)*DB73*DE73*VLOOKUP('Données projet'!$B$13,Paramètres!$A$1:$I$89,3,0)*0.475*44/12</f>
        <v>7.9254079085979807</v>
      </c>
      <c r="DI73" s="22">
        <f t="shared" si="69"/>
        <v>84.624178746154342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237</v>
      </c>
      <c r="DM73" s="12">
        <f>VLOOKUP(A73,'Données projet'!$A$165:$I$185,9,0)</f>
        <v>5</v>
      </c>
      <c r="DN73" s="12">
        <f t="array" ref="DN73">INDEX(DM:DM,MIN(IF(ISNUMBER(DM73:DM269),ROW(DM73:DM269),"")))</f>
        <v>5</v>
      </c>
      <c r="DO73" s="12">
        <f>IF('Données projet'!$A$166&gt;35,DO72+DN73-DW72,IF(A73&lt;'Données projet'!$A$166,$DL$205^A73,IF(A73='Données projet'!$A$166,'Données projet'!$B$166,DO72+DN73-DW72)))</f>
        <v>237</v>
      </c>
      <c r="DP73" s="17">
        <f>DO73*VLOOKUP('Données projet'!$B$14,Paramètres!$A$1:$I$89,3,0)*VLOOKUP('Données projet'!$B$14,Paramètres!$A$1:$I$89,5,0)</f>
        <v>207.04320000000001</v>
      </c>
      <c r="DQ73" s="13">
        <f t="shared" si="97"/>
        <v>51.288918231806321</v>
      </c>
      <c r="DR73" s="20">
        <f t="shared" si="70"/>
        <v>449.92843925372944</v>
      </c>
      <c r="DS73" s="59">
        <f t="shared" si="71"/>
        <v>743.26177258706275</v>
      </c>
      <c r="DT73" s="59">
        <f ca="1">AVERAGE(OFFSET($DS$3,0,0,'Données projet'!$E$14+1,1))-AVERAGE(OFFSET($H$3,0,0,'Données projet'!$E$14+1,1))</f>
        <v>354.24684313982857</v>
      </c>
      <c r="DU73" s="59">
        <f t="shared" si="98"/>
        <v>322.65043486962185</v>
      </c>
      <c r="DV73" s="15">
        <f>IF(ISNA(VLOOKUP(A73,'Données projet'!$A$165:$I$185,3,0)),0,VLOOKUP(A73,'Données projet'!$A$165:$I$185,3,0))</f>
        <v>11</v>
      </c>
      <c r="DW73" s="15" t="str">
        <f>IF(ISNA(VLOOKUP(A73,'Données projet'!$A$165:$I$185,4,0)),0,VLOOKUP(A73,'Données projet'!$A$165:$I$185,4,0))</f>
        <v>18</v>
      </c>
      <c r="DX73" s="16">
        <f>IF(ISNA(VLOOKUP(A73,'Données projet'!$A$165:$I$185,5,0)),0%,VLOOKUP(A73,'Données projet'!$A$165:$I$185,5,0)*VLOOKUP('Données projet'!$B$14,Paramètres!$A$1:$I$89,7,0))</f>
        <v>0.215</v>
      </c>
      <c r="DY73" s="16">
        <f>IF(ISNA(VLOOKUP(A73,'Données projet'!$A$165:$I$185,6,0)),0%,VLOOKUP(A73,'Données projet'!$A$165:$I$185,6,0)*VLOOKUP('Données projet'!$B$14,Paramètres!$A$1:$I$89,7,0))</f>
        <v>0.17200000000000001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19.229189975969593</v>
      </c>
      <c r="EB73" s="21">
        <f>EXP(-LN(2)/25)*EB72+(1-EXP(-LN(2)/25))/(LN(2)/25)*Calculateur!DW73*Calculateur!DY73*VLOOKUP('Données projet'!$B$14,Paramètres!$A$1:$I$89,3,0)*0.475*44/12</f>
        <v>19.980800061887791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39.209990037857381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9.9715384615384544</v>
      </c>
      <c r="N74" s="13">
        <f>IF('Données projet'!$A$36&gt;35,N73+M74-V73,IF(A74&lt;'Données projet'!$A$36,$K$205^A74,IF(A74='Données projet'!$A$36,'Données projet'!$B$36,N73+M74-V73)))</f>
        <v>470.36538461538453</v>
      </c>
      <c r="O74" s="13">
        <f>N74*VLOOKUP('Données projet'!$B$9,Paramètres!$A$1:$I$89,3,0)*VLOOKUP('Données projet'!$B$9,Paramètres!$A$1:$I$89,5,0)</f>
        <v>281.27849999999995</v>
      </c>
      <c r="P74" s="13">
        <f t="shared" si="87"/>
        <v>67.23712100524989</v>
      </c>
      <c r="Q74" s="20">
        <f t="shared" si="54"/>
        <v>606.99803991747683</v>
      </c>
      <c r="R74" s="59">
        <f t="shared" si="55"/>
        <v>900.3313732508102</v>
      </c>
      <c r="S74" s="59">
        <f ca="1">AVERAGE(OFFSET($R$3,0,0,'Données projet'!$E$9+1,1))-AVERAGE(OFFSET($H$3,0,0,'Données projet'!$E$9+1,1))</f>
        <v>355.09162485318728</v>
      </c>
      <c r="T74" s="59">
        <f t="shared" si="88"/>
        <v>320.06572891923685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53.371122695489554</v>
      </c>
      <c r="AA74" s="21">
        <f>EXP(-LN(2)/25)*AA73+(1-EXP(-LN(2)/25))/(LN(2)/25)*Calculateur!V74*Calculateur!X74*VLOOKUP('Données projet'!$B$9,Paramètres!$A$1:$I$89,3,0)*0.475*44/12</f>
        <v>13.013101876037769</v>
      </c>
      <c r="AB74" s="21">
        <f>EXP(-LN(2)/2)*AB73+(1-EXP(-LN(2)/2))/(LN(2)/2)*V74*Y74*VLOOKUP('Données projet'!$B$9,Paramètres!$A$1:$I$89,3,0)*0.475*44/12</f>
        <v>1.1074784066157348</v>
      </c>
      <c r="AC74" s="22">
        <f t="shared" si="57"/>
        <v>67.491702978143067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9.8224358974358967</v>
      </c>
      <c r="AI74" s="13">
        <f>IF('Données projet'!$A$62&gt;35,AI73+AH74-AQ73,IF(A74&lt;'Données projet'!$A$62,$AF$205^A74,IF(A74='Données projet'!$A$62,'Données projet'!$B$62,AI73+AH74-AQ73)))</f>
        <v>321.18717948717983</v>
      </c>
      <c r="AJ74" s="13">
        <f>AI74*VLOOKUP('Données projet'!$B$10,Paramètres!$A$1:$I$89,3,0)*VLOOKUP('Données projet'!$B$10,Paramètres!$A$1:$I$89,5,0)</f>
        <v>150.31560000000016</v>
      </c>
      <c r="AK74" s="13">
        <f t="shared" si="89"/>
        <v>38.650298077744381</v>
      </c>
      <c r="AL74" s="20">
        <f t="shared" si="58"/>
        <v>329.1156058187384</v>
      </c>
      <c r="AM74" s="59">
        <f t="shared" si="59"/>
        <v>622.44893915207172</v>
      </c>
      <c r="AN74" s="59">
        <f ca="1">AVERAGE(OFFSET($AM$3,0,0,'Données projet'!$E$10+1,1))-AVERAGE(OFFSET($H$3,0,0,'Données projet'!$E$10+1,1))</f>
        <v>246.72166704460847</v>
      </c>
      <c r="AO74" s="59">
        <f t="shared" si="90"/>
        <v>145.54897745089966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22.04915570512474</v>
      </c>
      <c r="AV74" s="21">
        <f>EXP(-LN(2)/25)*AV73+(1-EXP(-LN(2)/25))/(LN(2)/25)*Calculateur!AQ74*Calculateur!AS74*VLOOKUP('Données projet'!$B$10,Paramètres!$A$1:$I$89,3,0)*0.475*44/12</f>
        <v>15.920196833514028</v>
      </c>
      <c r="AW74" s="21">
        <f>EXP(-LN(2)/2)*AW73+(1-EXP(-LN(2)/2))/(LN(2)/2)*AQ74*AT74*VLOOKUP('Données projet'!$B$10,Paramètres!$A$1:$I$89,3,0)*0.475*44/12</f>
        <v>0.49533572230404882</v>
      </c>
      <c r="AX74" s="21">
        <f t="shared" si="60"/>
        <v>38.464688260942815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88.478637356802039</v>
      </c>
      <c r="BJ74" s="59">
        <f t="shared" si="92"/>
        <v>239.55411297259155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16.438789057313819</v>
      </c>
      <c r="BQ74" s="21">
        <f>EXP(-LN(2)/25)*BQ73+(1-EXP(-LN(2)/25))/(LN(2)/25)*Calculateur!BL74*Calculateur!BN74*VLOOKUP('Données projet'!$B$11,Paramètres!$A$1:$I$89,3,0)*0.475*44/12</f>
        <v>2.3425679671261213</v>
      </c>
      <c r="BR74" s="21">
        <f>EXP(-LN(2)/2)*BR73+(1-EXP(-LN(2)/2))/(LN(2)/2)*BL74*BO74*VLOOKUP('Données projet'!$B$11,Paramètres!$A$1:$I$89,3,0)*0.475*44/12</f>
        <v>2.8993309565461412E-7</v>
      </c>
      <c r="BS74" s="22">
        <f t="shared" si="63"/>
        <v>18.781357314373036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6.2679487179487152</v>
      </c>
      <c r="BY74" s="12">
        <f>IF('Données projet'!$A$114&gt;35,BY73+BX74-CG73,IF(A74&lt;'Données projet'!$A$114,$BV$205^A74,IF(A74='Données projet'!$A$114,'Données projet'!$B$114,BY73+BX74-CG73)))</f>
        <v>163.89358974358984</v>
      </c>
      <c r="BZ74" s="13">
        <f>BY74*VLOOKUP('Données projet'!$B$12,Paramètres!$A$1:$I$89,3,0)*VLOOKUP('Données projet'!$B$12,Paramètres!$A$1:$I$89,5,0)</f>
        <v>148.29092000000009</v>
      </c>
      <c r="CA74" s="13">
        <f t="shared" si="93"/>
        <v>38.189932406003031</v>
      </c>
      <c r="CB74" s="20">
        <f t="shared" si="64"/>
        <v>324.78748460712211</v>
      </c>
      <c r="CC74" s="59">
        <f t="shared" si="65"/>
        <v>618.12081794045548</v>
      </c>
      <c r="CD74" s="59">
        <f ca="1">AVERAGE(OFFSET($CC$3,0,0,'Données projet'!$E$12+1,1))-AVERAGE(OFFSET($H$3,0,0,'Données projet'!$E$12+1,1))</f>
        <v>437.94387006020412</v>
      </c>
      <c r="CE74" s="59">
        <f t="shared" si="94"/>
        <v>213.95083535531376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9.5146153846153769</v>
      </c>
      <c r="CT74" s="12">
        <f>IF('Données projet'!$A$140&gt;35,CT73+CS74-DB73,IF(A74&lt;'Données projet'!$A$140,$CQ$205^A74,IF(A74='Données projet'!$A$140,'Données projet'!$B$140,CT73+CS74-DB73)))</f>
        <v>297.66846153846166</v>
      </c>
      <c r="CU74" s="17">
        <f>CT74*VLOOKUP('Données projet'!$B$13,Paramètres!$A$1:$I$89,3,0)*VLOOKUP('Données projet'!$B$13,Paramètres!$A$1:$I$89,5,0)</f>
        <v>143.17853000000005</v>
      </c>
      <c r="CV74" s="13">
        <f t="shared" si="95"/>
        <v>37.024207959210926</v>
      </c>
      <c r="CW74" s="20">
        <f t="shared" si="67"/>
        <v>313.85310194562578</v>
      </c>
      <c r="CX74" s="59">
        <f t="shared" si="68"/>
        <v>607.18643527895915</v>
      </c>
      <c r="CY74" s="59">
        <f ca="1">AVERAGE(OFFSET($CX$3,0,0,'Données projet'!$E$13+1,1))-AVERAGE(OFFSET($H$3,0,0,'Données projet'!$E$13+1,1))</f>
        <v>258.42493116335032</v>
      </c>
      <c r="CZ74" s="59">
        <f t="shared" si="96"/>
        <v>102.46122697336466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51.772570618160344</v>
      </c>
      <c r="DG74" s="21">
        <f>EXP(-LN(2)/25)*DG73+(1-EXP(-LN(2)/25))/(LN(2)/25)*Calculateur!DB74*Calculateur!DD74*VLOOKUP('Données projet'!$B$13,Paramètres!$A$1:$I$89,3,0)*0.475*44/12</f>
        <v>23.237373979167625</v>
      </c>
      <c r="DH74" s="21">
        <f>EXP(-LN(2)/2)*DH73+(1-EXP(-LN(2)/2))/(LN(2)/2)*DB74*DE74*VLOOKUP('Données projet'!$B$13,Paramètres!$A$1:$I$89,3,0)*0.475*44/12</f>
        <v>5.6041096758391262</v>
      </c>
      <c r="DI74" s="22">
        <f t="shared" si="69"/>
        <v>80.614054273167099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4.4000000000000004</v>
      </c>
      <c r="DO74" s="12">
        <f>IF('Données projet'!$A$166&gt;35,DO73+DN74-DW73,IF(A74&lt;'Données projet'!$A$166,$DL$205^A74,IF(A74='Données projet'!$A$166,'Données projet'!$B$166,DO73+DN74-DW73)))</f>
        <v>223.4</v>
      </c>
      <c r="DP74" s="17">
        <f>DO74*VLOOKUP('Données projet'!$B$14,Paramètres!$A$1:$I$89,3,0)*VLOOKUP('Données projet'!$B$14,Paramètres!$A$1:$I$89,5,0)</f>
        <v>195.16224000000003</v>
      </c>
      <c r="DQ74" s="13">
        <f t="shared" si="97"/>
        <v>48.67946410296608</v>
      </c>
      <c r="DR74" s="20">
        <f t="shared" si="70"/>
        <v>424.69096797933258</v>
      </c>
      <c r="DS74" s="59">
        <f t="shared" si="71"/>
        <v>718.0243013126659</v>
      </c>
      <c r="DT74" s="59">
        <f ca="1">AVERAGE(OFFSET($DS$3,0,0,'Données projet'!$E$14+1,1))-AVERAGE(OFFSET($H$3,0,0,'Données projet'!$E$14+1,1))</f>
        <v>354.24684313982857</v>
      </c>
      <c r="DU74" s="59">
        <f t="shared" si="98"/>
        <v>322.65043486962185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18.852117289188605</v>
      </c>
      <c r="EB74" s="21">
        <f>EXP(-LN(2)/25)*EB73+(1-EXP(-LN(2)/25))/(LN(2)/25)*Calculateur!DW74*Calculateur!DY74*VLOOKUP('Données projet'!$B$14,Paramètres!$A$1:$I$89,3,0)*0.475*44/12</f>
        <v>19.43442403345086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38.286541322639465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9.9715384615384544</v>
      </c>
      <c r="N75" s="13">
        <f>IF('Données projet'!$A$36&gt;35,N74+M75-V74,IF(A75&lt;'Données projet'!$A$36,$K$205^A75,IF(A75='Données projet'!$A$36,'Données projet'!$B$36,N74+M75-V74)))</f>
        <v>480.33692307692297</v>
      </c>
      <c r="O75" s="13">
        <f>N75*VLOOKUP('Données projet'!$B$9,Paramètres!$A$1:$I$89,3,0)*VLOOKUP('Données projet'!$B$9,Paramètres!$A$1:$I$89,5,0)</f>
        <v>287.24147999999997</v>
      </c>
      <c r="P75" s="13">
        <f t="shared" si="87"/>
        <v>68.495060196585953</v>
      </c>
      <c r="Q75" s="20">
        <f t="shared" si="54"/>
        <v>619.57447417572041</v>
      </c>
      <c r="R75" s="59">
        <f t="shared" si="55"/>
        <v>912.90780750905378</v>
      </c>
      <c r="S75" s="59">
        <f ca="1">AVERAGE(OFFSET($R$3,0,0,'Données projet'!$E$9+1,1))-AVERAGE(OFFSET($H$3,0,0,'Données projet'!$E$9+1,1))</f>
        <v>355.09162485318728</v>
      </c>
      <c r="T75" s="59">
        <f t="shared" si="88"/>
        <v>320.06572891923685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52.324547532601493</v>
      </c>
      <c r="AA75" s="21">
        <f>EXP(-LN(2)/25)*AA74+(1-EXP(-LN(2)/25))/(LN(2)/25)*Calculateur!V75*Calculateur!X75*VLOOKUP('Données projet'!$B$9,Paramètres!$A$1:$I$89,3,0)*0.475*44/12</f>
        <v>12.657257920908231</v>
      </c>
      <c r="AB75" s="21">
        <f>EXP(-LN(2)/2)*AB74+(1-EXP(-LN(2)/2))/(LN(2)/2)*V75*Y75*VLOOKUP('Données projet'!$B$9,Paramètres!$A$1:$I$89,3,0)*0.475*44/12</f>
        <v>0.78310549133565877</v>
      </c>
      <c r="AC75" s="22">
        <f t="shared" si="57"/>
        <v>65.764910944845383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9.8224358974358967</v>
      </c>
      <c r="AI75" s="13">
        <f>IF('Données projet'!$A$62&gt;35,AI74+AH75-AQ74,IF(A75&lt;'Données projet'!$A$62,$AF$205^A75,IF(A75='Données projet'!$A$62,'Données projet'!$B$62,AI74+AH75-AQ74)))</f>
        <v>331.00961538461576</v>
      </c>
      <c r="AJ75" s="13">
        <f>AI75*VLOOKUP('Données projet'!$B$10,Paramètres!$A$1:$I$89,3,0)*VLOOKUP('Données projet'!$B$10,Paramètres!$A$1:$I$89,5,0)</f>
        <v>154.91250000000016</v>
      </c>
      <c r="AK75" s="13">
        <f t="shared" si="89"/>
        <v>39.692866484273097</v>
      </c>
      <c r="AL75" s="20">
        <f t="shared" si="58"/>
        <v>338.93767996010916</v>
      </c>
      <c r="AM75" s="59">
        <f t="shared" si="59"/>
        <v>632.27101329344248</v>
      </c>
      <c r="AN75" s="59">
        <f ca="1">AVERAGE(OFFSET($AM$3,0,0,'Données projet'!$E$10+1,1))-AVERAGE(OFFSET($H$3,0,0,'Données projet'!$E$10+1,1))</f>
        <v>246.72166704460847</v>
      </c>
      <c r="AO75" s="59">
        <f t="shared" si="90"/>
        <v>145.54897745089966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21.616785210404281</v>
      </c>
      <c r="AV75" s="21">
        <f>EXP(-LN(2)/25)*AV74+(1-EXP(-LN(2)/25))/(LN(2)/25)*Calculateur!AQ75*Calculateur!AS75*VLOOKUP('Données projet'!$B$10,Paramètres!$A$1:$I$89,3,0)*0.475*44/12</f>
        <v>15.484858213894821</v>
      </c>
      <c r="AW75" s="21">
        <f>EXP(-LN(2)/2)*AW74+(1-EXP(-LN(2)/2))/(LN(2)/2)*AQ75*AT75*VLOOKUP('Données projet'!$B$10,Paramètres!$A$1:$I$89,3,0)*0.475*44/12</f>
        <v>0.35025524820512954</v>
      </c>
      <c r="AX75" s="21">
        <f t="shared" si="60"/>
        <v>37.451898672504228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88.478637356802039</v>
      </c>
      <c r="BJ75" s="59">
        <f t="shared" si="92"/>
        <v>239.55411297259155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16.116434430571168</v>
      </c>
      <c r="BQ75" s="21">
        <f>EXP(-LN(2)/25)*BQ74+(1-EXP(-LN(2)/25))/(LN(2)/25)*Calculateur!BL75*Calculateur!BN75*VLOOKUP('Données projet'!$B$11,Paramètres!$A$1:$I$89,3,0)*0.475*44/12</f>
        <v>2.2785103228747623</v>
      </c>
      <c r="BR75" s="21">
        <f>EXP(-LN(2)/2)*BR74+(1-EXP(-LN(2)/2))/(LN(2)/2)*BL75*BO75*VLOOKUP('Données projet'!$B$11,Paramètres!$A$1:$I$89,3,0)*0.475*44/12</f>
        <v>2.0501365802778558E-7</v>
      </c>
      <c r="BS75" s="22">
        <f t="shared" si="63"/>
        <v>18.39494495845959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6.2679487179487152</v>
      </c>
      <c r="BY75" s="12">
        <f>IF('Données projet'!$A$114&gt;35,BY74+BX75-CG74,IF(A75&lt;'Données projet'!$A$114,$BV$205^A75,IF(A75='Données projet'!$A$114,'Données projet'!$B$114,BY74+BX75-CG74)))</f>
        <v>170.16153846153856</v>
      </c>
      <c r="BZ75" s="13">
        <f>BY75*VLOOKUP('Données projet'!$B$12,Paramètres!$A$1:$I$89,3,0)*VLOOKUP('Données projet'!$B$12,Paramètres!$A$1:$I$89,5,0)</f>
        <v>153.9621600000001</v>
      </c>
      <c r="CA75" s="13">
        <f t="shared" si="93"/>
        <v>39.477629893540971</v>
      </c>
      <c r="CB75" s="20">
        <f t="shared" si="64"/>
        <v>336.90763406458399</v>
      </c>
      <c r="CC75" s="59">
        <f t="shared" si="65"/>
        <v>630.2409673979173</v>
      </c>
      <c r="CD75" s="59">
        <f ca="1">AVERAGE(OFFSET($CC$3,0,0,'Données projet'!$E$12+1,1))-AVERAGE(OFFSET($H$3,0,0,'Données projet'!$E$12+1,1))</f>
        <v>437.94387006020412</v>
      </c>
      <c r="CE75" s="59">
        <f t="shared" si="94"/>
        <v>213.95083535531376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9.5146153846153769</v>
      </c>
      <c r="CT75" s="12">
        <f>IF('Données projet'!$A$140&gt;35,CT74+CS75-DB74,IF(A75&lt;'Données projet'!$A$140,$CQ$205^A75,IF(A75='Données projet'!$A$140,'Données projet'!$B$140,CT74+CS75-DB74)))</f>
        <v>307.18307692307701</v>
      </c>
      <c r="CU75" s="17">
        <f>CT75*VLOOKUP('Données projet'!$B$13,Paramètres!$A$1:$I$89,3,0)*VLOOKUP('Données projet'!$B$13,Paramètres!$A$1:$I$89,5,0)</f>
        <v>147.75506000000004</v>
      </c>
      <c r="CV75" s="13">
        <f t="shared" si="95"/>
        <v>38.067968078085357</v>
      </c>
      <c r="CW75" s="20">
        <f t="shared" si="67"/>
        <v>323.64177390266542</v>
      </c>
      <c r="CX75" s="59">
        <f t="shared" si="68"/>
        <v>616.97510723599873</v>
      </c>
      <c r="CY75" s="59">
        <f ca="1">AVERAGE(OFFSET($CX$3,0,0,'Données projet'!$E$13+1,1))-AVERAGE(OFFSET($H$3,0,0,'Données projet'!$E$13+1,1))</f>
        <v>258.42493116335032</v>
      </c>
      <c r="CZ75" s="59">
        <f t="shared" si="96"/>
        <v>102.46122697336466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50.757342086488215</v>
      </c>
      <c r="DG75" s="21">
        <f>EXP(-LN(2)/25)*DG74+(1-EXP(-LN(2)/25))/(LN(2)/25)*Calculateur!DB75*Calculateur!DD75*VLOOKUP('Données projet'!$B$13,Paramètres!$A$1:$I$89,3,0)*0.475*44/12</f>
        <v>22.601946765706899</v>
      </c>
      <c r="DH75" s="21">
        <f>EXP(-LN(2)/2)*DH74+(1-EXP(-LN(2)/2))/(LN(2)/2)*DB75*DE75*VLOOKUP('Données projet'!$B$13,Paramètres!$A$1:$I$89,3,0)*0.475*44/12</f>
        <v>3.9627039542989912</v>
      </c>
      <c r="DI75" s="22">
        <f t="shared" si="69"/>
        <v>77.321992806494094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4.4000000000000004</v>
      </c>
      <c r="DO75" s="12">
        <f>IF('Données projet'!$A$166&gt;35,DO74+DN75-DW74,IF(A75&lt;'Données projet'!$A$166,$DL$205^A75,IF(A75='Données projet'!$A$166,'Données projet'!$B$166,DO74+DN75-DW74)))</f>
        <v>227.8</v>
      </c>
      <c r="DP75" s="17">
        <f>DO75*VLOOKUP('Données projet'!$B$14,Paramètres!$A$1:$I$89,3,0)*VLOOKUP('Données projet'!$B$14,Paramètres!$A$1:$I$89,5,0)</f>
        <v>199.00608000000003</v>
      </c>
      <c r="DQ75" s="13">
        <f t="shared" si="97"/>
        <v>49.525670897515027</v>
      </c>
      <c r="DR75" s="20">
        <f t="shared" si="70"/>
        <v>432.85946614650538</v>
      </c>
      <c r="DS75" s="59">
        <f t="shared" si="71"/>
        <v>726.19279947983864</v>
      </c>
      <c r="DT75" s="59">
        <f ca="1">AVERAGE(OFFSET($DS$3,0,0,'Données projet'!$E$14+1,1))-AVERAGE(OFFSET($H$3,0,0,'Données projet'!$E$14+1,1))</f>
        <v>354.24684313982857</v>
      </c>
      <c r="DU75" s="59">
        <f t="shared" si="98"/>
        <v>322.65043486962185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18.482438767803764</v>
      </c>
      <c r="EB75" s="21">
        <f>EXP(-LN(2)/25)*EB74+(1-EXP(-LN(2)/25))/(LN(2)/25)*Calculateur!DW75*Calculateur!DY75*VLOOKUP('Données projet'!$B$14,Paramètres!$A$1:$I$89,3,0)*0.475*44/12</f>
        <v>18.902988686244203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37.385427454047971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9.9715384615384544</v>
      </c>
      <c r="N76" s="13">
        <f>IF('Données projet'!$A$36&gt;35,N75+M76-V75,IF(A76&lt;'Données projet'!$A$36,$K$205^A76,IF(A76='Données projet'!$A$36,'Données projet'!$B$36,N75+M76-V75)))</f>
        <v>490.30846153846142</v>
      </c>
      <c r="O76" s="13">
        <f>N76*VLOOKUP('Données projet'!$B$9,Paramètres!$A$1:$I$89,3,0)*VLOOKUP('Données projet'!$B$9,Paramètres!$A$1:$I$89,5,0)</f>
        <v>293.20445999999993</v>
      </c>
      <c r="P76" s="13">
        <f t="shared" si="87"/>
        <v>69.749963140285985</v>
      </c>
      <c r="Q76" s="20">
        <f t="shared" si="54"/>
        <v>632.14562030266472</v>
      </c>
      <c r="R76" s="59">
        <f t="shared" si="55"/>
        <v>925.4789536359981</v>
      </c>
      <c r="S76" s="59">
        <f ca="1">AVERAGE(OFFSET($R$3,0,0,'Données projet'!$E$9+1,1))-AVERAGE(OFFSET($H$3,0,0,'Données projet'!$E$9+1,1))</f>
        <v>355.09162485318728</v>
      </c>
      <c r="T76" s="59">
        <f t="shared" si="88"/>
        <v>320.06572891923685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51.298495070309848</v>
      </c>
      <c r="AA76" s="21">
        <f>EXP(-LN(2)/25)*AA75+(1-EXP(-LN(2)/25))/(LN(2)/25)*Calculateur!V76*Calculateur!X76*VLOOKUP('Données projet'!$B$9,Paramètres!$A$1:$I$89,3,0)*0.475*44/12</f>
        <v>12.311144537444729</v>
      </c>
      <c r="AB76" s="21">
        <f>EXP(-LN(2)/2)*AB75+(1-EXP(-LN(2)/2))/(LN(2)/2)*V76*Y76*VLOOKUP('Données projet'!$B$9,Paramètres!$A$1:$I$89,3,0)*0.475*44/12</f>
        <v>0.55373920330786752</v>
      </c>
      <c r="AC76" s="22">
        <f t="shared" si="57"/>
        <v>64.163378811062444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9.8224358974358967</v>
      </c>
      <c r="AI76" s="13">
        <f>IF('Données projet'!$A$62&gt;35,AI75+AH76-AQ75,IF(A76&lt;'Données projet'!$A$62,$AF$205^A76,IF(A76='Données projet'!$A$62,'Données projet'!$B$62,AI75+AH76-AQ75)))</f>
        <v>340.83205128205168</v>
      </c>
      <c r="AJ76" s="13">
        <f>AI76*VLOOKUP('Données projet'!$B$10,Paramètres!$A$1:$I$89,3,0)*VLOOKUP('Données projet'!$B$10,Paramètres!$A$1:$I$89,5,0)</f>
        <v>159.50940000000017</v>
      </c>
      <c r="AK76" s="13">
        <f t="shared" si="89"/>
        <v>40.7318394374633</v>
      </c>
      <c r="AL76" s="20">
        <f t="shared" si="58"/>
        <v>348.75349202024881</v>
      </c>
      <c r="AM76" s="59">
        <f t="shared" si="59"/>
        <v>642.08682535358207</v>
      </c>
      <c r="AN76" s="59">
        <f ca="1">AVERAGE(OFFSET($AM$3,0,0,'Données projet'!$E$10+1,1))-AVERAGE(OFFSET($H$3,0,0,'Données projet'!$E$10+1,1))</f>
        <v>246.72166704460847</v>
      </c>
      <c r="AO76" s="59">
        <f t="shared" si="90"/>
        <v>145.54897745089966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21.192893237365325</v>
      </c>
      <c r="AV76" s="21">
        <f>EXP(-LN(2)/25)*AV75+(1-EXP(-LN(2)/25))/(LN(2)/25)*Calculateur!AQ76*Calculateur!AS76*VLOOKUP('Données projet'!$B$10,Paramètres!$A$1:$I$89,3,0)*0.475*44/12</f>
        <v>15.061423951722565</v>
      </c>
      <c r="AW76" s="21">
        <f>EXP(-LN(2)/2)*AW75+(1-EXP(-LN(2)/2))/(LN(2)/2)*AQ76*AT76*VLOOKUP('Données projet'!$B$10,Paramètres!$A$1:$I$89,3,0)*0.475*44/12</f>
        <v>0.24766786115202444</v>
      </c>
      <c r="AX76" s="21">
        <f t="shared" si="60"/>
        <v>36.501985050239917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88.478637356802039</v>
      </c>
      <c r="BJ76" s="59">
        <f t="shared" si="92"/>
        <v>239.55411297259155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15.800400981442033</v>
      </c>
      <c r="BQ76" s="21">
        <f>EXP(-LN(2)/25)*BQ75+(1-EXP(-LN(2)/25))/(LN(2)/25)*Calculateur!BL76*Calculateur!BN76*VLOOKUP('Données projet'!$B$11,Paramètres!$A$1:$I$89,3,0)*0.475*44/12</f>
        <v>2.2162043382741015</v>
      </c>
      <c r="BR76" s="21">
        <f>EXP(-LN(2)/2)*BR75+(1-EXP(-LN(2)/2))/(LN(2)/2)*BL76*BO76*VLOOKUP('Données projet'!$B$11,Paramètres!$A$1:$I$89,3,0)*0.475*44/12</f>
        <v>1.4496654782730706E-7</v>
      </c>
      <c r="BS76" s="22">
        <f t="shared" si="63"/>
        <v>18.016605464682684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6.2679487179487152</v>
      </c>
      <c r="BY76" s="12">
        <f>IF('Données projet'!$A$114&gt;35,BY75+BX76-CG75,IF(A76&lt;'Données projet'!$A$114,$BV$205^A76,IF(A76='Données projet'!$A$114,'Données projet'!$B$114,BY75+BX76-CG75)))</f>
        <v>176.42948717948727</v>
      </c>
      <c r="BZ76" s="13">
        <f>BY76*VLOOKUP('Données projet'!$B$12,Paramètres!$A$1:$I$89,3,0)*VLOOKUP('Données projet'!$B$12,Paramètres!$A$1:$I$89,5,0)</f>
        <v>159.63340000000008</v>
      </c>
      <c r="CA76" s="13">
        <f t="shared" si="93"/>
        <v>40.759816717519286</v>
      </c>
      <c r="CB76" s="20">
        <f t="shared" si="64"/>
        <v>349.01818578301283</v>
      </c>
      <c r="CC76" s="59">
        <f t="shared" si="65"/>
        <v>642.35151911634614</v>
      </c>
      <c r="CD76" s="59">
        <f ca="1">AVERAGE(OFFSET($CC$3,0,0,'Données projet'!$E$12+1,1))-AVERAGE(OFFSET($H$3,0,0,'Données projet'!$E$12+1,1))</f>
        <v>437.94387006020412</v>
      </c>
      <c r="CE76" s="59">
        <f t="shared" si="94"/>
        <v>213.95083535531376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9.5146153846153769</v>
      </c>
      <c r="CT76" s="12">
        <f>IF('Données projet'!$A$140&gt;35,CT75+CS76-DB75,IF(A76&lt;'Données projet'!$A$140,$CQ$205^A76,IF(A76='Données projet'!$A$140,'Données projet'!$B$140,CT75+CS76-DB75)))</f>
        <v>316.69769230769236</v>
      </c>
      <c r="CU76" s="17">
        <f>CT76*VLOOKUP('Données projet'!$B$13,Paramètres!$A$1:$I$89,3,0)*VLOOKUP('Données projet'!$B$13,Paramètres!$A$1:$I$89,5,0)</f>
        <v>152.33159000000003</v>
      </c>
      <c r="CV76" s="13">
        <f t="shared" si="95"/>
        <v>39.107971221583561</v>
      </c>
      <c r="CW76" s="20">
        <f t="shared" si="67"/>
        <v>333.42390246092475</v>
      </c>
      <c r="CX76" s="59">
        <f t="shared" si="68"/>
        <v>626.75723579425812</v>
      </c>
      <c r="CY76" s="59">
        <f ca="1">AVERAGE(OFFSET($CX$3,0,0,'Données projet'!$E$13+1,1))-AVERAGE(OFFSET($H$3,0,0,'Données projet'!$E$13+1,1))</f>
        <v>258.42493116335032</v>
      </c>
      <c r="CZ76" s="59">
        <f t="shared" si="96"/>
        <v>102.46122697336466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49.762021567093917</v>
      </c>
      <c r="DG76" s="21">
        <f>EXP(-LN(2)/25)*DG75+(1-EXP(-LN(2)/25))/(LN(2)/25)*Calculateur!DB76*Calculateur!DD76*VLOOKUP('Données projet'!$B$13,Paramètres!$A$1:$I$89,3,0)*0.475*44/12</f>
        <v>21.98389534281392</v>
      </c>
      <c r="DH76" s="21">
        <f>EXP(-LN(2)/2)*DH75+(1-EXP(-LN(2)/2))/(LN(2)/2)*DB76*DE76*VLOOKUP('Données projet'!$B$13,Paramètres!$A$1:$I$89,3,0)*0.475*44/12</f>
        <v>2.8020548379195636</v>
      </c>
      <c r="DI76" s="22">
        <f t="shared" si="69"/>
        <v>74.547971747827404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4.4000000000000004</v>
      </c>
      <c r="DO76" s="12">
        <f>IF('Données projet'!$A$166&gt;35,DO75+DN76-DW75,IF(A76&lt;'Données projet'!$A$166,$DL$205^A76,IF(A76='Données projet'!$A$166,'Données projet'!$B$166,DO75+DN76-DW75)))</f>
        <v>232.20000000000002</v>
      </c>
      <c r="DP76" s="17">
        <f>DO76*VLOOKUP('Données projet'!$B$14,Paramètres!$A$1:$I$89,3,0)*VLOOKUP('Données projet'!$B$14,Paramètres!$A$1:$I$89,5,0)</f>
        <v>202.84992000000003</v>
      </c>
      <c r="DQ76" s="13">
        <f t="shared" si="97"/>
        <v>50.369977187686075</v>
      </c>
      <c r="DR76" s="20">
        <f t="shared" si="70"/>
        <v>441.02465426855332</v>
      </c>
      <c r="DS76" s="59">
        <f t="shared" si="71"/>
        <v>734.35798760188663</v>
      </c>
      <c r="DT76" s="59">
        <f ca="1">AVERAGE(OFFSET($DS$3,0,0,'Données projet'!$E$14+1,1))-AVERAGE(OFFSET($H$3,0,0,'Données projet'!$E$14+1,1))</f>
        <v>354.24684313982857</v>
      </c>
      <c r="DU76" s="59">
        <f t="shared" si="98"/>
        <v>322.65043486962185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18.120009416741645</v>
      </c>
      <c r="EB76" s="21">
        <f>EXP(-LN(2)/25)*EB75+(1-EXP(-LN(2)/25))/(LN(2)/25)*Calculateur!DW76*Calculateur!DY76*VLOOKUP('Données projet'!$B$14,Paramètres!$A$1:$I$89,3,0)*0.475*44/12</f>
        <v>18.386085466553883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36.506094883295532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9.9715384615384544</v>
      </c>
      <c r="N77" s="13">
        <f>IF('Données projet'!$A$36&gt;35,N76+M77-V76,IF(A77&lt;'Données projet'!$A$36,$K$205^A77,IF(A77='Données projet'!$A$36,'Données projet'!$B$36,N76+M77-V76)))</f>
        <v>500.27999999999986</v>
      </c>
      <c r="O77" s="13">
        <f>N77*VLOOKUP('Données projet'!$B$9,Paramètres!$A$1:$I$89,3,0)*VLOOKUP('Données projet'!$B$9,Paramètres!$A$1:$I$89,5,0)</f>
        <v>299.16743999999994</v>
      </c>
      <c r="P77" s="13">
        <f t="shared" si="87"/>
        <v>71.001898700991546</v>
      </c>
      <c r="Q77" s="20">
        <f t="shared" si="54"/>
        <v>644.71159823756022</v>
      </c>
      <c r="R77" s="59">
        <f t="shared" si="55"/>
        <v>938.0449315708936</v>
      </c>
      <c r="S77" s="59">
        <f ca="1">AVERAGE(OFFSET($R$3,0,0,'Données projet'!$E$9+1,1))-AVERAGE(OFFSET($H$3,0,0,'Données projet'!$E$9+1,1))</f>
        <v>355.09162485318728</v>
      </c>
      <c r="T77" s="59">
        <f t="shared" si="88"/>
        <v>320.06572891923685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50.292562870973534</v>
      </c>
      <c r="AA77" s="21">
        <f>EXP(-LN(2)/25)*AA76+(1-EXP(-LN(2)/25))/(LN(2)/25)*Calculateur!V77*Calculateur!X77*VLOOKUP('Données projet'!$B$9,Paramètres!$A$1:$I$89,3,0)*0.475*44/12</f>
        <v>11.97449564265335</v>
      </c>
      <c r="AB77" s="21">
        <f>EXP(-LN(2)/2)*AB76+(1-EXP(-LN(2)/2))/(LN(2)/2)*V77*Y77*VLOOKUP('Données projet'!$B$9,Paramètres!$A$1:$I$89,3,0)*0.475*44/12</f>
        <v>0.39155274566782944</v>
      </c>
      <c r="AC77" s="22">
        <f t="shared" si="57"/>
        <v>62.658611259294716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9.8224358974358967</v>
      </c>
      <c r="AI77" s="13">
        <f>IF('Données projet'!$A$62&gt;35,AI76+AH77-AQ76,IF(A77&lt;'Données projet'!$A$62,$AF$205^A77,IF(A77='Données projet'!$A$62,'Données projet'!$B$62,AI76+AH77-AQ76)))</f>
        <v>350.6544871794876</v>
      </c>
      <c r="AJ77" s="13">
        <f>AI77*VLOOKUP('Données projet'!$B$10,Paramètres!$A$1:$I$89,3,0)*VLOOKUP('Données projet'!$B$10,Paramètres!$A$1:$I$89,5,0)</f>
        <v>164.1063000000002</v>
      </c>
      <c r="AK77" s="13">
        <f t="shared" si="89"/>
        <v>41.767332454312395</v>
      </c>
      <c r="AL77" s="20">
        <f t="shared" si="58"/>
        <v>358.56324319126111</v>
      </c>
      <c r="AM77" s="59">
        <f t="shared" si="59"/>
        <v>651.89657652459437</v>
      </c>
      <c r="AN77" s="59">
        <f ca="1">AVERAGE(OFFSET($AM$3,0,0,'Données projet'!$E$10+1,1))-AVERAGE(OFFSET($H$3,0,0,'Données projet'!$E$10+1,1))</f>
        <v>246.72166704460847</v>
      </c>
      <c r="AO77" s="59">
        <f t="shared" si="90"/>
        <v>145.54897745089966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20.777313527369092</v>
      </c>
      <c r="AV77" s="21">
        <f>EXP(-LN(2)/25)*AV76+(1-EXP(-LN(2)/25))/(LN(2)/25)*Calculateur!AQ77*Calculateur!AS77*VLOOKUP('Données projet'!$B$10,Paramètres!$A$1:$I$89,3,0)*0.475*44/12</f>
        <v>14.64956852171685</v>
      </c>
      <c r="AW77" s="21">
        <f>EXP(-LN(2)/2)*AW76+(1-EXP(-LN(2)/2))/(LN(2)/2)*AQ77*AT77*VLOOKUP('Données projet'!$B$10,Paramètres!$A$1:$I$89,3,0)*0.475*44/12</f>
        <v>0.1751276241025648</v>
      </c>
      <c r="AX77" s="21">
        <f t="shared" si="60"/>
        <v>35.602009673188505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88.478637356802039</v>
      </c>
      <c r="BJ77" s="59">
        <f t="shared" si="92"/>
        <v>239.55411297259155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15.490564755488951</v>
      </c>
      <c r="BQ77" s="21">
        <f>EXP(-LN(2)/25)*BQ76+(1-EXP(-LN(2)/25))/(LN(2)/25)*Calculateur!BL77*Calculateur!BN77*VLOOKUP('Données projet'!$B$11,Paramètres!$A$1:$I$89,3,0)*0.475*44/12</f>
        <v>2.1556021140988753</v>
      </c>
      <c r="BR77" s="21">
        <f>EXP(-LN(2)/2)*BR76+(1-EXP(-LN(2)/2))/(LN(2)/2)*BL77*BO77*VLOOKUP('Données projet'!$B$11,Paramètres!$A$1:$I$89,3,0)*0.475*44/12</f>
        <v>1.0250682901389279E-7</v>
      </c>
      <c r="BS77" s="22">
        <f t="shared" si="63"/>
        <v>17.646166972094655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6.2679487179487152</v>
      </c>
      <c r="BY77" s="12">
        <f>IF('Données projet'!$A$114&gt;35,BY76+BX77-CG76,IF(A77&lt;'Données projet'!$A$114,$BV$205^A77,IF(A77='Données projet'!$A$114,'Données projet'!$B$114,BY76+BX77-CG76)))</f>
        <v>182.69743589743598</v>
      </c>
      <c r="BZ77" s="13">
        <f>BY77*VLOOKUP('Données projet'!$B$12,Paramètres!$A$1:$I$89,3,0)*VLOOKUP('Données projet'!$B$12,Paramètres!$A$1:$I$89,5,0)</f>
        <v>165.30464000000006</v>
      </c>
      <c r="CA77" s="13">
        <f t="shared" si="93"/>
        <v>42.03671108365613</v>
      </c>
      <c r="CB77" s="20">
        <f t="shared" si="64"/>
        <v>361.11951980403455</v>
      </c>
      <c r="CC77" s="59">
        <f t="shared" si="65"/>
        <v>654.45285313736781</v>
      </c>
      <c r="CD77" s="59">
        <f ca="1">AVERAGE(OFFSET($CC$3,0,0,'Données projet'!$E$12+1,1))-AVERAGE(OFFSET($H$3,0,0,'Données projet'!$E$12+1,1))</f>
        <v>437.94387006020412</v>
      </c>
      <c r="CE77" s="59">
        <f t="shared" si="94"/>
        <v>213.95083535531376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9.5146153846153769</v>
      </c>
      <c r="CT77" s="12">
        <f>IF('Données projet'!$A$140&gt;35,CT76+CS77-DB76,IF(A77&lt;'Données projet'!$A$140,$CQ$205^A77,IF(A77='Données projet'!$A$140,'Données projet'!$B$140,CT76+CS77-DB76)))</f>
        <v>326.21230769230772</v>
      </c>
      <c r="CU77" s="17">
        <f>CT77*VLOOKUP('Données projet'!$B$13,Paramètres!$A$1:$I$89,3,0)*VLOOKUP('Données projet'!$B$13,Paramètres!$A$1:$I$89,5,0)</f>
        <v>156.90812000000003</v>
      </c>
      <c r="CV77" s="13">
        <f t="shared" si="95"/>
        <v>40.144343217873619</v>
      </c>
      <c r="CW77" s="20">
        <f t="shared" si="67"/>
        <v>343.19970677112991</v>
      </c>
      <c r="CX77" s="59">
        <f t="shared" si="68"/>
        <v>636.53304010446323</v>
      </c>
      <c r="CY77" s="59">
        <f ca="1">AVERAGE(OFFSET($CX$3,0,0,'Données projet'!$E$13+1,1))-AVERAGE(OFFSET($H$3,0,0,'Données projet'!$E$13+1,1))</f>
        <v>258.42493116335032</v>
      </c>
      <c r="CZ77" s="59">
        <f t="shared" si="96"/>
        <v>102.46122697336466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48.786218675999365</v>
      </c>
      <c r="DG77" s="21">
        <f>EXP(-LN(2)/25)*DG76+(1-EXP(-LN(2)/25))/(LN(2)/25)*Calculateur!DB77*Calculateur!DD77*VLOOKUP('Données projet'!$B$13,Paramètres!$A$1:$I$89,3,0)*0.475*44/12</f>
        <v>21.382744568581863</v>
      </c>
      <c r="DH77" s="21">
        <f>EXP(-LN(2)/2)*DH76+(1-EXP(-LN(2)/2))/(LN(2)/2)*DB77*DE77*VLOOKUP('Données projet'!$B$13,Paramètres!$A$1:$I$89,3,0)*0.475*44/12</f>
        <v>1.9813519771494958</v>
      </c>
      <c r="DI77" s="22">
        <f t="shared" si="69"/>
        <v>72.150315221730722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4.4000000000000004</v>
      </c>
      <c r="DO77" s="12">
        <f>IF('Données projet'!$A$166&gt;35,DO76+DN77-DW76,IF(A77&lt;'Données projet'!$A$166,$DL$205^A77,IF(A77='Données projet'!$A$166,'Données projet'!$B$166,DO76+DN77-DW76)))</f>
        <v>236.60000000000002</v>
      </c>
      <c r="DP77" s="17">
        <f>DO77*VLOOKUP('Données projet'!$B$14,Paramètres!$A$1:$I$89,3,0)*VLOOKUP('Données projet'!$B$14,Paramètres!$A$1:$I$89,5,0)</f>
        <v>206.69376000000005</v>
      </c>
      <c r="DQ77" s="13">
        <f t="shared" si="97"/>
        <v>51.212423138937325</v>
      </c>
      <c r="DR77" s="20">
        <f t="shared" si="70"/>
        <v>449.18660230031583</v>
      </c>
      <c r="DS77" s="59">
        <f t="shared" si="71"/>
        <v>742.51993563364908</v>
      </c>
      <c r="DT77" s="59">
        <f ca="1">AVERAGE(OFFSET($DS$3,0,0,'Données projet'!$E$14+1,1))-AVERAGE(OFFSET($H$3,0,0,'Données projet'!$E$14+1,1))</f>
        <v>354.24684313982857</v>
      </c>
      <c r="DU77" s="59">
        <f t="shared" si="98"/>
        <v>322.65043486962185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17.764687084193781</v>
      </c>
      <c r="EB77" s="21">
        <f>EXP(-LN(2)/25)*EB76+(1-EXP(-LN(2)/25))/(LN(2)/25)*Calculateur!DW77*Calculateur!DY77*VLOOKUP('Données projet'!$B$14,Paramètres!$A$1:$I$89,3,0)*0.475*44/12</f>
        <v>17.883316992588753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35.648004076782534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9.9715384615384544</v>
      </c>
      <c r="N78" s="13">
        <f>IF('Données projet'!$A$36&gt;35,N77+M78-V77,IF(A78&lt;'Données projet'!$A$36,$K$205^A78,IF(A78='Données projet'!$A$36,'Données projet'!$B$36,N77+M78-V77)))</f>
        <v>510.2515384615383</v>
      </c>
      <c r="O78" s="13">
        <f>N78*VLOOKUP('Données projet'!$B$9,Paramètres!$A$1:$I$89,3,0)*VLOOKUP('Données projet'!$B$9,Paramètres!$A$1:$I$89,5,0)</f>
        <v>305.13041999999996</v>
      </c>
      <c r="P78" s="13">
        <f t="shared" si="87"/>
        <v>72.250932841155517</v>
      </c>
      <c r="Q78" s="20">
        <f t="shared" si="54"/>
        <v>657.27252286501243</v>
      </c>
      <c r="R78" s="59">
        <f t="shared" si="55"/>
        <v>950.60585619834569</v>
      </c>
      <c r="S78" s="59">
        <f ca="1">AVERAGE(OFFSET($R$3,0,0,'Données projet'!$E$9+1,1))-AVERAGE(OFFSET($H$3,0,0,'Données projet'!$E$9+1,1))</f>
        <v>355.09162485318728</v>
      </c>
      <c r="T78" s="59">
        <f t="shared" si="88"/>
        <v>320.06572891923685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49.306356388508149</v>
      </c>
      <c r="AA78" s="21">
        <f>EXP(-LN(2)/25)*AA77+(1-EXP(-LN(2)/25))/(LN(2)/25)*Calculateur!V78*Calculateur!X78*VLOOKUP('Données projet'!$B$9,Paramètres!$A$1:$I$89,3,0)*0.475*44/12</f>
        <v>11.647052429593636</v>
      </c>
      <c r="AB78" s="21">
        <f>EXP(-LN(2)/2)*AB77+(1-EXP(-LN(2)/2))/(LN(2)/2)*V78*Y78*VLOOKUP('Données projet'!$B$9,Paramètres!$A$1:$I$89,3,0)*0.475*44/12</f>
        <v>0.27686960165393376</v>
      </c>
      <c r="AC78" s="22">
        <f t="shared" si="57"/>
        <v>61.23027841975572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360.47692307692307</v>
      </c>
      <c r="AG78" s="12">
        <f>VLOOKUP(A78,'Données projet'!$A$61:$I$81,9,0)</f>
        <v>9.8224358974358967</v>
      </c>
      <c r="AH78" s="12">
        <f t="array" ref="AH78">INDEX(AG:AG,MIN(IF(ISNUMBER(AG78:AG274),ROW(AG78:AG274),"")))</f>
        <v>9.8224358974358967</v>
      </c>
      <c r="AI78" s="13">
        <f>IF('Données projet'!$A$62&gt;35,AI77+AH78-AQ77,IF(A78&lt;'Données projet'!$A$62,$AF$205^A78,IF(A78='Données projet'!$A$62,'Données projet'!$B$62,AI77+AH78-AQ77)))</f>
        <v>360.47692307692353</v>
      </c>
      <c r="AJ78" s="13">
        <f>AI78*VLOOKUP('Données projet'!$B$10,Paramètres!$A$1:$I$89,3,0)*VLOOKUP('Données projet'!$B$10,Paramètres!$A$1:$I$89,5,0)</f>
        <v>168.70320000000021</v>
      </c>
      <c r="AK78" s="13">
        <f t="shared" si="89"/>
        <v>42.799454211954647</v>
      </c>
      <c r="AL78" s="20">
        <f t="shared" si="58"/>
        <v>368.367122752488</v>
      </c>
      <c r="AM78" s="59">
        <f t="shared" si="59"/>
        <v>661.70045608582132</v>
      </c>
      <c r="AN78" s="59">
        <f ca="1">AVERAGE(OFFSET($AM$3,0,0,'Données projet'!$E$10+1,1))-AVERAGE(OFFSET($H$3,0,0,'Données projet'!$E$10+1,1))</f>
        <v>246.72166704460847</v>
      </c>
      <c r="AO78" s="59">
        <f t="shared" si="90"/>
        <v>145.54897745089966</v>
      </c>
      <c r="AP78" s="15">
        <f>IF(ISNA(VLOOKUP(A78,'Données projet'!$A$61:$I$81,3,0)),0,VLOOKUP(A78,'Données projet'!$A$61:$I$81,3,0))</f>
        <v>3</v>
      </c>
      <c r="AQ78" s="15">
        <f>IF(ISNA(VLOOKUP(A78,'Données projet'!$A$61:$I$81,4,0)),0,VLOOKUP(A78,'Données projet'!$A$61:$I$81,4,0))</f>
        <v>85.361538461538458</v>
      </c>
      <c r="AR78" s="16">
        <f>IF(ISNA(VLOOKUP(A78,'Données projet'!$A$61:$I$81,5,0)),0%,VLOOKUP(A78,'Données projet'!$A$61:$I$81,5,0)*VLOOKUP('Données projet'!$B$10,Paramètres!$A$1:$I$89,7,0))</f>
        <v>0.38500000000000001</v>
      </c>
      <c r="AS78" s="16">
        <f>IF(ISNA(VLOOKUP(A78,'Données projet'!$A$61:$I$81,6,0)),0%,VLOOKUP(A78,'Données projet'!$A$61:$I$81,6,0)*VLOOKUP('Données projet'!$B$10,Paramètres!$A$1:$I$89,7,0))</f>
        <v>9.240000000000001E-2</v>
      </c>
      <c r="AT78" s="16">
        <f>IF(ISNA(VLOOKUP(A78,'Données projet'!$A$61:$I$81,7,0)),0%,VLOOKUP(A78,'Données projet'!$A$61:$I$81,7,0))</f>
        <v>0.13200000000000001</v>
      </c>
      <c r="AU78" s="21">
        <f>EXP(-LN(2)/35)*AU77+(1-EXP(-LN(2)/35))/(LN(2)/35)*AQ78*AR78*VLOOKUP('Données projet'!$B$10,Paramètres!$A$1:$I$89,3,0)*0.475*44/12</f>
        <v>40.773030748156728</v>
      </c>
      <c r="AV78" s="21">
        <f>EXP(-LN(2)/25)*AV77+(1-EXP(-LN(2)/25))/(LN(2)/25)*Calculateur!AQ78*Calculateur!AS78*VLOOKUP('Données projet'!$B$10,Paramètres!$A$1:$I$89,3,0)*0.475*44/12</f>
        <v>19.126450348002148</v>
      </c>
      <c r="AW78" s="21">
        <f>EXP(-LN(2)/2)*AW77+(1-EXP(-LN(2)/2))/(LN(2)/2)*AQ78*AT78*VLOOKUP('Données projet'!$B$10,Paramètres!$A$1:$I$89,3,0)*0.475*44/12</f>
        <v>6.0944281646214584</v>
      </c>
      <c r="AX78" s="21">
        <f t="shared" si="60"/>
        <v>65.993909260780342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88.478637356802039</v>
      </c>
      <c r="BJ78" s="59">
        <f t="shared" si="92"/>
        <v>239.55411297259155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15.18680422894537</v>
      </c>
      <c r="BQ78" s="21">
        <f>EXP(-LN(2)/25)*BQ77+(1-EXP(-LN(2)/25))/(LN(2)/25)*Calculateur!BL78*Calculateur!BN78*VLOOKUP('Données projet'!$B$11,Paramètres!$A$1:$I$89,3,0)*0.475*44/12</f>
        <v>2.096657060930653</v>
      </c>
      <c r="BR78" s="21">
        <f>EXP(-LN(2)/2)*BR77+(1-EXP(-LN(2)/2))/(LN(2)/2)*BL78*BO78*VLOOKUP('Données projet'!$B$11,Paramètres!$A$1:$I$89,3,0)*0.475*44/12</f>
        <v>7.248327391365353E-8</v>
      </c>
      <c r="BS78" s="22">
        <f t="shared" si="63"/>
        <v>17.283461362359297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6.2679487179487152</v>
      </c>
      <c r="BY78" s="12">
        <f>IF('Données projet'!$A$114&gt;35,BY77+BX78-CG77,IF(A78&lt;'Données projet'!$A$114,$BV$205^A78,IF(A78='Données projet'!$A$114,'Données projet'!$B$114,BY77+BX78-CG77)))</f>
        <v>188.96538461538469</v>
      </c>
      <c r="BZ78" s="13">
        <f>BY78*VLOOKUP('Données projet'!$B$12,Paramètres!$A$1:$I$89,3,0)*VLOOKUP('Données projet'!$B$12,Paramètres!$A$1:$I$89,5,0)</f>
        <v>170.97588000000007</v>
      </c>
      <c r="CA78" s="13">
        <f t="shared" si="93"/>
        <v>43.308515376106328</v>
      </c>
      <c r="CB78" s="20">
        <f t="shared" si="64"/>
        <v>373.2119886133853</v>
      </c>
      <c r="CC78" s="59">
        <f t="shared" si="65"/>
        <v>666.54532194671856</v>
      </c>
      <c r="CD78" s="59">
        <f ca="1">AVERAGE(OFFSET($CC$3,0,0,'Données projet'!$E$12+1,1))-AVERAGE(OFFSET($H$3,0,0,'Données projet'!$E$12+1,1))</f>
        <v>437.94387006020412</v>
      </c>
      <c r="CE78" s="59">
        <f t="shared" si="94"/>
        <v>213.95083535531376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9.5146153846153769</v>
      </c>
      <c r="CT78" s="12">
        <f>IF('Données projet'!$A$140&gt;35,CT77+CS78-DB77,IF(A78&lt;'Données projet'!$A$140,$CQ$205^A78,IF(A78='Données projet'!$A$140,'Données projet'!$B$140,CT77+CS78-DB77)))</f>
        <v>335.72692307692307</v>
      </c>
      <c r="CU78" s="17">
        <f>CT78*VLOOKUP('Données projet'!$B$13,Paramètres!$A$1:$I$89,3,0)*VLOOKUP('Données projet'!$B$13,Paramètres!$A$1:$I$89,5,0)</f>
        <v>161.48464999999999</v>
      </c>
      <c r="CV78" s="13">
        <f t="shared" si="95"/>
        <v>41.177202137727257</v>
      </c>
      <c r="CW78" s="20">
        <f t="shared" si="67"/>
        <v>352.96939247320825</v>
      </c>
      <c r="CX78" s="59">
        <f t="shared" si="68"/>
        <v>646.3027258065415</v>
      </c>
      <c r="CY78" s="59">
        <f ca="1">AVERAGE(OFFSET($CX$3,0,0,'Données projet'!$E$13+1,1))-AVERAGE(OFFSET($H$3,0,0,'Données projet'!$E$13+1,1))</f>
        <v>258.42493116335032</v>
      </c>
      <c r="CZ78" s="59">
        <f t="shared" si="96"/>
        <v>102.46122697336466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47.829550684418187</v>
      </c>
      <c r="DG78" s="21">
        <f>EXP(-LN(2)/25)*DG77+(1-EXP(-LN(2)/25))/(LN(2)/25)*Calculateur!DB78*Calculateur!DD78*VLOOKUP('Données projet'!$B$13,Paramètres!$A$1:$I$89,3,0)*0.475*44/12</f>
        <v>20.798032293884326</v>
      </c>
      <c r="DH78" s="21">
        <f>EXP(-LN(2)/2)*DH77+(1-EXP(-LN(2)/2))/(LN(2)/2)*DB78*DE78*VLOOKUP('Données projet'!$B$13,Paramètres!$A$1:$I$89,3,0)*0.475*44/12</f>
        <v>1.401027418959782</v>
      </c>
      <c r="DI78" s="22">
        <f t="shared" si="69"/>
        <v>70.028610397262298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241</v>
      </c>
      <c r="DM78" s="12">
        <f>VLOOKUP(A78,'Données projet'!$A$165:$I$185,9,0)</f>
        <v>4.4000000000000004</v>
      </c>
      <c r="DN78" s="12">
        <f t="array" ref="DN78">INDEX(DM:DM,MIN(IF(ISNUMBER(DM78:DM274),ROW(DM78:DM274),"")))</f>
        <v>4.4000000000000004</v>
      </c>
      <c r="DO78" s="12">
        <f>IF('Données projet'!$A$166&gt;35,DO77+DN78-DW77,IF(A78&lt;'Données projet'!$A$166,$DL$205^A78,IF(A78='Données projet'!$A$166,'Données projet'!$B$166,DO77+DN78-DW77)))</f>
        <v>241.00000000000003</v>
      </c>
      <c r="DP78" s="17">
        <f>DO78*VLOOKUP('Données projet'!$B$14,Paramètres!$A$1:$I$89,3,0)*VLOOKUP('Données projet'!$B$14,Paramètres!$A$1:$I$89,5,0)</f>
        <v>210.53760000000005</v>
      </c>
      <c r="DQ78" s="13">
        <f t="shared" si="97"/>
        <v>52.053047337322276</v>
      </c>
      <c r="DR78" s="20">
        <f t="shared" si="70"/>
        <v>457.34537744583628</v>
      </c>
      <c r="DS78" s="59">
        <f t="shared" si="71"/>
        <v>750.67871077916959</v>
      </c>
      <c r="DT78" s="59">
        <f ca="1">AVERAGE(OFFSET($DS$3,0,0,'Données projet'!$E$14+1,1))-AVERAGE(OFFSET($H$3,0,0,'Données projet'!$E$14+1,1))</f>
        <v>354.24684313982857</v>
      </c>
      <c r="DU78" s="59">
        <f t="shared" si="98"/>
        <v>322.65043486962185</v>
      </c>
      <c r="DV78" s="15">
        <f>IF(ISNA(VLOOKUP(A78,'Données projet'!$A$165:$I$185,3,0)),0,VLOOKUP(A78,'Données projet'!$A$165:$I$185,3,0))</f>
        <v>12</v>
      </c>
      <c r="DW78" s="15" t="str">
        <f>IF(ISNA(VLOOKUP(A78,'Données projet'!$A$165:$I$185,4,0)),0,VLOOKUP(A78,'Données projet'!$A$165:$I$185,4,0))</f>
        <v>16</v>
      </c>
      <c r="DX78" s="16">
        <f>IF(ISNA(VLOOKUP(A78,'Données projet'!$A$165:$I$185,5,0)),0%,VLOOKUP(A78,'Données projet'!$A$165:$I$185,5,0)*VLOOKUP('Données projet'!$B$14,Paramètres!$A$1:$I$89,7,0))</f>
        <v>0.25800000000000001</v>
      </c>
      <c r="DY78" s="16">
        <f>IF(ISNA(VLOOKUP(A78,'Données projet'!$A$165:$I$185,6,0)),0%,VLOOKUP(A78,'Données projet'!$A$165:$I$185,6,0)*VLOOKUP('Données projet'!$B$14,Paramètres!$A$1:$I$89,7,0))</f>
        <v>0.129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21.402902682317578</v>
      </c>
      <c r="EB78" s="21">
        <f>EXP(-LN(2)/25)*EB77+(1-EXP(-LN(2)/25))/(LN(2)/25)*Calculateur!DW78*Calculateur!DY78*VLOOKUP('Données projet'!$B$14,Paramètres!$A$1:$I$89,3,0)*0.475*44/12</f>
        <v>19.379733564121072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40.782636246438649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>
        <f>VLOOKUP(A79,'Données projet'!$A$35:$I$55,2,0)</f>
        <v>520.22307692307686</v>
      </c>
      <c r="L79" s="12">
        <f>VLOOKUP(A79,'Données projet'!$A$35:$I$55,9,0)</f>
        <v>9.9715384615384544</v>
      </c>
      <c r="M79" s="12">
        <f t="array" ref="M79">INDEX(L:L,MIN(IF(ISNUMBER(L79:L275),ROW(L79:L275),"")))</f>
        <v>9.9715384615384544</v>
      </c>
      <c r="N79" s="13">
        <f>IF('Données projet'!$A$36&gt;35,N78+M79-V78,IF(A79&lt;'Données projet'!$A$36,$K$205^A79,IF(A79='Données projet'!$A$36,'Données projet'!$B$36,N78+M79-V78)))</f>
        <v>520.22307692307675</v>
      </c>
      <c r="O79" s="13">
        <f>N79*VLOOKUP('Données projet'!$B$9,Paramètres!$A$1:$I$89,3,0)*VLOOKUP('Données projet'!$B$9,Paramètres!$A$1:$I$89,5,0)</f>
        <v>311.09339999999992</v>
      </c>
      <c r="P79" s="13">
        <f t="shared" si="87"/>
        <v>73.497128797635312</v>
      </c>
      <c r="Q79" s="20">
        <f t="shared" si="54"/>
        <v>669.82850432254793</v>
      </c>
      <c r="R79" s="59">
        <f t="shared" si="55"/>
        <v>963.1618376558813</v>
      </c>
      <c r="S79" s="59">
        <f ca="1">AVERAGE(OFFSET($R$3,0,0,'Données projet'!$E$9+1,1))-AVERAGE(OFFSET($H$3,0,0,'Données projet'!$E$9+1,1))</f>
        <v>355.09162485318728</v>
      </c>
      <c r="T79" s="59">
        <f t="shared" si="88"/>
        <v>320.06572891923685</v>
      </c>
      <c r="U79" s="15">
        <f>IF(ISNA(VLOOKUP(A79,'Données projet'!$A$35:$I$55,3,0)),0,VLOOKUP(A79,'Données projet'!$A$35:$I$55,3,0))</f>
        <v>8</v>
      </c>
      <c r="V79" s="15">
        <f>IF(ISNA(VLOOKUP(A79,'Données projet'!$A$35:$I$55,4,0)),0,VLOOKUP(A79,'Données projet'!$A$35:$I$55,4,0))</f>
        <v>520.22307692307686</v>
      </c>
      <c r="W79" s="16">
        <f>IF(ISNA(VLOOKUP(A79,'Données projet'!$A$35:$I$55,5,0)),0%,VLOOKUP(A79,'Données projet'!$A$35:$I$55,5,0)*VLOOKUP('Données projet'!$B$9,Paramètres!$A$1:$I$89,7,0))</f>
        <v>0.315</v>
      </c>
      <c r="X79" s="16">
        <f>IF(ISNA(VLOOKUP(A79,'Données projet'!$A$35:$I$55,6,0)),0%,VLOOKUP(A79,'Données projet'!$A$35:$I$55,6,0)*VLOOKUP('Données projet'!$B$9,Paramètres!$A$1:$I$89,7,0))</f>
        <v>7.5600000000000001E-2</v>
      </c>
      <c r="Y79" s="16">
        <f>IF(ISNA(VLOOKUP(A79,'Données projet'!$A$35:$I$55,7,0)),0%,VLOOKUP(A79,'Données projet'!$A$35:$I$55,7,0))</f>
        <v>0.13200000000000001</v>
      </c>
      <c r="Z79" s="21">
        <f>EXP(-LN(2)/35)*Z78+(1-EXP(-LN(2)/35))/(LN(2)/35)*V79*W79*VLOOKUP('Données projet'!$B$9,Paramètres!$A$1:$I$89,3,0)*0.475*44/12</f>
        <v>178.3354045436154</v>
      </c>
      <c r="AA79" s="21">
        <f>EXP(-LN(2)/25)*AA78+(1-EXP(-LN(2)/25))/(LN(2)/25)*Calculateur!V79*Calculateur!X79*VLOOKUP('Données projet'!$B$9,Paramètres!$A$1:$I$89,3,0)*0.475*44/12</f>
        <v>42.404740514995794</v>
      </c>
      <c r="AB79" s="21">
        <f>EXP(-LN(2)/2)*AB78+(1-EXP(-LN(2)/2))/(LN(2)/2)*V79*Y79*VLOOKUP('Données projet'!$B$9,Paramètres!$A$1:$I$89,3,0)*0.475*44/12</f>
        <v>46.690135716440125</v>
      </c>
      <c r="AC79" s="22">
        <f t="shared" si="57"/>
        <v>267.4302807750513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9.001923076923072</v>
      </c>
      <c r="AI79" s="13">
        <f>IF('Données projet'!$A$62&gt;35,AI78+AH79-AQ78,IF(A79&lt;'Données projet'!$A$62,$AF$205^A79,IF(A79='Données projet'!$A$62,'Données projet'!$B$62,AI78+AH79-AQ78)))</f>
        <v>284.11730769230815</v>
      </c>
      <c r="AJ79" s="13">
        <f>AI79*VLOOKUP('Données projet'!$B$10,Paramètres!$A$1:$I$89,3,0)*VLOOKUP('Données projet'!$B$10,Paramètres!$A$1:$I$89,5,0)</f>
        <v>132.96690000000021</v>
      </c>
      <c r="AK79" s="13">
        <f t="shared" si="89"/>
        <v>34.681019848273998</v>
      </c>
      <c r="AL79" s="20">
        <f t="shared" si="58"/>
        <v>291.98679373574424</v>
      </c>
      <c r="AM79" s="59">
        <f t="shared" si="59"/>
        <v>585.32012706907756</v>
      </c>
      <c r="AN79" s="59">
        <f ca="1">AVERAGE(OFFSET($AM$3,0,0,'Données projet'!$E$10+1,1))-AVERAGE(OFFSET($H$3,0,0,'Données projet'!$E$10+1,1))</f>
        <v>246.72166704460847</v>
      </c>
      <c r="AO79" s="59">
        <f t="shared" si="90"/>
        <v>145.54897745089966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39.973496484278513</v>
      </c>
      <c r="AV79" s="21">
        <f>EXP(-LN(2)/25)*AV78+(1-EXP(-LN(2)/25))/(LN(2)/25)*Calculateur!AQ79*Calculateur!AS79*VLOOKUP('Données projet'!$B$10,Paramètres!$A$1:$I$89,3,0)*0.475*44/12</f>
        <v>18.60343655741972</v>
      </c>
      <c r="AW79" s="21">
        <f>EXP(-LN(2)/2)*AW78+(1-EXP(-LN(2)/2))/(LN(2)/2)*AQ79*AT79*VLOOKUP('Données projet'!$B$10,Paramètres!$A$1:$I$89,3,0)*0.475*44/12</f>
        <v>4.3094114826581187</v>
      </c>
      <c r="AX79" s="21">
        <f t="shared" si="60"/>
        <v>62.886344524356353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88.478637356802039</v>
      </c>
      <c r="BJ79" s="59">
        <f t="shared" si="92"/>
        <v>239.55411297259155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14.889000261051683</v>
      </c>
      <c r="BQ79" s="21">
        <f>EXP(-LN(2)/25)*BQ78+(1-EXP(-LN(2)/25))/(LN(2)/25)*Calculateur!BL79*Calculateur!BN79*VLOOKUP('Données projet'!$B$11,Paramètres!$A$1:$I$89,3,0)*0.475*44/12</f>
        <v>2.0393238633411013</v>
      </c>
      <c r="BR79" s="21">
        <f>EXP(-LN(2)/2)*BR78+(1-EXP(-LN(2)/2))/(LN(2)/2)*BL79*BO79*VLOOKUP('Données projet'!$B$11,Paramètres!$A$1:$I$89,3,0)*0.475*44/12</f>
        <v>5.1253414506946395E-8</v>
      </c>
      <c r="BS79" s="22">
        <f t="shared" si="63"/>
        <v>16.9283241756462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6.2679487179487152</v>
      </c>
      <c r="BY79" s="12">
        <f>IF('Données projet'!$A$114&gt;35,BY78+BX79-CG78,IF(A79&lt;'Données projet'!$A$114,$BV$205^A79,IF(A79='Données projet'!$A$114,'Données projet'!$B$114,BY78+BX79-CG78)))</f>
        <v>195.23333333333341</v>
      </c>
      <c r="BZ79" s="13">
        <f>BY79*VLOOKUP('Données projet'!$B$12,Paramètres!$A$1:$I$89,3,0)*VLOOKUP('Données projet'!$B$12,Paramètres!$A$1:$I$89,5,0)</f>
        <v>176.64712000000006</v>
      </c>
      <c r="CA79" s="13">
        <f t="shared" si="93"/>
        <v>44.575417791014289</v>
      </c>
      <c r="CB79" s="20">
        <f t="shared" si="64"/>
        <v>385.2959199860166</v>
      </c>
      <c r="CC79" s="59">
        <f t="shared" si="65"/>
        <v>678.62925331934991</v>
      </c>
      <c r="CD79" s="59">
        <f ca="1">AVERAGE(OFFSET($CC$3,0,0,'Données projet'!$E$12+1,1))-AVERAGE(OFFSET($H$3,0,0,'Données projet'!$E$12+1,1))</f>
        <v>437.94387006020412</v>
      </c>
      <c r="CE79" s="59">
        <f t="shared" si="94"/>
        <v>213.95083535531376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9.5146153846153769</v>
      </c>
      <c r="CT79" s="12">
        <f>IF('Données projet'!$A$140&gt;35,CT78+CS79-DB78,IF(A79&lt;'Données projet'!$A$140,$CQ$205^A79,IF(A79='Données projet'!$A$140,'Données projet'!$B$140,CT78+CS79-DB78)))</f>
        <v>345.24153846153843</v>
      </c>
      <c r="CU79" s="17">
        <f>CT79*VLOOKUP('Données projet'!$B$13,Paramètres!$A$1:$I$89,3,0)*VLOOKUP('Données projet'!$B$13,Paramètres!$A$1:$I$89,5,0)</f>
        <v>166.06117999999998</v>
      </c>
      <c r="CV79" s="13">
        <f t="shared" si="95"/>
        <v>42.206658978894602</v>
      </c>
      <c r="CW79" s="20">
        <f t="shared" si="67"/>
        <v>362.73315288824142</v>
      </c>
      <c r="CX79" s="59">
        <f t="shared" si="68"/>
        <v>656.06648622157468</v>
      </c>
      <c r="CY79" s="59">
        <f ca="1">AVERAGE(OFFSET($CX$3,0,0,'Données projet'!$E$13+1,1))-AVERAGE(OFFSET($H$3,0,0,'Données projet'!$E$13+1,1))</f>
        <v>258.42493116335032</v>
      </c>
      <c r="CZ79" s="59">
        <f t="shared" si="96"/>
        <v>102.46122697336466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46.891642368642053</v>
      </c>
      <c r="DG79" s="21">
        <f>EXP(-LN(2)/25)*DG78+(1-EXP(-LN(2)/25))/(LN(2)/25)*Calculateur!DB79*Calculateur!DD79*VLOOKUP('Données projet'!$B$13,Paramètres!$A$1:$I$89,3,0)*0.475*44/12</f>
        <v>20.229309007087075</v>
      </c>
      <c r="DH79" s="21">
        <f>EXP(-LN(2)/2)*DH78+(1-EXP(-LN(2)/2))/(LN(2)/2)*DB79*DE79*VLOOKUP('Données projet'!$B$13,Paramètres!$A$1:$I$89,3,0)*0.475*44/12</f>
        <v>0.99067598857474803</v>
      </c>
      <c r="DI79" s="22">
        <f t="shared" si="69"/>
        <v>68.111627364303885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4</v>
      </c>
      <c r="DO79" s="12">
        <f>IF('Données projet'!$A$166&gt;35,DO78+DN79-DW78,IF(A79&lt;'Données projet'!$A$166,$DL$205^A79,IF(A79='Données projet'!$A$166,'Données projet'!$B$166,DO78+DN79-DW78)))</f>
        <v>229.00000000000003</v>
      </c>
      <c r="DP79" s="17">
        <f>DO79*VLOOKUP('Données projet'!$B$14,Paramètres!$A$1:$I$89,3,0)*VLOOKUP('Données projet'!$B$14,Paramètres!$A$1:$I$89,5,0)</f>
        <v>200.05440000000007</v>
      </c>
      <c r="DQ79" s="13">
        <f t="shared" si="97"/>
        <v>49.756123009618236</v>
      </c>
      <c r="DR79" s="20">
        <f t="shared" si="70"/>
        <v>435.08666090841854</v>
      </c>
      <c r="DS79" s="59">
        <f t="shared" si="71"/>
        <v>728.41999424175185</v>
      </c>
      <c r="DT79" s="59">
        <f ca="1">AVERAGE(OFFSET($DS$3,0,0,'Données projet'!$E$14+1,1))-AVERAGE(OFFSET($H$3,0,0,'Données projet'!$E$14+1,1))</f>
        <v>354.24684313982857</v>
      </c>
      <c r="DU79" s="59">
        <f t="shared" si="98"/>
        <v>322.65043486962185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20.983204815198942</v>
      </c>
      <c r="EB79" s="21">
        <f>EXP(-LN(2)/25)*EB78+(1-EXP(-LN(2)/25))/(LN(2)/25)*Calculateur!DW79*Calculateur!DY79*VLOOKUP('Données projet'!$B$14,Paramètres!$A$1:$I$89,3,0)*0.475*44/12</f>
        <v>18.849793730674286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39.832998545873224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-6.7984728957526396E-14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355.09162485318728</v>
      </c>
      <c r="T80" s="59">
        <f t="shared" si="88"/>
        <v>320.06572891923685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174.83835603437134</v>
      </c>
      <c r="AA80" s="21">
        <f>EXP(-LN(2)/25)*AA79+(1-EXP(-LN(2)/25))/(LN(2)/25)*Calculateur!V80*Calculateur!X80*VLOOKUP('Données projet'!$B$9,Paramètres!$A$1:$I$89,3,0)*0.475*44/12</f>
        <v>41.245180655644845</v>
      </c>
      <c r="AB80" s="21">
        <f>EXP(-LN(2)/2)*AB79+(1-EXP(-LN(2)/2))/(LN(2)/2)*V80*Y80*VLOOKUP('Données projet'!$B$9,Paramètres!$A$1:$I$89,3,0)*0.475*44/12</f>
        <v>33.014911579615038</v>
      </c>
      <c r="AC80" s="22">
        <f t="shared" si="57"/>
        <v>249.09844826963123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9.001923076923072</v>
      </c>
      <c r="AI80" s="13">
        <f>IF('Données projet'!$A$62&gt;35,AI79+AH80-AQ79,IF(A80&lt;'Données projet'!$A$62,$AF$205^A80,IF(A80='Données projet'!$A$62,'Données projet'!$B$62,AI79+AH80-AQ79)))</f>
        <v>293.11923076923119</v>
      </c>
      <c r="AJ80" s="13">
        <f>AI80*VLOOKUP('Données projet'!$B$10,Paramètres!$A$1:$I$89,3,0)*VLOOKUP('Données projet'!$B$10,Paramètres!$A$1:$I$89,5,0)</f>
        <v>137.1798000000002</v>
      </c>
      <c r="AK80" s="13">
        <f t="shared" si="89"/>
        <v>35.65017408944302</v>
      </c>
      <c r="AL80" s="20">
        <f t="shared" si="58"/>
        <v>301.01220487244694</v>
      </c>
      <c r="AM80" s="59">
        <f t="shared" si="59"/>
        <v>594.34553820578026</v>
      </c>
      <c r="AN80" s="59">
        <f ca="1">AVERAGE(OFFSET($AM$3,0,0,'Données projet'!$E$10+1,1))-AVERAGE(OFFSET($H$3,0,0,'Données projet'!$E$10+1,1))</f>
        <v>246.72166704460847</v>
      </c>
      <c r="AO80" s="59">
        <f t="shared" si="90"/>
        <v>145.54897745089966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39.189640599647198</v>
      </c>
      <c r="AV80" s="21">
        <f>EXP(-LN(2)/25)*AV79+(1-EXP(-LN(2)/25))/(LN(2)/25)*Calculateur!AQ80*Calculateur!AS80*VLOOKUP('Données projet'!$B$10,Paramètres!$A$1:$I$89,3,0)*0.475*44/12</f>
        <v>18.094724606444867</v>
      </c>
      <c r="AW80" s="21">
        <f>EXP(-LN(2)/2)*AW79+(1-EXP(-LN(2)/2))/(LN(2)/2)*AQ80*AT80*VLOOKUP('Données projet'!$B$10,Paramètres!$A$1:$I$89,3,0)*0.475*44/12</f>
        <v>3.0472140823107301</v>
      </c>
      <c r="AX80" s="21">
        <f t="shared" si="60"/>
        <v>60.331579288402793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88.478637356802039</v>
      </c>
      <c r="BJ80" s="59">
        <f t="shared" si="92"/>
        <v>239.55411297259155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14.597036047325906</v>
      </c>
      <c r="BQ80" s="21">
        <f>EXP(-LN(2)/25)*BQ79+(1-EXP(-LN(2)/25))/(LN(2)/25)*Calculateur!BL80*Calculateur!BN80*VLOOKUP('Données projet'!$B$11,Paramètres!$A$1:$I$89,3,0)*0.475*44/12</f>
        <v>1.9835584450546577</v>
      </c>
      <c r="BR80" s="21">
        <f>EXP(-LN(2)/2)*BR79+(1-EXP(-LN(2)/2))/(LN(2)/2)*BL80*BO80*VLOOKUP('Données projet'!$B$11,Paramètres!$A$1:$I$89,3,0)*0.475*44/12</f>
        <v>3.6241636956826765E-8</v>
      </c>
      <c r="BS80" s="22">
        <f t="shared" si="63"/>
        <v>16.5805945286222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6.2679487179487152</v>
      </c>
      <c r="BY80" s="12">
        <f>IF('Données projet'!$A$114&gt;35,BY79+BX80-CG79,IF(A80&lt;'Données projet'!$A$114,$BV$205^A80,IF(A80='Données projet'!$A$114,'Données projet'!$B$114,BY79+BX80-CG79)))</f>
        <v>201.50128205128212</v>
      </c>
      <c r="BZ80" s="13">
        <f>BY80*VLOOKUP('Données projet'!$B$12,Paramètres!$A$1:$I$89,3,0)*VLOOKUP('Données projet'!$B$12,Paramètres!$A$1:$I$89,5,0)</f>
        <v>182.31836000000007</v>
      </c>
      <c r="CA80" s="13">
        <f t="shared" si="93"/>
        <v>45.837593754393659</v>
      </c>
      <c r="CB80" s="20">
        <f t="shared" si="64"/>
        <v>397.37161945556909</v>
      </c>
      <c r="CC80" s="59">
        <f t="shared" si="65"/>
        <v>690.70495278890235</v>
      </c>
      <c r="CD80" s="59">
        <f ca="1">AVERAGE(OFFSET($CC$3,0,0,'Données projet'!$E$12+1,1))-AVERAGE(OFFSET($H$3,0,0,'Données projet'!$E$12+1,1))</f>
        <v>437.94387006020412</v>
      </c>
      <c r="CE80" s="59">
        <f t="shared" si="94"/>
        <v>213.95083535531376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9.5146153846153769</v>
      </c>
      <c r="CT80" s="12">
        <f>IF('Données projet'!$A$140&gt;35,CT79+CS80-DB79,IF(A80&lt;'Données projet'!$A$140,$CQ$205^A80,IF(A80='Données projet'!$A$140,'Données projet'!$B$140,CT79+CS80-DB79)))</f>
        <v>354.75615384615378</v>
      </c>
      <c r="CU80" s="17">
        <f>CT80*VLOOKUP('Données projet'!$B$13,Paramètres!$A$1:$I$89,3,0)*VLOOKUP('Données projet'!$B$13,Paramètres!$A$1:$I$89,5,0)</f>
        <v>170.63770999999997</v>
      </c>
      <c r="CV80" s="13">
        <f t="shared" si="95"/>
        <v>43.232818272913974</v>
      </c>
      <c r="CW80" s="20">
        <f t="shared" si="67"/>
        <v>372.49117007532504</v>
      </c>
      <c r="CX80" s="59">
        <f t="shared" si="68"/>
        <v>665.8245034086583</v>
      </c>
      <c r="CY80" s="59">
        <f ca="1">AVERAGE(OFFSET($CX$3,0,0,'Données projet'!$E$13+1,1))-AVERAGE(OFFSET($H$3,0,0,'Données projet'!$E$13+1,1))</f>
        <v>258.42493116335032</v>
      </c>
      <c r="CZ80" s="59">
        <f t="shared" si="96"/>
        <v>102.46122697336466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45.972125862870705</v>
      </c>
      <c r="DG80" s="21">
        <f>EXP(-LN(2)/25)*DG79+(1-EXP(-LN(2)/25))/(LN(2)/25)*Calculateur!DB80*Calculateur!DD80*VLOOKUP('Données projet'!$B$13,Paramètres!$A$1:$I$89,3,0)*0.475*44/12</f>
        <v>19.676137488475153</v>
      </c>
      <c r="DH80" s="21">
        <f>EXP(-LN(2)/2)*DH79+(1-EXP(-LN(2)/2))/(LN(2)/2)*DB80*DE80*VLOOKUP('Données projet'!$B$13,Paramètres!$A$1:$I$89,3,0)*0.475*44/12</f>
        <v>0.70051370947989111</v>
      </c>
      <c r="DI80" s="22">
        <f t="shared" si="69"/>
        <v>66.348777060825753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4</v>
      </c>
      <c r="DO80" s="12">
        <f>IF('Données projet'!$A$166&gt;35,DO79+DN80-DW79,IF(A80&lt;'Données projet'!$A$166,$DL$205^A80,IF(A80='Données projet'!$A$166,'Données projet'!$B$166,DO79+DN80-DW79)))</f>
        <v>233.00000000000003</v>
      </c>
      <c r="DP80" s="17">
        <f>DO80*VLOOKUP('Données projet'!$B$14,Paramètres!$A$1:$I$89,3,0)*VLOOKUP('Données projet'!$B$14,Paramètres!$A$1:$I$89,5,0)</f>
        <v>203.54880000000003</v>
      </c>
      <c r="DQ80" s="13">
        <f t="shared" si="97"/>
        <v>50.523286400023487</v>
      </c>
      <c r="DR80" s="20">
        <f t="shared" si="70"/>
        <v>442.50888381337427</v>
      </c>
      <c r="DS80" s="59">
        <f t="shared" si="71"/>
        <v>735.84221714670753</v>
      </c>
      <c r="DT80" s="59">
        <f ca="1">AVERAGE(OFFSET($DS$3,0,0,'Données projet'!$E$14+1,1))-AVERAGE(OFFSET($H$3,0,0,'Données projet'!$E$14+1,1))</f>
        <v>354.24684313982857</v>
      </c>
      <c r="DU80" s="59">
        <f t="shared" si="98"/>
        <v>322.65043486962185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20.571736967264084</v>
      </c>
      <c r="EB80" s="21">
        <f>EXP(-LN(2)/25)*EB79+(1-EXP(-LN(2)/25))/(LN(2)/25)*Calculateur!DW80*Calculateur!DY80*VLOOKUP('Données projet'!$B$14,Paramètres!$A$1:$I$89,3,0)*0.475*44/12</f>
        <v>18.334345129841427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38.906082097105511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-6.7984728957526396E-14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355.09162485318728</v>
      </c>
      <c r="T81" s="59">
        <f t="shared" si="88"/>
        <v>320.06572891923685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171.4098825134046</v>
      </c>
      <c r="AA81" s="21">
        <f>EXP(-LN(2)/25)*AA80+(1-EXP(-LN(2)/25))/(LN(2)/25)*Calculateur!V81*Calculateur!X81*VLOOKUP('Données projet'!$B$9,Paramètres!$A$1:$I$89,3,0)*0.475*44/12</f>
        <v>40.117329021626453</v>
      </c>
      <c r="AB81" s="21">
        <f>EXP(-LN(2)/2)*AB80+(1-EXP(-LN(2)/2))/(LN(2)/2)*V81*Y81*VLOOKUP('Données projet'!$B$9,Paramètres!$A$1:$I$89,3,0)*0.475*44/12</f>
        <v>23.345067858220066</v>
      </c>
      <c r="AC81" s="22">
        <f t="shared" si="57"/>
        <v>234.87227939325112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9.001923076923072</v>
      </c>
      <c r="AI81" s="13">
        <f>IF('Données projet'!$A$62&gt;35,AI80+AH81-AQ80,IF(A81&lt;'Données projet'!$A$62,$AF$205^A81,IF(A81='Données projet'!$A$62,'Données projet'!$B$62,AI80+AH81-AQ80)))</f>
        <v>302.12115384615424</v>
      </c>
      <c r="AJ81" s="13">
        <f>AI81*VLOOKUP('Données projet'!$B$10,Paramètres!$A$1:$I$89,3,0)*VLOOKUP('Données projet'!$B$10,Paramètres!$A$1:$I$89,5,0)</f>
        <v>141.39270000000019</v>
      </c>
      <c r="AK81" s="13">
        <f t="shared" si="89"/>
        <v>36.615869470582794</v>
      </c>
      <c r="AL81" s="20">
        <f t="shared" si="58"/>
        <v>310.031591827932</v>
      </c>
      <c r="AM81" s="59">
        <f t="shared" si="59"/>
        <v>603.36492516126532</v>
      </c>
      <c r="AN81" s="59">
        <f ca="1">AVERAGE(OFFSET($AM$3,0,0,'Données projet'!$E$10+1,1))-AVERAGE(OFFSET($H$3,0,0,'Données projet'!$E$10+1,1))</f>
        <v>246.72166704460847</v>
      </c>
      <c r="AO81" s="59">
        <f t="shared" si="90"/>
        <v>145.54897745089966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38.421155650808629</v>
      </c>
      <c r="AV81" s="21">
        <f>EXP(-LN(2)/25)*AV80+(1-EXP(-LN(2)/25))/(LN(2)/25)*Calculateur!AQ81*Calculateur!AS81*VLOOKUP('Données projet'!$B$10,Paramètres!$A$1:$I$89,3,0)*0.475*44/12</f>
        <v>17.59992341052142</v>
      </c>
      <c r="AW81" s="21">
        <f>EXP(-LN(2)/2)*AW80+(1-EXP(-LN(2)/2))/(LN(2)/2)*AQ81*AT81*VLOOKUP('Données projet'!$B$10,Paramètres!$A$1:$I$89,3,0)*0.475*44/12</f>
        <v>2.1547057413290598</v>
      </c>
      <c r="AX81" s="21">
        <f t="shared" si="60"/>
        <v>58.175784802659109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88.478637356802039</v>
      </c>
      <c r="BJ81" s="59">
        <f t="shared" si="92"/>
        <v>239.55411297259155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14.310797073750704</v>
      </c>
      <c r="BQ81" s="21">
        <f>EXP(-LN(2)/25)*BQ80+(1-EXP(-LN(2)/25))/(LN(2)/25)*Calculateur!BL81*Calculateur!BN81*VLOOKUP('Données projet'!$B$11,Paramètres!$A$1:$I$89,3,0)*0.475*44/12</f>
        <v>1.929317935063833</v>
      </c>
      <c r="BR81" s="21">
        <f>EXP(-LN(2)/2)*BR80+(1-EXP(-LN(2)/2))/(LN(2)/2)*BL81*BO81*VLOOKUP('Données projet'!$B$11,Paramètres!$A$1:$I$89,3,0)*0.475*44/12</f>
        <v>2.5626707253473198E-8</v>
      </c>
      <c r="BS81" s="22">
        <f t="shared" si="63"/>
        <v>16.240115034441246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>
        <f>VLOOKUP(A81,'Données projet'!$A$113:$I$133,2,0)</f>
        <v>207.76923076923077</v>
      </c>
      <c r="BW81" s="12">
        <f>VLOOKUP(A81,'Données projet'!$A$113:$I$133,9,0)</f>
        <v>6.2679487179487152</v>
      </c>
      <c r="BX81" s="12">
        <f t="array" ref="BX81">INDEX(BW:BW,MIN(IF(ISNUMBER(BW81:BW277),ROW(BW81:BW277),"")))</f>
        <v>6.2679487179487152</v>
      </c>
      <c r="BY81" s="12">
        <f>IF('Données projet'!$A$114&gt;35,BY80+BX81-CG80,IF(A81&lt;'Données projet'!$A$114,$BV$205^A81,IF(A81='Données projet'!$A$114,'Données projet'!$B$114,BY80+BX81-CG80)))</f>
        <v>207.76923076923083</v>
      </c>
      <c r="BZ81" s="13">
        <f>BY81*VLOOKUP('Données projet'!$B$12,Paramètres!$A$1:$I$89,3,0)*VLOOKUP('Données projet'!$B$12,Paramètres!$A$1:$I$89,5,0)</f>
        <v>187.98960000000005</v>
      </c>
      <c r="CA81" s="13">
        <f t="shared" si="93"/>
        <v>47.09520715863146</v>
      </c>
      <c r="CB81" s="20">
        <f t="shared" si="64"/>
        <v>409.43937246794985</v>
      </c>
      <c r="CC81" s="59">
        <f t="shared" si="65"/>
        <v>702.77270580128311</v>
      </c>
      <c r="CD81" s="59">
        <f ca="1">AVERAGE(OFFSET($CC$3,0,0,'Données projet'!$E$12+1,1))-AVERAGE(OFFSET($H$3,0,0,'Données projet'!$E$12+1,1))</f>
        <v>437.94387006020412</v>
      </c>
      <c r="CE81" s="59">
        <f t="shared" si="94"/>
        <v>213.95083535531376</v>
      </c>
      <c r="CF81" s="15">
        <f>IF(ISNA(VLOOKUP(A81,'Données projet'!$A$113:$I$133,3,0)),0,VLOOKUP(A81,'Données projet'!$A$113:$I$133,3,0))</f>
        <v>6</v>
      </c>
      <c r="CG81" s="15">
        <f>IF(ISNA(VLOOKUP(A81,'Données projet'!$A$113:$I$133,4,0)),0,VLOOKUP(A81,'Données projet'!$A$113:$I$133,4,0))</f>
        <v>32.88461538461538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9.5146153846153769</v>
      </c>
      <c r="CT81" s="12">
        <f>IF('Données projet'!$A$140&gt;35,CT80+CS81-DB80,IF(A81&lt;'Données projet'!$A$140,$CQ$205^A81,IF(A81='Données projet'!$A$140,'Données projet'!$B$140,CT80+CS81-DB80)))</f>
        <v>364.27076923076913</v>
      </c>
      <c r="CU81" s="17">
        <f>CT81*VLOOKUP('Données projet'!$B$13,Paramètres!$A$1:$I$89,3,0)*VLOOKUP('Données projet'!$B$13,Paramètres!$A$1:$I$89,5,0)</f>
        <v>175.21423999999996</v>
      </c>
      <c r="CV81" s="13">
        <f t="shared" si="95"/>
        <v>44.255778624992132</v>
      </c>
      <c r="CW81" s="20">
        <f t="shared" si="67"/>
        <v>382.24361577186119</v>
      </c>
      <c r="CX81" s="59">
        <f t="shared" si="68"/>
        <v>675.57694910519444</v>
      </c>
      <c r="CY81" s="59">
        <f ca="1">AVERAGE(OFFSET($CX$3,0,0,'Données projet'!$E$13+1,1))-AVERAGE(OFFSET($H$3,0,0,'Données projet'!$E$13+1,1))</f>
        <v>258.42493116335032</v>
      </c>
      <c r="CZ81" s="59">
        <f t="shared" si="96"/>
        <v>102.46122697336466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45.070640514927845</v>
      </c>
      <c r="DG81" s="21">
        <f>EXP(-LN(2)/25)*DG80+(1-EXP(-LN(2)/25))/(LN(2)/25)*Calculateur!DB81*Calculateur!DD81*VLOOKUP('Données projet'!$B$13,Paramètres!$A$1:$I$89,3,0)*0.475*44/12</f>
        <v>19.138092474129699</v>
      </c>
      <c r="DH81" s="21">
        <f>EXP(-LN(2)/2)*DH80+(1-EXP(-LN(2)/2))/(LN(2)/2)*DB81*DE81*VLOOKUP('Données projet'!$B$13,Paramètres!$A$1:$I$89,3,0)*0.475*44/12</f>
        <v>0.49533799428737413</v>
      </c>
      <c r="DI81" s="22">
        <f t="shared" si="69"/>
        <v>64.70407098334492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4</v>
      </c>
      <c r="DO81" s="12">
        <f>IF('Données projet'!$A$166&gt;35,DO80+DN81-DW80,IF(A81&lt;'Données projet'!$A$166,$DL$205^A81,IF(A81='Données projet'!$A$166,'Données projet'!$B$166,DO80+DN81-DW80)))</f>
        <v>237.00000000000003</v>
      </c>
      <c r="DP81" s="17">
        <f>DO81*VLOOKUP('Données projet'!$B$14,Paramètres!$A$1:$I$89,3,0)*VLOOKUP('Données projet'!$B$14,Paramètres!$A$1:$I$89,5,0)</f>
        <v>207.04320000000004</v>
      </c>
      <c r="DQ81" s="13">
        <f t="shared" si="97"/>
        <v>51.288918231806321</v>
      </c>
      <c r="DR81" s="20">
        <f t="shared" si="70"/>
        <v>449.92843925372944</v>
      </c>
      <c r="DS81" s="59">
        <f t="shared" si="71"/>
        <v>743.26177258706275</v>
      </c>
      <c r="DT81" s="59">
        <f ca="1">AVERAGE(OFFSET($DS$3,0,0,'Données projet'!$E$14+1,1))-AVERAGE(OFFSET($H$3,0,0,'Données projet'!$E$14+1,1))</f>
        <v>354.24684313982857</v>
      </c>
      <c r="DU81" s="59">
        <f t="shared" si="98"/>
        <v>322.65043486962185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20.168337752856619</v>
      </c>
      <c r="EB81" s="21">
        <f>EXP(-LN(2)/25)*EB80+(1-EXP(-LN(2)/25))/(LN(2)/25)*Calculateur!DW81*Calculateur!DY81*VLOOKUP('Données projet'!$B$14,Paramètres!$A$1:$I$89,3,0)*0.475*44/12</f>
        <v>17.832991498104608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38.001329250961227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-6.7984728957526396E-14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355.09162485318728</v>
      </c>
      <c r="T82" s="59">
        <f t="shared" si="88"/>
        <v>320.06572891923685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168.04863926702163</v>
      </c>
      <c r="AA82" s="21">
        <f>EXP(-LN(2)/25)*AA81+(1-EXP(-LN(2)/25))/(LN(2)/25)*Calculateur!V82*Calculateur!X82*VLOOKUP('Données projet'!$B$9,Paramètres!$A$1:$I$89,3,0)*0.475*44/12</f>
        <v>39.020318549851432</v>
      </c>
      <c r="AB82" s="21">
        <f>EXP(-LN(2)/2)*AB81+(1-EXP(-LN(2)/2))/(LN(2)/2)*V82*Y82*VLOOKUP('Données projet'!$B$9,Paramètres!$A$1:$I$89,3,0)*0.475*44/12</f>
        <v>16.507455789807523</v>
      </c>
      <c r="AC82" s="22">
        <f t="shared" si="57"/>
        <v>223.57641360668057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9.001923076923072</v>
      </c>
      <c r="AI82" s="13">
        <f>IF('Données projet'!$A$62&gt;35,AI81+AH82-AQ81,IF(A82&lt;'Données projet'!$A$62,$AF$205^A82,IF(A82='Données projet'!$A$62,'Données projet'!$B$62,AI81+AH82-AQ81)))</f>
        <v>311.12307692307729</v>
      </c>
      <c r="AJ82" s="13">
        <f>AI82*VLOOKUP('Données projet'!$B$10,Paramètres!$A$1:$I$89,3,0)*VLOOKUP('Données projet'!$B$10,Paramètres!$A$1:$I$89,5,0)</f>
        <v>145.60560000000018</v>
      </c>
      <c r="AK82" s="13">
        <f t="shared" si="89"/>
        <v>37.578220882267132</v>
      </c>
      <c r="AL82" s="20">
        <f t="shared" si="58"/>
        <v>319.04515470328221</v>
      </c>
      <c r="AM82" s="59">
        <f t="shared" si="59"/>
        <v>612.37848803661552</v>
      </c>
      <c r="AN82" s="59">
        <f ca="1">AVERAGE(OFFSET($AM$3,0,0,'Données projet'!$E$10+1,1))-AVERAGE(OFFSET($H$3,0,0,'Données projet'!$E$10+1,1))</f>
        <v>246.72166704460847</v>
      </c>
      <c r="AO82" s="59">
        <f t="shared" si="90"/>
        <v>145.54897745089966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37.667740223087243</v>
      </c>
      <c r="AV82" s="21">
        <f>EXP(-LN(2)/25)*AV81+(1-EXP(-LN(2)/25))/(LN(2)/25)*Calculateur!AQ82*Calculateur!AS82*VLOOKUP('Données projet'!$B$10,Paramètres!$A$1:$I$89,3,0)*0.475*44/12</f>
        <v>17.118652579320965</v>
      </c>
      <c r="AW82" s="21">
        <f>EXP(-LN(2)/2)*AW81+(1-EXP(-LN(2)/2))/(LN(2)/2)*AQ82*AT82*VLOOKUP('Données projet'!$B$10,Paramètres!$A$1:$I$89,3,0)*0.475*44/12</f>
        <v>1.5236070411553653</v>
      </c>
      <c r="AX82" s="21">
        <f t="shared" si="60"/>
        <v>56.309999843563574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88.478637356802039</v>
      </c>
      <c r="BJ82" s="59">
        <f t="shared" si="92"/>
        <v>239.55411297259155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14.030171071858778</v>
      </c>
      <c r="BQ82" s="21">
        <f>EXP(-LN(2)/25)*BQ81+(1-EXP(-LN(2)/25))/(LN(2)/25)*Calculateur!BL82*Calculateur!BN82*VLOOKUP('Données projet'!$B$11,Paramètres!$A$1:$I$89,3,0)*0.475*44/12</f>
        <v>1.8765606346710917</v>
      </c>
      <c r="BR82" s="21">
        <f>EXP(-LN(2)/2)*BR81+(1-EXP(-LN(2)/2))/(LN(2)/2)*BL82*BO82*VLOOKUP('Données projet'!$B$11,Paramètres!$A$1:$I$89,3,0)*0.475*44/12</f>
        <v>1.8120818478413383E-8</v>
      </c>
      <c r="BS82" s="22">
        <f t="shared" si="63"/>
        <v>15.906731724650689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6.1301282051282069</v>
      </c>
      <c r="BY82" s="12">
        <f>IF('Données projet'!$A$114&gt;35,BY81+BX82-CG81,IF(A82&lt;'Données projet'!$A$114,$BV$205^A82,IF(A82='Données projet'!$A$114,'Données projet'!$B$114,BY81+BX82-CG81)))</f>
        <v>181.01474358974366</v>
      </c>
      <c r="BZ82" s="13">
        <f>BY82*VLOOKUP('Données projet'!$B$12,Paramètres!$A$1:$I$89,3,0)*VLOOKUP('Données projet'!$B$12,Paramètres!$A$1:$I$89,5,0)</f>
        <v>163.78214000000006</v>
      </c>
      <c r="CA82" s="13">
        <f t="shared" si="93"/>
        <v>41.694424220484294</v>
      </c>
      <c r="CB82" s="20">
        <f t="shared" si="64"/>
        <v>357.87168268401024</v>
      </c>
      <c r="CC82" s="59">
        <f t="shared" si="65"/>
        <v>651.2050160173435</v>
      </c>
      <c r="CD82" s="59">
        <f ca="1">AVERAGE(OFFSET($CC$3,0,0,'Données projet'!$E$12+1,1))-AVERAGE(OFFSET($H$3,0,0,'Données projet'!$E$12+1,1))</f>
        <v>437.94387006020412</v>
      </c>
      <c r="CE82" s="59">
        <f t="shared" si="94"/>
        <v>213.95083535531376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9.5146153846153769</v>
      </c>
      <c r="CT82" s="12">
        <f>IF('Données projet'!$A$140&gt;35,CT81+CS82-DB81,IF(A82&lt;'Données projet'!$A$140,$CQ$205^A82,IF(A82='Données projet'!$A$140,'Données projet'!$B$140,CT81+CS82-DB81)))</f>
        <v>373.78538461538449</v>
      </c>
      <c r="CU82" s="17">
        <f>CT82*VLOOKUP('Données projet'!$B$13,Paramètres!$A$1:$I$89,3,0)*VLOOKUP('Données projet'!$B$13,Paramètres!$A$1:$I$89,5,0)</f>
        <v>179.79076999999995</v>
      </c>
      <c r="CV82" s="13">
        <f t="shared" si="95"/>
        <v>45.275633195891565</v>
      </c>
      <c r="CW82" s="20">
        <f t="shared" si="67"/>
        <v>391.99065223284441</v>
      </c>
      <c r="CX82" s="59">
        <f t="shared" si="68"/>
        <v>685.32398556617773</v>
      </c>
      <c r="CY82" s="59">
        <f ca="1">AVERAGE(OFFSET($CX$3,0,0,'Données projet'!$E$13+1,1))-AVERAGE(OFFSET($H$3,0,0,'Données projet'!$E$13+1,1))</f>
        <v>258.42493116335032</v>
      </c>
      <c r="CZ82" s="59">
        <f t="shared" si="96"/>
        <v>102.46122697336466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44.186832744806374</v>
      </c>
      <c r="DG82" s="21">
        <f>EXP(-LN(2)/25)*DG81+(1-EXP(-LN(2)/25))/(LN(2)/25)*Calculateur!DB82*Calculateur!DD82*VLOOKUP('Données projet'!$B$13,Paramètres!$A$1:$I$89,3,0)*0.475*44/12</f>
        <v>18.614760328996081</v>
      </c>
      <c r="DH82" s="21">
        <f>EXP(-LN(2)/2)*DH81+(1-EXP(-LN(2)/2))/(LN(2)/2)*DB82*DE82*VLOOKUP('Données projet'!$B$13,Paramètres!$A$1:$I$89,3,0)*0.475*44/12</f>
        <v>0.35025685473994561</v>
      </c>
      <c r="DI82" s="22">
        <f t="shared" si="69"/>
        <v>63.151849928542397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4</v>
      </c>
      <c r="DO82" s="12">
        <f>IF('Données projet'!$A$166&gt;35,DO81+DN82-DW81,IF(A82&lt;'Données projet'!$A$166,$DL$205^A82,IF(A82='Données projet'!$A$166,'Données projet'!$B$166,DO81+DN82-DW81)))</f>
        <v>241.00000000000003</v>
      </c>
      <c r="DP82" s="17">
        <f>DO82*VLOOKUP('Données projet'!$B$14,Paramètres!$A$1:$I$89,3,0)*VLOOKUP('Données projet'!$B$14,Paramètres!$A$1:$I$89,5,0)</f>
        <v>210.53760000000005</v>
      </c>
      <c r="DQ82" s="13">
        <f t="shared" si="97"/>
        <v>52.053047337322276</v>
      </c>
      <c r="DR82" s="20">
        <f t="shared" si="70"/>
        <v>457.34537744583628</v>
      </c>
      <c r="DS82" s="59">
        <f t="shared" si="71"/>
        <v>750.67871077916959</v>
      </c>
      <c r="DT82" s="59">
        <f ca="1">AVERAGE(OFFSET($DS$3,0,0,'Données projet'!$E$14+1,1))-AVERAGE(OFFSET($H$3,0,0,'Données projet'!$E$14+1,1))</f>
        <v>354.24684313982857</v>
      </c>
      <c r="DU82" s="59">
        <f t="shared" si="98"/>
        <v>322.65043486962185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19.772848950994462</v>
      </c>
      <c r="EB82" s="21">
        <f>EXP(-LN(2)/25)*EB81+(1-EXP(-LN(2)/25))/(LN(2)/25)*Calculateur!DW82*Calculateur!DY82*VLOOKUP('Données projet'!$B$14,Paramètres!$A$1:$I$89,3,0)*0.475*44/12</f>
        <v>17.345347407792673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37.118196358787131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-6.7984728957526396E-14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355.09162485318728</v>
      </c>
      <c r="T83" s="59">
        <f t="shared" si="88"/>
        <v>320.06572891923685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164.7533079505443</v>
      </c>
      <c r="AA83" s="21">
        <f>EXP(-LN(2)/25)*AA82+(1-EXP(-LN(2)/25))/(LN(2)/25)*Calculateur!V83*Calculateur!X83*VLOOKUP('Données projet'!$B$9,Paramètres!$A$1:$I$89,3,0)*0.475*44/12</f>
        <v>37.953305887116372</v>
      </c>
      <c r="AB83" s="21">
        <f>EXP(-LN(2)/2)*AB82+(1-EXP(-LN(2)/2))/(LN(2)/2)*V83*Y83*VLOOKUP('Données projet'!$B$9,Paramètres!$A$1:$I$89,3,0)*0.475*44/12</f>
        <v>11.672533929110037</v>
      </c>
      <c r="AC83" s="22">
        <f t="shared" si="57"/>
        <v>214.3791477667707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9.001923076923072</v>
      </c>
      <c r="AI83" s="13">
        <f>IF('Données projet'!$A$62&gt;35,AI82+AH83-AQ82,IF(A83&lt;'Données projet'!$A$62,$AF$205^A83,IF(A83='Données projet'!$A$62,'Données projet'!$B$62,AI82+AH83-AQ82)))</f>
        <v>320.12500000000034</v>
      </c>
      <c r="AJ83" s="13">
        <f>AI83*VLOOKUP('Données projet'!$B$10,Paramètres!$A$1:$I$89,3,0)*VLOOKUP('Données projet'!$B$10,Paramètres!$A$1:$I$89,5,0)</f>
        <v>149.81850000000017</v>
      </c>
      <c r="AK83" s="13">
        <f t="shared" si="89"/>
        <v>38.537336188594026</v>
      </c>
      <c r="AL83" s="20">
        <f t="shared" si="58"/>
        <v>328.0530813618015</v>
      </c>
      <c r="AM83" s="59">
        <f t="shared" si="59"/>
        <v>621.38641469513482</v>
      </c>
      <c r="AN83" s="59">
        <f ca="1">AVERAGE(OFFSET($AM$3,0,0,'Données projet'!$E$10+1,1))-AVERAGE(OFFSET($H$3,0,0,'Données projet'!$E$10+1,1))</f>
        <v>246.72166704460847</v>
      </c>
      <c r="AO83" s="59">
        <f t="shared" si="90"/>
        <v>145.54897745089966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36.929098812365439</v>
      </c>
      <c r="AV83" s="21">
        <f>EXP(-LN(2)/25)*AV82+(1-EXP(-LN(2)/25))/(LN(2)/25)*Calculateur!AQ83*Calculateur!AS83*VLOOKUP('Données projet'!$B$10,Paramètres!$A$1:$I$89,3,0)*0.475*44/12</f>
        <v>16.650542124308618</v>
      </c>
      <c r="AW83" s="21">
        <f>EXP(-LN(2)/2)*AW82+(1-EXP(-LN(2)/2))/(LN(2)/2)*AQ83*AT83*VLOOKUP('Données projet'!$B$10,Paramètres!$A$1:$I$89,3,0)*0.475*44/12</f>
        <v>1.0773528706645301</v>
      </c>
      <c r="AX83" s="21">
        <f t="shared" si="60"/>
        <v>54.65699380733858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88.478637356802039</v>
      </c>
      <c r="BJ83" s="59">
        <f t="shared" si="92"/>
        <v>239.55411297259155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13.755047974698993</v>
      </c>
      <c r="BQ83" s="21">
        <f>EXP(-LN(2)/25)*BQ82+(1-EXP(-LN(2)/25))/(LN(2)/25)*Calculateur!BL83*Calculateur!BN83*VLOOKUP('Données projet'!$B$11,Paramètres!$A$1:$I$89,3,0)*0.475*44/12</f>
        <v>1.8252459854319758</v>
      </c>
      <c r="BR83" s="21">
        <f>EXP(-LN(2)/2)*BR82+(1-EXP(-LN(2)/2))/(LN(2)/2)*BL83*BO83*VLOOKUP('Données projet'!$B$11,Paramètres!$A$1:$I$89,3,0)*0.475*44/12</f>
        <v>1.2813353626736599E-8</v>
      </c>
      <c r="BS83" s="22">
        <f t="shared" si="63"/>
        <v>15.580293972944323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6.1301282051282069</v>
      </c>
      <c r="BY83" s="12">
        <f>IF('Données projet'!$A$114&gt;35,BY82+BX83-CG82,IF(A83&lt;'Données projet'!$A$114,$BV$205^A83,IF(A83='Données projet'!$A$114,'Données projet'!$B$114,BY82+BX83-CG82)))</f>
        <v>187.14487179487188</v>
      </c>
      <c r="BZ83" s="13">
        <f>BY83*VLOOKUP('Données projet'!$B$12,Paramètres!$A$1:$I$89,3,0)*VLOOKUP('Données projet'!$B$12,Paramètres!$A$1:$I$89,5,0)</f>
        <v>169.32868000000008</v>
      </c>
      <c r="CA83" s="13">
        <f t="shared" si="93"/>
        <v>42.939635630853751</v>
      </c>
      <c r="CB83" s="20">
        <f t="shared" si="64"/>
        <v>369.70064972373711</v>
      </c>
      <c r="CC83" s="59">
        <f t="shared" si="65"/>
        <v>663.03398305707037</v>
      </c>
      <c r="CD83" s="59">
        <f ca="1">AVERAGE(OFFSET($CC$3,0,0,'Données projet'!$E$12+1,1))-AVERAGE(OFFSET($H$3,0,0,'Données projet'!$E$12+1,1))</f>
        <v>437.94387006020412</v>
      </c>
      <c r="CE83" s="59">
        <f t="shared" si="94"/>
        <v>213.95083535531376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383.29999999999995</v>
      </c>
      <c r="CR83" s="12">
        <f>VLOOKUP(A83,'Données projet'!$A$139:$I$159,9,0)</f>
        <v>9.5146153846153769</v>
      </c>
      <c r="CS83" s="12">
        <f t="array" ref="CS83">INDEX(CR:CR,MIN(IF(ISNUMBER(CR83:CR279),ROW(CR83:CR279),"")))</f>
        <v>9.5146153846153769</v>
      </c>
      <c r="CT83" s="12">
        <f>IF('Données projet'!$A$140&gt;35,CT82+CS83-DB82,IF(A83&lt;'Données projet'!$A$140,$CQ$205^A83,IF(A83='Données projet'!$A$140,'Données projet'!$B$140,CT82+CS83-DB82)))</f>
        <v>383.29999999999984</v>
      </c>
      <c r="CU83" s="17">
        <f>CT83*VLOOKUP('Données projet'!$B$13,Paramètres!$A$1:$I$89,3,0)*VLOOKUP('Données projet'!$B$13,Paramètres!$A$1:$I$89,5,0)</f>
        <v>184.36729999999994</v>
      </c>
      <c r="CV83" s="13">
        <f t="shared" si="95"/>
        <v>46.292470133371864</v>
      </c>
      <c r="CW83" s="20">
        <f t="shared" si="67"/>
        <v>401.73243298228925</v>
      </c>
      <c r="CX83" s="59">
        <f t="shared" si="68"/>
        <v>695.06576631562257</v>
      </c>
      <c r="CY83" s="59">
        <f ca="1">AVERAGE(OFFSET($CX$3,0,0,'Données projet'!$E$13+1,1))-AVERAGE(OFFSET($H$3,0,0,'Données projet'!$E$13+1,1))</f>
        <v>258.42493116335032</v>
      </c>
      <c r="CZ83" s="59">
        <f t="shared" si="96"/>
        <v>102.46122697336466</v>
      </c>
      <c r="DA83" s="15">
        <f>IF(ISNA(VLOOKUP(A83,'Données projet'!$A$139:$I$159,3,0)),0,VLOOKUP(A83,'Données projet'!$A$139:$I$159,3,0))</f>
        <v>4</v>
      </c>
      <c r="DB83" s="15">
        <f>IF(ISNA(VLOOKUP(A83,'Données projet'!$A$139:$I$159,4,0)),0,VLOOKUP(A83,'Données projet'!$A$139:$I$159,4,0))</f>
        <v>80.684615384615384</v>
      </c>
      <c r="DC83" s="16">
        <f>IF(ISNA(VLOOKUP(A83,'Données projet'!$A$139:$I$159,5,0)),0%,VLOOKUP(A83,'Données projet'!$A$139:$I$159,5,0)*VLOOKUP('Données projet'!$B$13,Paramètres!$A$1:$I$89,7,0))</f>
        <v>0.38500000000000001</v>
      </c>
      <c r="DD83" s="16">
        <f>IF(ISNA(VLOOKUP(A83,'Données projet'!$A$139:$I$159,6,0)),0%,VLOOKUP(A83,'Données projet'!$A$139:$I$159,6,0)*VLOOKUP('Données projet'!$B$13,Paramètres!$A$1:$I$89,7,0))</f>
        <v>9.240000000000001E-2</v>
      </c>
      <c r="DE83" s="16">
        <f>IF(ISNA(VLOOKUP(A83,'Données projet'!$A$139:$I$159,7,0)),0%,VLOOKUP(A83,'Données projet'!$A$139:$I$159,7,0))</f>
        <v>0.13200000000000001</v>
      </c>
      <c r="DF83" s="21">
        <f>EXP(-LN(2)/35)*DF82+(1-EXP(-LN(2)/35))/(LN(2)/35)*DB83*DC83*VLOOKUP('Données projet'!$B$13,Paramètres!$A$1:$I$89,3,0)*0.475*44/12</f>
        <v>63.141325505376031</v>
      </c>
      <c r="DG83" s="21">
        <f>EXP(-LN(2)/25)*DG82+(1-EXP(-LN(2)/25))/(LN(2)/25)*Calculateur!DB83*Calculateur!DD83*VLOOKUP('Données projet'!$B$13,Paramètres!$A$1:$I$89,3,0)*0.475*44/12</f>
        <v>22.8440411824186</v>
      </c>
      <c r="DH83" s="21">
        <f>EXP(-LN(2)/2)*DH82+(1-EXP(-LN(2)/2))/(LN(2)/2)*DB83*DE83*VLOOKUP('Données projet'!$B$13,Paramètres!$A$1:$I$89,3,0)*0.475*44/12</f>
        <v>6.0478998605236773</v>
      </c>
      <c r="DI83" s="22">
        <f t="shared" si="69"/>
        <v>92.033266548318295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245</v>
      </c>
      <c r="DM83" s="12">
        <f>VLOOKUP(A83,'Données projet'!$A$165:$I$185,9,0)</f>
        <v>4</v>
      </c>
      <c r="DN83" s="12">
        <f t="array" ref="DN83">INDEX(DM:DM,MIN(IF(ISNUMBER(DM83:DM279),ROW(DM83:DM279),"")))</f>
        <v>4</v>
      </c>
      <c r="DO83" s="12">
        <f>IF('Données projet'!$A$166&gt;35,DO82+DN83-DW82,IF(A83&lt;'Données projet'!$A$166,$DL$205^A83,IF(A83='Données projet'!$A$166,'Données projet'!$B$166,DO82+DN83-DW82)))</f>
        <v>245.00000000000003</v>
      </c>
      <c r="DP83" s="17">
        <f>DO83*VLOOKUP('Données projet'!$B$14,Paramètres!$A$1:$I$89,3,0)*VLOOKUP('Données projet'!$B$14,Paramètres!$A$1:$I$89,5,0)</f>
        <v>214.03200000000004</v>
      </c>
      <c r="DQ83" s="13">
        <f t="shared" si="97"/>
        <v>52.815701536972242</v>
      </c>
      <c r="DR83" s="20">
        <f t="shared" si="70"/>
        <v>464.75974684356009</v>
      </c>
      <c r="DS83" s="59">
        <f t="shared" si="71"/>
        <v>758.09308017689341</v>
      </c>
      <c r="DT83" s="59">
        <f ca="1">AVERAGE(OFFSET($DS$3,0,0,'Données projet'!$E$14+1,1))-AVERAGE(OFFSET($H$3,0,0,'Données projet'!$E$14+1,1))</f>
        <v>354.24684313982857</v>
      </c>
      <c r="DU83" s="59">
        <f t="shared" si="98"/>
        <v>322.65043486962185</v>
      </c>
      <c r="DV83" s="15">
        <f>IF(ISNA(VLOOKUP(A83,'Données projet'!$A$165:$I$185,3,0)),0,VLOOKUP(A83,'Données projet'!$A$165:$I$185,3,0))</f>
        <v>13</v>
      </c>
      <c r="DW83" s="15" t="str">
        <f>IF(ISNA(VLOOKUP(A83,'Données projet'!$A$165:$I$185,4,0)),0,VLOOKUP(A83,'Données projet'!$A$165:$I$185,4,0))</f>
        <v>15</v>
      </c>
      <c r="DX83" s="16">
        <f>IF(ISNA(VLOOKUP(A83,'Données projet'!$A$165:$I$185,5,0)),0%,VLOOKUP(A83,'Données projet'!$A$165:$I$185,5,0)*VLOOKUP('Données projet'!$B$14,Paramètres!$A$1:$I$89,7,0))</f>
        <v>0.25800000000000001</v>
      </c>
      <c r="DY83" s="16">
        <f>IF(ISNA(VLOOKUP(A83,'Données projet'!$A$165:$I$185,6,0)),0%,VLOOKUP(A83,'Données projet'!$A$165:$I$185,6,0)*VLOOKUP('Données projet'!$B$14,Paramètres!$A$1:$I$89,7,0))</f>
        <v>0.129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23.122525077489612</v>
      </c>
      <c r="EB83" s="21">
        <f>EXP(-LN(2)/25)*EB82+(1-EXP(-LN(2)/25))/(LN(2)/25)*Calculateur!DW83*Calculateur!DY83*VLOOKUP('Données projet'!$B$14,Paramètres!$A$1:$I$89,3,0)*0.475*44/12</f>
        <v>18.732384984965741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41.854910062455353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-6.7984728957526396E-14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355.09162485318728</v>
      </c>
      <c r="T84" s="59">
        <f t="shared" si="88"/>
        <v>320.06572891923685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161.52259607122946</v>
      </c>
      <c r="AA84" s="21">
        <f>EXP(-LN(2)/25)*AA83+(1-EXP(-LN(2)/25))/(LN(2)/25)*Calculateur!V84*Calculateur!X84*VLOOKUP('Données projet'!$B$9,Paramètres!$A$1:$I$89,3,0)*0.475*44/12</f>
        <v>36.915470741755563</v>
      </c>
      <c r="AB84" s="21">
        <f>EXP(-LN(2)/2)*AB83+(1-EXP(-LN(2)/2))/(LN(2)/2)*V84*Y84*VLOOKUP('Données projet'!$B$9,Paramètres!$A$1:$I$89,3,0)*0.475*44/12</f>
        <v>8.2537278949037631</v>
      </c>
      <c r="AC84" s="22">
        <f t="shared" si="57"/>
        <v>206.69179470788879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9.001923076923072</v>
      </c>
      <c r="AI84" s="13">
        <f>IF('Données projet'!$A$62&gt;35,AI83+AH84-AQ83,IF(A84&lt;'Données projet'!$A$62,$AF$205^A84,IF(A84='Données projet'!$A$62,'Données projet'!$B$62,AI83+AH84-AQ83)))</f>
        <v>329.12692307692339</v>
      </c>
      <c r="AJ84" s="13">
        <f>AI84*VLOOKUP('Données projet'!$B$10,Paramètres!$A$1:$I$89,3,0)*VLOOKUP('Données projet'!$B$10,Paramètres!$A$1:$I$89,5,0)</f>
        <v>154.03140000000016</v>
      </c>
      <c r="AK84" s="13">
        <f t="shared" si="89"/>
        <v>39.493316842260541</v>
      </c>
      <c r="AL84" s="20">
        <f t="shared" si="58"/>
        <v>337.05554850027073</v>
      </c>
      <c r="AM84" s="59">
        <f t="shared" si="59"/>
        <v>630.38888183360405</v>
      </c>
      <c r="AN84" s="59">
        <f ca="1">AVERAGE(OFFSET($AM$3,0,0,'Données projet'!$E$10+1,1))-AVERAGE(OFFSET($H$3,0,0,'Données projet'!$E$10+1,1))</f>
        <v>246.72166704460847</v>
      </c>
      <c r="AO84" s="59">
        <f t="shared" si="90"/>
        <v>145.54897745089966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36.204941709181114</v>
      </c>
      <c r="AV84" s="21">
        <f>EXP(-LN(2)/25)*AV83+(1-EXP(-LN(2)/25))/(LN(2)/25)*Calculateur!AQ84*Calculateur!AS84*VLOOKUP('Données projet'!$B$10,Paramètres!$A$1:$I$89,3,0)*0.475*44/12</f>
        <v>16.195232174305445</v>
      </c>
      <c r="AW84" s="21">
        <f>EXP(-LN(2)/2)*AW83+(1-EXP(-LN(2)/2))/(LN(2)/2)*AQ84*AT84*VLOOKUP('Données projet'!$B$10,Paramètres!$A$1:$I$89,3,0)*0.475*44/12</f>
        <v>0.76180352057768275</v>
      </c>
      <c r="AX84" s="21">
        <f t="shared" si="60"/>
        <v>53.161977404064245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88.478637356802039</v>
      </c>
      <c r="BJ84" s="59">
        <f t="shared" si="92"/>
        <v>239.55411297259155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13.485319873665992</v>
      </c>
      <c r="BQ84" s="21">
        <f>EXP(-LN(2)/25)*BQ83+(1-EXP(-LN(2)/25))/(LN(2)/25)*Calculateur!BL84*Calculateur!BN84*VLOOKUP('Données projet'!$B$11,Paramètres!$A$1:$I$89,3,0)*0.475*44/12</f>
        <v>1.7753345379748238</v>
      </c>
      <c r="BR84" s="21">
        <f>EXP(-LN(2)/2)*BR83+(1-EXP(-LN(2)/2))/(LN(2)/2)*BL84*BO84*VLOOKUP('Données projet'!$B$11,Paramètres!$A$1:$I$89,3,0)*0.475*44/12</f>
        <v>9.0604092392066913E-9</v>
      </c>
      <c r="BS84" s="22">
        <f t="shared" si="63"/>
        <v>15.260654420701224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6.1301282051282069</v>
      </c>
      <c r="BY84" s="12">
        <f>IF('Données projet'!$A$114&gt;35,BY83+BX84-CG83,IF(A84&lt;'Données projet'!$A$114,$BV$205^A84,IF(A84='Données projet'!$A$114,'Données projet'!$B$114,BY83+BX84-CG83)))</f>
        <v>193.27500000000009</v>
      </c>
      <c r="BZ84" s="13">
        <f>BY84*VLOOKUP('Données projet'!$B$12,Paramètres!$A$1:$I$89,3,0)*VLOOKUP('Données projet'!$B$12,Paramètres!$A$1:$I$89,5,0)</f>
        <v>174.87522000000007</v>
      </c>
      <c r="CA84" s="13">
        <f t="shared" si="93"/>
        <v>44.180107437005105</v>
      </c>
      <c r="CB84" s="20">
        <f t="shared" si="64"/>
        <v>381.52136195278405</v>
      </c>
      <c r="CC84" s="59">
        <f t="shared" si="65"/>
        <v>674.85469528611736</v>
      </c>
      <c r="CD84" s="59">
        <f ca="1">AVERAGE(OFFSET($CC$3,0,0,'Données projet'!$E$12+1,1))-AVERAGE(OFFSET($H$3,0,0,'Données projet'!$E$12+1,1))</f>
        <v>437.94387006020412</v>
      </c>
      <c r="CE84" s="59">
        <f t="shared" si="94"/>
        <v>213.95083535531376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8.2761538461538464</v>
      </c>
      <c r="CT84" s="12">
        <f>IF('Données projet'!$A$140&gt;35,CT83+CS84-DB83,IF(A84&lt;'Données projet'!$A$140,$CQ$205^A84,IF(A84='Données projet'!$A$140,'Données projet'!$B$140,CT83+CS84-DB83)))</f>
        <v>310.89153846153835</v>
      </c>
      <c r="CU84" s="17">
        <f>CT84*VLOOKUP('Données projet'!$B$13,Paramètres!$A$1:$I$89,3,0)*VLOOKUP('Données projet'!$B$13,Paramètres!$A$1:$I$89,5,0)</f>
        <v>149.53882999999996</v>
      </c>
      <c r="CV84" s="13">
        <f t="shared" si="95"/>
        <v>38.473764309284661</v>
      </c>
      <c r="CW84" s="20">
        <f t="shared" si="67"/>
        <v>327.45526842200405</v>
      </c>
      <c r="CX84" s="59">
        <f t="shared" si="68"/>
        <v>620.78860175533737</v>
      </c>
      <c r="CY84" s="59">
        <f ca="1">AVERAGE(OFFSET($CX$3,0,0,'Données projet'!$E$13+1,1))-AVERAGE(OFFSET($H$3,0,0,'Données projet'!$E$13+1,1))</f>
        <v>258.42493116335032</v>
      </c>
      <c r="CZ84" s="59">
        <f t="shared" si="96"/>
        <v>102.46122697336466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61.90316262462138</v>
      </c>
      <c r="DG84" s="21">
        <f>EXP(-LN(2)/25)*DG83+(1-EXP(-LN(2)/25))/(LN(2)/25)*Calculateur!DB84*Calculateur!DD84*VLOOKUP('Données projet'!$B$13,Paramètres!$A$1:$I$89,3,0)*0.475*44/12</f>
        <v>22.21936967496945</v>
      </c>
      <c r="DH84" s="21">
        <f>EXP(-LN(2)/2)*DH83+(1-EXP(-LN(2)/2))/(LN(2)/2)*DB84*DE84*VLOOKUP('Données projet'!$B$13,Paramètres!$A$1:$I$89,3,0)*0.475*44/12</f>
        <v>4.2765110033134679</v>
      </c>
      <c r="DI84" s="22">
        <f t="shared" si="69"/>
        <v>88.399043302904303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3.6</v>
      </c>
      <c r="DO84" s="12">
        <f>IF('Données projet'!$A$166&gt;35,DO83+DN84-DW83,IF(A84&lt;'Données projet'!$A$166,$DL$205^A84,IF(A84='Données projet'!$A$166,'Données projet'!$B$166,DO83+DN84-DW83)))</f>
        <v>233.60000000000002</v>
      </c>
      <c r="DP84" s="17">
        <f>DO84*VLOOKUP('Données projet'!$B$14,Paramètres!$A$1:$I$89,3,0)*VLOOKUP('Données projet'!$B$14,Paramètres!$A$1:$I$89,5,0)</f>
        <v>204.07296000000005</v>
      </c>
      <c r="DQ84" s="13">
        <f t="shared" si="97"/>
        <v>50.638228095278635</v>
      </c>
      <c r="DR84" s="20">
        <f t="shared" si="70"/>
        <v>443.62198593261041</v>
      </c>
      <c r="DS84" s="59">
        <f t="shared" si="71"/>
        <v>736.95531926594367</v>
      </c>
      <c r="DT84" s="59">
        <f ca="1">AVERAGE(OFFSET($DS$3,0,0,'Données projet'!$E$14+1,1))-AVERAGE(OFFSET($H$3,0,0,'Données projet'!$E$14+1,1))</f>
        <v>354.24684313982857</v>
      </c>
      <c r="DU84" s="59">
        <f t="shared" si="98"/>
        <v>322.65043486962185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22.669106464067749</v>
      </c>
      <c r="EB84" s="21">
        <f>EXP(-LN(2)/25)*EB83+(1-EXP(-LN(2)/25))/(LN(2)/25)*Calculateur!DW84*Calculateur!DY84*VLOOKUP('Données projet'!$B$14,Paramètres!$A$1:$I$89,3,0)*0.475*44/12</f>
        <v>18.22014693245854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40.889253396526286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-6.7984728957526396E-14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355.09162485318728</v>
      </c>
      <c r="T85" s="59">
        <f t="shared" si="88"/>
        <v>320.06572891923685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158.35523648132829</v>
      </c>
      <c r="AA85" s="21">
        <f>EXP(-LN(2)/25)*AA84+(1-EXP(-LN(2)/25))/(LN(2)/25)*Calculateur!V85*Calculateur!X85*VLOOKUP('Données projet'!$B$9,Paramètres!$A$1:$I$89,3,0)*0.475*44/12</f>
        <v>35.906015253022019</v>
      </c>
      <c r="AB85" s="21">
        <f>EXP(-LN(2)/2)*AB84+(1-EXP(-LN(2)/2))/(LN(2)/2)*V85*Y85*VLOOKUP('Données projet'!$B$9,Paramètres!$A$1:$I$89,3,0)*0.475*44/12</f>
        <v>5.8362669645550191</v>
      </c>
      <c r="AC85" s="22">
        <f t="shared" si="57"/>
        <v>200.09751869890533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9.001923076923072</v>
      </c>
      <c r="AI85" s="13">
        <f>IF('Données projet'!$A$62&gt;35,AI84+AH85-AQ84,IF(A85&lt;'Données projet'!$A$62,$AF$205^A85,IF(A85='Données projet'!$A$62,'Données projet'!$B$62,AI84+AH85-AQ84)))</f>
        <v>338.12884615384644</v>
      </c>
      <c r="AJ85" s="13">
        <f>AI85*VLOOKUP('Données projet'!$B$10,Paramètres!$A$1:$I$89,3,0)*VLOOKUP('Données projet'!$B$10,Paramètres!$A$1:$I$89,5,0)</f>
        <v>158.24430000000012</v>
      </c>
      <c r="AK85" s="13">
        <f t="shared" si="89"/>
        <v>40.446258430453724</v>
      </c>
      <c r="AL85" s="20">
        <f t="shared" si="58"/>
        <v>346.05272259970707</v>
      </c>
      <c r="AM85" s="59">
        <f t="shared" si="59"/>
        <v>639.38605593304032</v>
      </c>
      <c r="AN85" s="59">
        <f ca="1">AVERAGE(OFFSET($AM$3,0,0,'Données projet'!$E$10+1,1))-AVERAGE(OFFSET($H$3,0,0,'Données projet'!$E$10+1,1))</f>
        <v>246.72166704460847</v>
      </c>
      <c r="AO85" s="59">
        <f t="shared" si="90"/>
        <v>145.54897745089966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35.494984885098013</v>
      </c>
      <c r="AV85" s="21">
        <f>EXP(-LN(2)/25)*AV84+(1-EXP(-LN(2)/25))/(LN(2)/25)*Calculateur!AQ85*Calculateur!AS85*VLOOKUP('Données projet'!$B$10,Paramètres!$A$1:$I$89,3,0)*0.475*44/12</f>
        <v>15.752372698828818</v>
      </c>
      <c r="AW85" s="21">
        <f>EXP(-LN(2)/2)*AW84+(1-EXP(-LN(2)/2))/(LN(2)/2)*AQ85*AT85*VLOOKUP('Données projet'!$B$10,Paramètres!$A$1:$I$89,3,0)*0.475*44/12</f>
        <v>0.53867643533226506</v>
      </c>
      <c r="AX85" s="21">
        <f t="shared" si="60"/>
        <v>51.786034019259091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88.478637356802039</v>
      </c>
      <c r="BJ85" s="59">
        <f t="shared" si="92"/>
        <v>239.55411297259155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13.22088097617635</v>
      </c>
      <c r="BQ85" s="21">
        <f>EXP(-LN(2)/25)*BQ84+(1-EXP(-LN(2)/25))/(LN(2)/25)*Calculateur!BL85*Calculateur!BN85*VLOOKUP('Données projet'!$B$11,Paramètres!$A$1:$I$89,3,0)*0.475*44/12</f>
        <v>1.7267879216731163</v>
      </c>
      <c r="BR85" s="21">
        <f>EXP(-LN(2)/2)*BR84+(1-EXP(-LN(2)/2))/(LN(2)/2)*BL85*BO85*VLOOKUP('Données projet'!$B$11,Paramètres!$A$1:$I$89,3,0)*0.475*44/12</f>
        <v>6.4066768133682994E-9</v>
      </c>
      <c r="BS85" s="22">
        <f t="shared" si="63"/>
        <v>14.947668904256142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6.1301282051282069</v>
      </c>
      <c r="BY85" s="12">
        <f>IF('Données projet'!$A$114&gt;35,BY84+BX85-CG84,IF(A85&lt;'Données projet'!$A$114,$BV$205^A85,IF(A85='Données projet'!$A$114,'Données projet'!$B$114,BY84+BX85-CG84)))</f>
        <v>199.40512820512831</v>
      </c>
      <c r="BZ85" s="13">
        <f>BY85*VLOOKUP('Données projet'!$B$12,Paramètres!$A$1:$I$89,3,0)*VLOOKUP('Données projet'!$B$12,Paramètres!$A$1:$I$89,5,0)</f>
        <v>180.42176000000009</v>
      </c>
      <c r="CA85" s="13">
        <f t="shared" si="93"/>
        <v>45.416007211209035</v>
      </c>
      <c r="CB85" s="20">
        <f t="shared" si="64"/>
        <v>393.33411122618918</v>
      </c>
      <c r="CC85" s="59">
        <f t="shared" si="65"/>
        <v>686.66744455952244</v>
      </c>
      <c r="CD85" s="59">
        <f ca="1">AVERAGE(OFFSET($CC$3,0,0,'Données projet'!$E$12+1,1))-AVERAGE(OFFSET($H$3,0,0,'Données projet'!$E$12+1,1))</f>
        <v>437.94387006020412</v>
      </c>
      <c r="CE85" s="59">
        <f t="shared" si="94"/>
        <v>213.95083535531376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8.2761538461538464</v>
      </c>
      <c r="CT85" s="12">
        <f>IF('Données projet'!$A$140&gt;35,CT84+CS85-DB84,IF(A85&lt;'Données projet'!$A$140,$CQ$205^A85,IF(A85='Données projet'!$A$140,'Données projet'!$B$140,CT84+CS85-DB84)))</f>
        <v>319.16769230769216</v>
      </c>
      <c r="CU85" s="17">
        <f>CT85*VLOOKUP('Données projet'!$B$13,Paramètres!$A$1:$I$89,3,0)*VLOOKUP('Données projet'!$B$13,Paramètres!$A$1:$I$89,5,0)</f>
        <v>153.51965999999993</v>
      </c>
      <c r="CV85" s="13">
        <f t="shared" si="95"/>
        <v>39.377358101901478</v>
      </c>
      <c r="CW85" s="20">
        <f t="shared" si="67"/>
        <v>335.96230652747829</v>
      </c>
      <c r="CX85" s="59">
        <f t="shared" si="68"/>
        <v>629.29563986081166</v>
      </c>
      <c r="CY85" s="59">
        <f ca="1">AVERAGE(OFFSET($CX$3,0,0,'Données projet'!$E$13+1,1))-AVERAGE(OFFSET($H$3,0,0,'Données projet'!$E$13+1,1))</f>
        <v>258.42493116335032</v>
      </c>
      <c r="CZ85" s="59">
        <f t="shared" si="96"/>
        <v>102.46122697336466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60.689279362753545</v>
      </c>
      <c r="DG85" s="21">
        <f>EXP(-LN(2)/25)*DG84+(1-EXP(-LN(2)/25))/(LN(2)/25)*Calculateur!DB85*Calculateur!DD85*VLOOKUP('Données projet'!$B$13,Paramètres!$A$1:$I$89,3,0)*0.475*44/12</f>
        <v>21.611779842741541</v>
      </c>
      <c r="DH85" s="21">
        <f>EXP(-LN(2)/2)*DH84+(1-EXP(-LN(2)/2))/(LN(2)/2)*DB85*DE85*VLOOKUP('Données projet'!$B$13,Paramètres!$A$1:$I$89,3,0)*0.475*44/12</f>
        <v>3.0239499302618396</v>
      </c>
      <c r="DI85" s="22">
        <f t="shared" si="69"/>
        <v>85.325009135756915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3.6</v>
      </c>
      <c r="DO85" s="12">
        <f>IF('Données projet'!$A$166&gt;35,DO84+DN85-DW84,IF(A85&lt;'Données projet'!$A$166,$DL$205^A85,IF(A85='Données projet'!$A$166,'Données projet'!$B$166,DO84+DN85-DW84)))</f>
        <v>237.20000000000002</v>
      </c>
      <c r="DP85" s="17">
        <f>DO85*VLOOKUP('Données projet'!$B$14,Paramètres!$A$1:$I$89,3,0)*VLOOKUP('Données projet'!$B$14,Paramètres!$A$1:$I$89,5,0)</f>
        <v>207.21792000000005</v>
      </c>
      <c r="DQ85" s="13">
        <f t="shared" si="97"/>
        <v>51.327160141561521</v>
      </c>
      <c r="DR85" s="20">
        <f t="shared" si="70"/>
        <v>450.29934791321972</v>
      </c>
      <c r="DS85" s="59">
        <f t="shared" si="71"/>
        <v>743.63268124655303</v>
      </c>
      <c r="DT85" s="59">
        <f ca="1">AVERAGE(OFFSET($DS$3,0,0,'Données projet'!$E$14+1,1))-AVERAGE(OFFSET($H$3,0,0,'Données projet'!$E$14+1,1))</f>
        <v>354.24684313982857</v>
      </c>
      <c r="DU85" s="59">
        <f t="shared" si="98"/>
        <v>322.65043486962185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22.22457911309704</v>
      </c>
      <c r="EB85" s="21">
        <f>EXP(-LN(2)/25)*EB84+(1-EXP(-LN(2)/25))/(LN(2)/25)*Calculateur!DW85*Calculateur!DY85*VLOOKUP('Données projet'!$B$14,Paramètres!$A$1:$I$89,3,0)*0.475*44/12</f>
        <v>17.721916056434576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39.946495169531616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-6.7984728957526396E-14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355.09162485318728</v>
      </c>
      <c r="T86" s="59">
        <f t="shared" si="88"/>
        <v>320.06572891923685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155.2499868810865</v>
      </c>
      <c r="AA86" s="21">
        <f>EXP(-LN(2)/25)*AA85+(1-EXP(-LN(2)/25))/(LN(2)/25)*Calculateur!V86*Calculateur!X86*VLOOKUP('Données projet'!$B$9,Paramètres!$A$1:$I$89,3,0)*0.475*44/12</f>
        <v>34.924163377712851</v>
      </c>
      <c r="AB86" s="21">
        <f>EXP(-LN(2)/2)*AB85+(1-EXP(-LN(2)/2))/(LN(2)/2)*V86*Y86*VLOOKUP('Données projet'!$B$9,Paramètres!$A$1:$I$89,3,0)*0.475*44/12</f>
        <v>4.1268639474518825</v>
      </c>
      <c r="AC86" s="22">
        <f t="shared" si="57"/>
        <v>194.30101420625124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9.001923076923072</v>
      </c>
      <c r="AI86" s="13">
        <f>IF('Données projet'!$A$62&gt;35,AI85+AH86-AQ85,IF(A86&lt;'Données projet'!$A$62,$AF$205^A86,IF(A86='Données projet'!$A$62,'Données projet'!$B$62,AI85+AH86-AQ85)))</f>
        <v>347.13076923076949</v>
      </c>
      <c r="AJ86" s="13">
        <f>AI86*VLOOKUP('Données projet'!$B$10,Paramètres!$A$1:$I$89,3,0)*VLOOKUP('Données projet'!$B$10,Paramètres!$A$1:$I$89,5,0)</f>
        <v>162.45720000000011</v>
      </c>
      <c r="AK86" s="13">
        <f t="shared" si="89"/>
        <v>41.396251160974799</v>
      </c>
      <c r="AL86" s="20">
        <f t="shared" si="58"/>
        <v>355.04476077203134</v>
      </c>
      <c r="AM86" s="59">
        <f t="shared" si="59"/>
        <v>648.37809410536465</v>
      </c>
      <c r="AN86" s="59">
        <f ca="1">AVERAGE(OFFSET($AM$3,0,0,'Données projet'!$E$10+1,1))-AVERAGE(OFFSET($H$3,0,0,'Données projet'!$E$10+1,1))</f>
        <v>246.72166704460847</v>
      </c>
      <c r="AO86" s="59">
        <f t="shared" si="90"/>
        <v>145.54897745089966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34.798949881304281</v>
      </c>
      <c r="AV86" s="21">
        <f>EXP(-LN(2)/25)*AV85+(1-EXP(-LN(2)/25))/(LN(2)/25)*Calculateur!AQ86*Calculateur!AS86*VLOOKUP('Données projet'!$B$10,Paramètres!$A$1:$I$89,3,0)*0.475*44/12</f>
        <v>15.321623238998066</v>
      </c>
      <c r="AW86" s="21">
        <f>EXP(-LN(2)/2)*AW85+(1-EXP(-LN(2)/2))/(LN(2)/2)*AQ86*AT86*VLOOKUP('Données projet'!$B$10,Paramètres!$A$1:$I$89,3,0)*0.475*44/12</f>
        <v>0.38090176028884137</v>
      </c>
      <c r="AX86" s="21">
        <f t="shared" si="60"/>
        <v>50.501474880591189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88.478637356802039</v>
      </c>
      <c r="BJ86" s="59">
        <f t="shared" si="92"/>
        <v>239.55411297259155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12.961627564174679</v>
      </c>
      <c r="BQ86" s="21">
        <f>EXP(-LN(2)/25)*BQ85+(1-EXP(-LN(2)/25))/(LN(2)/25)*Calculateur!BL86*Calculateur!BN86*VLOOKUP('Données projet'!$B$11,Paramètres!$A$1:$I$89,3,0)*0.475*44/12</f>
        <v>1.6795688151471349</v>
      </c>
      <c r="BR86" s="21">
        <f>EXP(-LN(2)/2)*BR85+(1-EXP(-LN(2)/2))/(LN(2)/2)*BL86*BO86*VLOOKUP('Données projet'!$B$11,Paramètres!$A$1:$I$89,3,0)*0.475*44/12</f>
        <v>4.5302046196033456E-9</v>
      </c>
      <c r="BS86" s="22">
        <f t="shared" si="63"/>
        <v>14.641196383852018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6.1301282051282069</v>
      </c>
      <c r="BY86" s="12">
        <f>IF('Données projet'!$A$114&gt;35,BY85+BX86-CG85,IF(A86&lt;'Données projet'!$A$114,$BV$205^A86,IF(A86='Données projet'!$A$114,'Données projet'!$B$114,BY85+BX86-CG85)))</f>
        <v>205.53525641025652</v>
      </c>
      <c r="BZ86" s="13">
        <f>BY86*VLOOKUP('Données projet'!$B$12,Paramètres!$A$1:$I$89,3,0)*VLOOKUP('Données projet'!$B$12,Paramètres!$A$1:$I$89,5,0)</f>
        <v>185.96830000000011</v>
      </c>
      <c r="CA86" s="13">
        <f t="shared" si="93"/>
        <v>46.647491637342043</v>
      </c>
      <c r="CB86" s="20">
        <f t="shared" si="64"/>
        <v>405.13917043503761</v>
      </c>
      <c r="CC86" s="59">
        <f t="shared" si="65"/>
        <v>698.47250376837087</v>
      </c>
      <c r="CD86" s="59">
        <f ca="1">AVERAGE(OFFSET($CC$3,0,0,'Données projet'!$E$12+1,1))-AVERAGE(OFFSET($H$3,0,0,'Données projet'!$E$12+1,1))</f>
        <v>437.94387006020412</v>
      </c>
      <c r="CE86" s="59">
        <f t="shared" si="94"/>
        <v>213.95083535531376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8.2761538461538464</v>
      </c>
      <c r="CT86" s="12">
        <f>IF('Données projet'!$A$140&gt;35,CT85+CS86-DB85,IF(A86&lt;'Données projet'!$A$140,$CQ$205^A86,IF(A86='Données projet'!$A$140,'Données projet'!$B$140,CT85+CS86-DB85)))</f>
        <v>327.44384615384604</v>
      </c>
      <c r="CU86" s="17">
        <f>CT86*VLOOKUP('Données projet'!$B$13,Paramètres!$A$1:$I$89,3,0)*VLOOKUP('Données projet'!$B$13,Paramètres!$A$1:$I$89,5,0)</f>
        <v>157.50048999999996</v>
      </c>
      <c r="CV86" s="13">
        <f t="shared" si="95"/>
        <v>40.278228365323152</v>
      </c>
      <c r="CW86" s="20">
        <f t="shared" si="67"/>
        <v>344.46460115293775</v>
      </c>
      <c r="CX86" s="59">
        <f t="shared" si="68"/>
        <v>637.79793448627106</v>
      </c>
      <c r="CY86" s="59">
        <f ca="1">AVERAGE(OFFSET($CX$3,0,0,'Données projet'!$E$13+1,1))-AVERAGE(OFFSET($H$3,0,0,'Données projet'!$E$13+1,1))</f>
        <v>258.42493116335032</v>
      </c>
      <c r="CZ86" s="59">
        <f t="shared" si="96"/>
        <v>102.46122697336466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59.499199611255257</v>
      </c>
      <c r="DG86" s="21">
        <f>EXP(-LN(2)/25)*DG85+(1-EXP(-LN(2)/25))/(LN(2)/25)*Calculateur!DB86*Calculateur!DD86*VLOOKUP('Données projet'!$B$13,Paramètres!$A$1:$I$89,3,0)*0.475*44/12</f>
        <v>21.020804586427666</v>
      </c>
      <c r="DH86" s="21">
        <f>EXP(-LN(2)/2)*DH85+(1-EXP(-LN(2)/2))/(LN(2)/2)*DB86*DE86*VLOOKUP('Données projet'!$B$13,Paramètres!$A$1:$I$89,3,0)*0.475*44/12</f>
        <v>2.1382555016567344</v>
      </c>
      <c r="DI86" s="22">
        <f t="shared" si="69"/>
        <v>82.658259699339652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3.6</v>
      </c>
      <c r="DO86" s="12">
        <f>IF('Données projet'!$A$166&gt;35,DO85+DN86-DW85,IF(A86&lt;'Données projet'!$A$166,$DL$205^A86,IF(A86='Données projet'!$A$166,'Données projet'!$B$166,DO85+DN86-DW85)))</f>
        <v>240.8</v>
      </c>
      <c r="DP86" s="17">
        <f>DO86*VLOOKUP('Données projet'!$B$14,Paramètres!$A$1:$I$89,3,0)*VLOOKUP('Données projet'!$B$14,Paramètres!$A$1:$I$89,5,0)</f>
        <v>210.36288000000002</v>
      </c>
      <c r="DQ86" s="13">
        <f t="shared" si="97"/>
        <v>52.014876138342963</v>
      </c>
      <c r="DR86" s="20">
        <f t="shared" si="70"/>
        <v>456.97459194094728</v>
      </c>
      <c r="DS86" s="59">
        <f t="shared" si="71"/>
        <v>750.30792527428059</v>
      </c>
      <c r="DT86" s="59">
        <f ca="1">AVERAGE(OFFSET($DS$3,0,0,'Données projet'!$E$14+1,1))-AVERAGE(OFFSET($H$3,0,0,'Données projet'!$E$14+1,1))</f>
        <v>354.24684313982857</v>
      </c>
      <c r="DU86" s="59">
        <f t="shared" si="98"/>
        <v>322.65043486962185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21.788768672343956</v>
      </c>
      <c r="EB86" s="21">
        <f>EXP(-LN(2)/25)*EB85+(1-EXP(-LN(2)/25))/(LN(2)/25)*Calculateur!DW86*Calculateur!DY86*VLOOKUP('Données projet'!$B$14,Paramètres!$A$1:$I$89,3,0)*0.475*44/12</f>
        <v>17.237309329916311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39.026078002260263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-6.7984728957526396E-14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355.09162485318728</v>
      </c>
      <c r="T87" s="59">
        <f t="shared" si="88"/>
        <v>320.06572891923685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152.20562933149023</v>
      </c>
      <c r="AA87" s="21">
        <f>EXP(-LN(2)/25)*AA86+(1-EXP(-LN(2)/25))/(LN(2)/25)*Calculateur!V87*Calculateur!X87*VLOOKUP('Données projet'!$B$9,Paramètres!$A$1:$I$89,3,0)*0.475*44/12</f>
        <v>33.969160293567363</v>
      </c>
      <c r="AB87" s="21">
        <f>EXP(-LN(2)/2)*AB86+(1-EXP(-LN(2)/2))/(LN(2)/2)*V87*Y87*VLOOKUP('Données projet'!$B$9,Paramètres!$A$1:$I$89,3,0)*0.475*44/12</f>
        <v>2.91813348227751</v>
      </c>
      <c r="AC87" s="22">
        <f t="shared" si="57"/>
        <v>189.09292310733511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9.001923076923072</v>
      </c>
      <c r="AI87" s="13">
        <f>IF('Données projet'!$A$62&gt;35,AI86+AH87-AQ86,IF(A87&lt;'Données projet'!$A$62,$AF$205^A87,IF(A87='Données projet'!$A$62,'Données projet'!$B$62,AI86+AH87-AQ86)))</f>
        <v>356.13269230769254</v>
      </c>
      <c r="AJ87" s="13">
        <f>AI87*VLOOKUP('Données projet'!$B$10,Paramètres!$A$1:$I$89,3,0)*VLOOKUP('Données projet'!$B$10,Paramètres!$A$1:$I$89,5,0)</f>
        <v>166.6701000000001</v>
      </c>
      <c r="AK87" s="13">
        <f t="shared" si="89"/>
        <v>42.34338029651839</v>
      </c>
      <c r="AL87" s="20">
        <f t="shared" si="58"/>
        <v>364.03181151643639</v>
      </c>
      <c r="AM87" s="59">
        <f t="shared" si="59"/>
        <v>657.36514484976965</v>
      </c>
      <c r="AN87" s="59">
        <f ca="1">AVERAGE(OFFSET($AM$3,0,0,'Données projet'!$E$10+1,1))-AVERAGE(OFFSET($H$3,0,0,'Données projet'!$E$10+1,1))</f>
        <v>246.72166704460847</v>
      </c>
      <c r="AO87" s="59">
        <f t="shared" si="90"/>
        <v>145.54897745089966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34.116563699395513</v>
      </c>
      <c r="AV87" s="21">
        <f>EXP(-LN(2)/25)*AV86+(1-EXP(-LN(2)/25))/(LN(2)/25)*Calculateur!AQ87*Calculateur!AS87*VLOOKUP('Données projet'!$B$10,Paramètres!$A$1:$I$89,3,0)*0.475*44/12</f>
        <v>14.902652645798517</v>
      </c>
      <c r="AW87" s="21">
        <f>EXP(-LN(2)/2)*AW86+(1-EXP(-LN(2)/2))/(LN(2)/2)*AQ87*AT87*VLOOKUP('Données projet'!$B$10,Paramètres!$A$1:$I$89,3,0)*0.475*44/12</f>
        <v>0.26933821766613253</v>
      </c>
      <c r="AX87" s="21">
        <f t="shared" si="60"/>
        <v>49.288554562860163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88.478637356802039</v>
      </c>
      <c r="BJ87" s="59">
        <f t="shared" si="92"/>
        <v>239.55411297259155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12.707457953453392</v>
      </c>
      <c r="BQ87" s="21">
        <f>EXP(-LN(2)/25)*BQ86+(1-EXP(-LN(2)/25))/(LN(2)/25)*Calculateur!BL87*Calculateur!BN87*VLOOKUP('Données projet'!$B$11,Paramètres!$A$1:$I$89,3,0)*0.475*44/12</f>
        <v>1.6336409175722513</v>
      </c>
      <c r="BR87" s="21">
        <f>EXP(-LN(2)/2)*BR86+(1-EXP(-LN(2)/2))/(LN(2)/2)*BL87*BO87*VLOOKUP('Données projet'!$B$11,Paramètres!$A$1:$I$89,3,0)*0.475*44/12</f>
        <v>3.2033384066841497E-9</v>
      </c>
      <c r="BS87" s="22">
        <f t="shared" si="63"/>
        <v>14.341098874228981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6.1301282051282069</v>
      </c>
      <c r="BY87" s="12">
        <f>IF('Données projet'!$A$114&gt;35,BY86+BX87-CG86,IF(A87&lt;'Données projet'!$A$114,$BV$205^A87,IF(A87='Données projet'!$A$114,'Données projet'!$B$114,BY86+BX87-CG86)))</f>
        <v>211.66538461538474</v>
      </c>
      <c r="BZ87" s="13">
        <f>BY87*VLOOKUP('Données projet'!$B$12,Paramètres!$A$1:$I$89,3,0)*VLOOKUP('Données projet'!$B$12,Paramètres!$A$1:$I$89,5,0)</f>
        <v>191.51484000000011</v>
      </c>
      <c r="CA87" s="13">
        <f t="shared" si="93"/>
        <v>47.874707521786746</v>
      </c>
      <c r="CB87" s="20">
        <f t="shared" si="64"/>
        <v>416.93679526711207</v>
      </c>
      <c r="CC87" s="59">
        <f t="shared" si="65"/>
        <v>710.27012860044533</v>
      </c>
      <c r="CD87" s="59">
        <f ca="1">AVERAGE(OFFSET($CC$3,0,0,'Données projet'!$E$12+1,1))-AVERAGE(OFFSET($H$3,0,0,'Données projet'!$E$12+1,1))</f>
        <v>437.94387006020412</v>
      </c>
      <c r="CE87" s="59">
        <f t="shared" si="94"/>
        <v>213.95083535531376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0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8.2761538461538464</v>
      </c>
      <c r="CT87" s="12">
        <f>IF('Données projet'!$A$140&gt;35,CT86+CS87-DB86,IF(A87&lt;'Données projet'!$A$140,$CQ$205^A87,IF(A87='Données projet'!$A$140,'Données projet'!$B$140,CT86+CS87-DB86)))</f>
        <v>335.71999999999991</v>
      </c>
      <c r="CU87" s="17">
        <f>CT87*VLOOKUP('Données projet'!$B$13,Paramètres!$A$1:$I$89,3,0)*VLOOKUP('Données projet'!$B$13,Paramètres!$A$1:$I$89,5,0)</f>
        <v>161.48131999999995</v>
      </c>
      <c r="CV87" s="13">
        <f t="shared" si="95"/>
        <v>41.176451853097369</v>
      </c>
      <c r="CW87" s="20">
        <f t="shared" si="67"/>
        <v>352.96228597747785</v>
      </c>
      <c r="CX87" s="59">
        <f t="shared" si="68"/>
        <v>646.29561931081116</v>
      </c>
      <c r="CY87" s="59">
        <f ca="1">AVERAGE(OFFSET($CX$3,0,0,'Données projet'!$E$13+1,1))-AVERAGE(OFFSET($H$3,0,0,'Données projet'!$E$13+1,1))</f>
        <v>258.42493116335032</v>
      </c>
      <c r="CZ87" s="59">
        <f t="shared" si="96"/>
        <v>102.46122697336466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58.332456597806875</v>
      </c>
      <c r="DG87" s="21">
        <f>EXP(-LN(2)/25)*DG86+(1-EXP(-LN(2)/25))/(LN(2)/25)*Calculateur!DB87*Calculateur!DD87*VLOOKUP('Données projet'!$B$13,Paramètres!$A$1:$I$89,3,0)*0.475*44/12</f>
        <v>20.44598957957573</v>
      </c>
      <c r="DH87" s="21">
        <f>EXP(-LN(2)/2)*DH86+(1-EXP(-LN(2)/2))/(LN(2)/2)*DB87*DE87*VLOOKUP('Données projet'!$B$13,Paramètres!$A$1:$I$89,3,0)*0.475*44/12</f>
        <v>1.51197496513092</v>
      </c>
      <c r="DI87" s="22">
        <f t="shared" si="69"/>
        <v>80.290421142513523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3.6</v>
      </c>
      <c r="DO87" s="12">
        <f>IF('Données projet'!$A$166&gt;35,DO86+DN87-DW86,IF(A87&lt;'Données projet'!$A$166,$DL$205^A87,IF(A87='Données projet'!$A$166,'Données projet'!$B$166,DO86+DN87-DW86)))</f>
        <v>244.4</v>
      </c>
      <c r="DP87" s="17">
        <f>DO87*VLOOKUP('Données projet'!$B$14,Paramètres!$A$1:$I$89,3,0)*VLOOKUP('Données projet'!$B$14,Paramètres!$A$1:$I$89,5,0)</f>
        <v>213.50784000000002</v>
      </c>
      <c r="DQ87" s="13">
        <f t="shared" si="97"/>
        <v>52.701396365805124</v>
      </c>
      <c r="DR87" s="20">
        <f t="shared" si="70"/>
        <v>463.6477533371106</v>
      </c>
      <c r="DS87" s="59">
        <f t="shared" si="71"/>
        <v>756.98108667044391</v>
      </c>
      <c r="DT87" s="59">
        <f ca="1">AVERAGE(OFFSET($DS$3,0,0,'Données projet'!$E$14+1,1))-AVERAGE(OFFSET($H$3,0,0,'Données projet'!$E$14+1,1))</f>
        <v>354.24684313982857</v>
      </c>
      <c r="DU87" s="59">
        <f t="shared" si="98"/>
        <v>322.65043486962185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21.361504208515917</v>
      </c>
      <c r="EB87" s="21">
        <f>EXP(-LN(2)/25)*EB86+(1-EXP(-LN(2)/25))/(LN(2)/25)*Calculateur!DW87*Calculateur!DY87*VLOOKUP('Données projet'!$B$14,Paramètres!$A$1:$I$89,3,0)*0.475*44/12</f>
        <v>16.765954199819049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38.127458408334967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-6.7984728957526396E-14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355.09162485318728</v>
      </c>
      <c r="T88" s="59">
        <f t="shared" si="88"/>
        <v>320.06572891923685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149.22096977656679</v>
      </c>
      <c r="AA88" s="21">
        <f>EXP(-LN(2)/25)*AA87+(1-EXP(-LN(2)/25))/(LN(2)/25)*Calculateur!V88*Calculateur!X88*VLOOKUP('Données projet'!$B$9,Paramètres!$A$1:$I$89,3,0)*0.475*44/12</f>
        <v>33.040271818979264</v>
      </c>
      <c r="AB88" s="21">
        <f>EXP(-LN(2)/2)*AB87+(1-EXP(-LN(2)/2))/(LN(2)/2)*V88*Y88*VLOOKUP('Données projet'!$B$9,Paramètres!$A$1:$I$89,3,0)*0.475*44/12</f>
        <v>2.0634319737259412</v>
      </c>
      <c r="AC88" s="22">
        <f t="shared" si="57"/>
        <v>184.32467356927199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9.001923076923072</v>
      </c>
      <c r="AI88" s="13">
        <f>IF('Données projet'!$A$62&gt;35,AI87+AH88-AQ87,IF(A88&lt;'Données projet'!$A$62,$AF$205^A88,IF(A88='Données projet'!$A$62,'Données projet'!$B$62,AI87+AH88-AQ87)))</f>
        <v>365.13461538461559</v>
      </c>
      <c r="AJ88" s="13">
        <f>AI88*VLOOKUP('Données projet'!$B$10,Paramètres!$A$1:$I$89,3,0)*VLOOKUP('Données projet'!$B$10,Paramètres!$A$1:$I$89,5,0)</f>
        <v>170.8830000000001</v>
      </c>
      <c r="AK88" s="13">
        <f t="shared" si="89"/>
        <v>43.287726543807658</v>
      </c>
      <c r="AL88" s="20">
        <f t="shared" si="58"/>
        <v>373.0140153971318</v>
      </c>
      <c r="AM88" s="59">
        <f t="shared" si="59"/>
        <v>666.34734873046511</v>
      </c>
      <c r="AN88" s="59">
        <f ca="1">AVERAGE(OFFSET($AM$3,0,0,'Données projet'!$E$10+1,1))-AVERAGE(OFFSET($H$3,0,0,'Données projet'!$E$10+1,1))</f>
        <v>246.72166704460847</v>
      </c>
      <c r="AO88" s="59">
        <f t="shared" si="90"/>
        <v>145.54897745089966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33.447558694299502</v>
      </c>
      <c r="AV88" s="21">
        <f>EXP(-LN(2)/25)*AV87+(1-EXP(-LN(2)/25))/(LN(2)/25)*Calculateur!AQ88*Calculateur!AS88*VLOOKUP('Données projet'!$B$10,Paramètres!$A$1:$I$89,3,0)*0.475*44/12</f>
        <v>14.495138825502714</v>
      </c>
      <c r="AW88" s="21">
        <f>EXP(-LN(2)/2)*AW87+(1-EXP(-LN(2)/2))/(LN(2)/2)*AQ88*AT88*VLOOKUP('Données projet'!$B$10,Paramètres!$A$1:$I$89,3,0)*0.475*44/12</f>
        <v>0.19045088014442069</v>
      </c>
      <c r="AX88" s="21">
        <f t="shared" si="60"/>
        <v>48.133148399946634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88.478637356802039</v>
      </c>
      <c r="BJ88" s="59">
        <f t="shared" si="92"/>
        <v>239.55411297259155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12.458272453770197</v>
      </c>
      <c r="BQ88" s="21">
        <f>EXP(-LN(2)/25)*BQ87+(1-EXP(-LN(2)/25))/(LN(2)/25)*Calculateur!BL88*Calculateur!BN88*VLOOKUP('Données projet'!$B$11,Paramètres!$A$1:$I$89,3,0)*0.475*44/12</f>
        <v>1.5889689207717959</v>
      </c>
      <c r="BR88" s="21">
        <f>EXP(-LN(2)/2)*BR87+(1-EXP(-LN(2)/2))/(LN(2)/2)*BL88*BO88*VLOOKUP('Données projet'!$B$11,Paramètres!$A$1:$I$89,3,0)*0.475*44/12</f>
        <v>2.2651023098016728E-9</v>
      </c>
      <c r="BS88" s="22">
        <f t="shared" si="63"/>
        <v>14.047241376807095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6.1301282051282069</v>
      </c>
      <c r="BY88" s="12">
        <f>IF('Données projet'!$A$114&gt;35,BY87+BX88-CG87,IF(A88&lt;'Données projet'!$A$114,$BV$205^A88,IF(A88='Données projet'!$A$114,'Données projet'!$B$114,BY87+BX88-CG87)))</f>
        <v>217.79551282051295</v>
      </c>
      <c r="BZ88" s="13">
        <f>BY88*VLOOKUP('Données projet'!$B$12,Paramètres!$A$1:$I$89,3,0)*VLOOKUP('Données projet'!$B$12,Paramètres!$A$1:$I$89,5,0)</f>
        <v>197.06138000000013</v>
      </c>
      <c r="CA88" s="13">
        <f t="shared" si="93"/>
        <v>49.097792683933022</v>
      </c>
      <c r="CB88" s="20">
        <f t="shared" si="64"/>
        <v>428.72722575785019</v>
      </c>
      <c r="CC88" s="59">
        <f t="shared" si="65"/>
        <v>722.06055909118345</v>
      </c>
      <c r="CD88" s="59">
        <f ca="1">AVERAGE(OFFSET($CC$3,0,0,'Données projet'!$E$12+1,1))-AVERAGE(OFFSET($H$3,0,0,'Données projet'!$E$12+1,1))</f>
        <v>437.94387006020412</v>
      </c>
      <c r="CE88" s="59">
        <f t="shared" si="94"/>
        <v>213.95083535531376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0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8.2761538461538464</v>
      </c>
      <c r="CT88" s="12">
        <f>IF('Données projet'!$A$140&gt;35,CT87+CS88-DB87,IF(A88&lt;'Données projet'!$A$140,$CQ$205^A88,IF(A88='Données projet'!$A$140,'Données projet'!$B$140,CT87+CS88-DB87)))</f>
        <v>343.99615384615379</v>
      </c>
      <c r="CU88" s="17">
        <f>CT88*VLOOKUP('Données projet'!$B$13,Paramètres!$A$1:$I$89,3,0)*VLOOKUP('Données projet'!$B$13,Paramètres!$A$1:$I$89,5,0)</f>
        <v>165.46214999999998</v>
      </c>
      <c r="CV88" s="13">
        <f t="shared" si="95"/>
        <v>42.072101318797564</v>
      </c>
      <c r="CW88" s="20">
        <f t="shared" si="67"/>
        <v>361.45548771357238</v>
      </c>
      <c r="CX88" s="59">
        <f t="shared" si="68"/>
        <v>654.7888210469057</v>
      </c>
      <c r="CY88" s="59">
        <f ca="1">AVERAGE(OFFSET($CX$3,0,0,'Données projet'!$E$13+1,1))-AVERAGE(OFFSET($H$3,0,0,'Données projet'!$E$13+1,1))</f>
        <v>258.42493116335032</v>
      </c>
      <c r="CZ88" s="59">
        <f t="shared" si="96"/>
        <v>102.46122697336466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57.188592703209245</v>
      </c>
      <c r="DG88" s="21">
        <f>EXP(-LN(2)/25)*DG87+(1-EXP(-LN(2)/25))/(LN(2)/25)*Calculateur!DB88*Calculateur!DD88*VLOOKUP('Données projet'!$B$13,Paramètres!$A$1:$I$89,3,0)*0.475*44/12</f>
        <v>19.88689291931437</v>
      </c>
      <c r="DH88" s="21">
        <f>EXP(-LN(2)/2)*DH87+(1-EXP(-LN(2)/2))/(LN(2)/2)*DB88*DE88*VLOOKUP('Données projet'!$B$13,Paramètres!$A$1:$I$89,3,0)*0.475*44/12</f>
        <v>1.0691277508283674</v>
      </c>
      <c r="DI88" s="22">
        <f t="shared" si="69"/>
        <v>78.144613373351987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248</v>
      </c>
      <c r="DM88" s="12">
        <f>VLOOKUP(A88,'Données projet'!$A$165:$I$185,9,0)</f>
        <v>3.6</v>
      </c>
      <c r="DN88" s="12">
        <f t="array" ref="DN88">INDEX(DM:DM,MIN(IF(ISNUMBER(DM88:DM284),ROW(DM88:DM284),"")))</f>
        <v>3.6</v>
      </c>
      <c r="DO88" s="12">
        <f>IF('Données projet'!$A$166&gt;35,DO87+DN88-DW87,IF(A88&lt;'Données projet'!$A$166,$DL$205^A88,IF(A88='Données projet'!$A$166,'Données projet'!$B$166,DO87+DN88-DW87)))</f>
        <v>248</v>
      </c>
      <c r="DP88" s="17">
        <f>DO88*VLOOKUP('Données projet'!$B$14,Paramètres!$A$1:$I$89,3,0)*VLOOKUP('Données projet'!$B$14,Paramètres!$A$1:$I$89,5,0)</f>
        <v>216.65280000000004</v>
      </c>
      <c r="DQ88" s="13">
        <f t="shared" si="97"/>
        <v>53.38674047237982</v>
      </c>
      <c r="DR88" s="20">
        <f t="shared" si="70"/>
        <v>470.3188663227283</v>
      </c>
      <c r="DS88" s="59">
        <f t="shared" si="71"/>
        <v>763.65219965606161</v>
      </c>
      <c r="DT88" s="59">
        <f ca="1">AVERAGE(OFFSET($DS$3,0,0,'Données projet'!$E$14+1,1))-AVERAGE(OFFSET($H$3,0,0,'Données projet'!$E$14+1,1))</f>
        <v>354.24684313982857</v>
      </c>
      <c r="DU88" s="59">
        <f t="shared" si="98"/>
        <v>322.65043486962185</v>
      </c>
      <c r="DV88" s="15">
        <f>IF(ISNA(VLOOKUP(A88,'Données projet'!$A$165:$I$185,3,0)),0,VLOOKUP(A88,'Données projet'!$A$165:$I$185,3,0))</f>
        <v>14</v>
      </c>
      <c r="DW88" s="15" t="str">
        <f>IF(ISNA(VLOOKUP(A88,'Données projet'!$A$165:$I$185,4,0)),0,VLOOKUP(A88,'Données projet'!$A$165:$I$185,4,0))</f>
        <v>14</v>
      </c>
      <c r="DX88" s="16">
        <f>IF(ISNA(VLOOKUP(A88,'Données projet'!$A$165:$I$185,5,0)),0%,VLOOKUP(A88,'Données projet'!$A$165:$I$185,5,0)*VLOOKUP('Données projet'!$B$14,Paramètres!$A$1:$I$89,7,0))</f>
        <v>0.25800000000000001</v>
      </c>
      <c r="DY88" s="16">
        <f>IF(ISNA(VLOOKUP(A88,'Données projet'!$A$165:$I$185,6,0)),0%,VLOOKUP(A88,'Données projet'!$A$165:$I$185,6,0)*VLOOKUP('Données projet'!$B$14,Paramètres!$A$1:$I$89,7,0))</f>
        <v>0.129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24.430867132116624</v>
      </c>
      <c r="EB88" s="21">
        <f>EXP(-LN(2)/25)*EB87+(1-EXP(-LN(2)/25))/(LN(2)/25)*Calculateur!DW88*Calculateur!DY88*VLOOKUP('Données projet'!$B$14,Paramètres!$A$1:$I$89,3,0)*0.475*44/12</f>
        <v>18.044745513787031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42.475612645903652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-6.7984728957526396E-14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355.09162485318728</v>
      </c>
      <c r="T89" s="59">
        <f t="shared" si="88"/>
        <v>320.06572891923685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146.29483757505281</v>
      </c>
      <c r="AA89" s="21">
        <f>EXP(-LN(2)/25)*AA88+(1-EXP(-LN(2)/25))/(LN(2)/25)*Calculateur!V89*Calculateur!X89*VLOOKUP('Données projet'!$B$9,Paramètres!$A$1:$I$89,3,0)*0.475*44/12</f>
        <v>32.136783848576897</v>
      </c>
      <c r="AB89" s="21">
        <f>EXP(-LN(2)/2)*AB88+(1-EXP(-LN(2)/2))/(LN(2)/2)*V89*Y89*VLOOKUP('Données projet'!$B$9,Paramètres!$A$1:$I$89,3,0)*0.475*44/12</f>
        <v>1.459066741138755</v>
      </c>
      <c r="AC89" s="22">
        <f t="shared" si="57"/>
        <v>179.89068816476845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9.001923076923072</v>
      </c>
      <c r="AI89" s="13">
        <f>IF('Données projet'!$A$62&gt;35,AI88+AH89-AQ88,IF(A89&lt;'Données projet'!$A$62,$AF$205^A89,IF(A89='Données projet'!$A$62,'Données projet'!$B$62,AI88+AH89-AQ88)))</f>
        <v>374.13653846153863</v>
      </c>
      <c r="AJ89" s="13">
        <f>AI89*VLOOKUP('Données projet'!$B$10,Paramètres!$A$1:$I$89,3,0)*VLOOKUP('Données projet'!$B$10,Paramètres!$A$1:$I$89,5,0)</f>
        <v>175.09590000000009</v>
      </c>
      <c r="AK89" s="13">
        <f t="shared" si="89"/>
        <v>44.229366403274248</v>
      </c>
      <c r="AL89" s="20">
        <f t="shared" si="58"/>
        <v>381.99150565236943</v>
      </c>
      <c r="AM89" s="59">
        <f t="shared" si="59"/>
        <v>675.32483898570274</v>
      </c>
      <c r="AN89" s="59">
        <f ca="1">AVERAGE(OFFSET($AM$3,0,0,'Données projet'!$E$10+1,1))-AVERAGE(OFFSET($H$3,0,0,'Données projet'!$E$10+1,1))</f>
        <v>246.72166704460847</v>
      </c>
      <c r="AO89" s="59">
        <f t="shared" si="90"/>
        <v>145.54897745089966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32.791672469300664</v>
      </c>
      <c r="AV89" s="21">
        <f>EXP(-LN(2)/25)*AV88+(1-EXP(-LN(2)/25))/(LN(2)/25)*Calculateur!AQ89*Calculateur!AS89*VLOOKUP('Données projet'!$B$10,Paramètres!$A$1:$I$89,3,0)*0.475*44/12</f>
        <v>14.09876849205312</v>
      </c>
      <c r="AW89" s="21">
        <f>EXP(-LN(2)/2)*AW88+(1-EXP(-LN(2)/2))/(LN(2)/2)*AQ89*AT89*VLOOKUP('Données projet'!$B$10,Paramètres!$A$1:$I$89,3,0)*0.475*44/12</f>
        <v>0.13466910883306626</v>
      </c>
      <c r="AX89" s="21">
        <f t="shared" si="60"/>
        <v>47.025110070186848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88.478637356802039</v>
      </c>
      <c r="BJ89" s="59">
        <f t="shared" si="92"/>
        <v>239.55411297259155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12.213973329747642</v>
      </c>
      <c r="BQ89" s="21">
        <f>EXP(-LN(2)/25)*BQ88+(1-EXP(-LN(2)/25))/(LN(2)/25)*Calculateur!BL89*Calculateur!BN89*VLOOKUP('Données projet'!$B$11,Paramètres!$A$1:$I$89,3,0)*0.475*44/12</f>
        <v>1.5455184820730472</v>
      </c>
      <c r="BR89" s="21">
        <f>EXP(-LN(2)/2)*BR88+(1-EXP(-LN(2)/2))/(LN(2)/2)*BL89*BO89*VLOOKUP('Données projet'!$B$11,Paramètres!$A$1:$I$89,3,0)*0.475*44/12</f>
        <v>1.6016692033420749E-9</v>
      </c>
      <c r="BS89" s="22">
        <f t="shared" si="63"/>
        <v>13.759491813422359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6.1301282051282069</v>
      </c>
      <c r="BY89" s="12">
        <f>IF('Données projet'!$A$114&gt;35,BY88+BX89-CG88,IF(A89&lt;'Données projet'!$A$114,$BV$205^A89,IF(A89='Données projet'!$A$114,'Données projet'!$B$114,BY88+BX89-CG88)))</f>
        <v>223.92564102564117</v>
      </c>
      <c r="BZ89" s="13">
        <f>BY89*VLOOKUP('Données projet'!$B$12,Paramètres!$A$1:$I$89,3,0)*VLOOKUP('Données projet'!$B$12,Paramètres!$A$1:$I$89,5,0)</f>
        <v>202.60792000000012</v>
      </c>
      <c r="CA89" s="13">
        <f t="shared" si="93"/>
        <v>50.316876743603203</v>
      </c>
      <c r="CB89" s="20">
        <f t="shared" si="64"/>
        <v>440.51068766177576</v>
      </c>
      <c r="CC89" s="59">
        <f t="shared" si="65"/>
        <v>733.84402099510908</v>
      </c>
      <c r="CD89" s="59">
        <f ca="1">AVERAGE(OFFSET($CC$3,0,0,'Données projet'!$E$12+1,1))-AVERAGE(OFFSET($H$3,0,0,'Données projet'!$E$12+1,1))</f>
        <v>437.94387006020412</v>
      </c>
      <c r="CE89" s="59">
        <f t="shared" si="94"/>
        <v>213.95083535531376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0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8.2761538461538464</v>
      </c>
      <c r="CT89" s="12">
        <f>IF('Données projet'!$A$140&gt;35,CT88+CS89-DB88,IF(A89&lt;'Données projet'!$A$140,$CQ$205^A89,IF(A89='Données projet'!$A$140,'Données projet'!$B$140,CT88+CS89-DB88)))</f>
        <v>352.27230769230766</v>
      </c>
      <c r="CU89" s="17">
        <f>CT89*VLOOKUP('Données projet'!$B$13,Paramètres!$A$1:$I$89,3,0)*VLOOKUP('Données projet'!$B$13,Paramètres!$A$1:$I$89,5,0)</f>
        <v>169.44297999999998</v>
      </c>
      <c r="CV89" s="13">
        <f t="shared" si="95"/>
        <v>42.965245815626012</v>
      </c>
      <c r="CW89" s="20">
        <f t="shared" si="67"/>
        <v>369.94432662888192</v>
      </c>
      <c r="CX89" s="59">
        <f t="shared" si="68"/>
        <v>663.27765996221524</v>
      </c>
      <c r="CY89" s="59">
        <f ca="1">AVERAGE(OFFSET($CX$3,0,0,'Données projet'!$E$13+1,1))-AVERAGE(OFFSET($H$3,0,0,'Données projet'!$E$13+1,1))</f>
        <v>258.42493116335032</v>
      </c>
      <c r="CZ89" s="59">
        <f t="shared" si="96"/>
        <v>102.46122697336466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56.067159281896586</v>
      </c>
      <c r="DG89" s="21">
        <f>EXP(-LN(2)/25)*DG88+(1-EXP(-LN(2)/25))/(LN(2)/25)*Calculateur!DB89*Calculateur!DD89*VLOOKUP('Données projet'!$B$13,Paramètres!$A$1:$I$89,3,0)*0.475*44/12</f>
        <v>19.343084786629472</v>
      </c>
      <c r="DH89" s="21">
        <f>EXP(-LN(2)/2)*DH88+(1-EXP(-LN(2)/2))/(LN(2)/2)*DB89*DE89*VLOOKUP('Données projet'!$B$13,Paramètres!$A$1:$I$89,3,0)*0.475*44/12</f>
        <v>0.75598748256546011</v>
      </c>
      <c r="DI89" s="22">
        <f t="shared" si="69"/>
        <v>76.166231551091514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3</v>
      </c>
      <c r="DO89" s="12">
        <f>IF('Données projet'!$A$166&gt;35,DO88+DN89-DW88,IF(A89&lt;'Données projet'!$A$166,$DL$205^A89,IF(A89='Données projet'!$A$166,'Données projet'!$B$166,DO88+DN89-DW88)))</f>
        <v>237</v>
      </c>
      <c r="DP89" s="17">
        <f>DO89*VLOOKUP('Données projet'!$B$14,Paramètres!$A$1:$I$89,3,0)*VLOOKUP('Données projet'!$B$14,Paramètres!$A$1:$I$89,5,0)</f>
        <v>207.04320000000001</v>
      </c>
      <c r="DQ89" s="13">
        <f t="shared" si="97"/>
        <v>51.288918231806321</v>
      </c>
      <c r="DR89" s="20">
        <f t="shared" si="70"/>
        <v>449.92843925372944</v>
      </c>
      <c r="DS89" s="59">
        <f t="shared" si="71"/>
        <v>743.26177258706275</v>
      </c>
      <c r="DT89" s="59">
        <f ca="1">AVERAGE(OFFSET($DS$3,0,0,'Données projet'!$E$14+1,1))-AVERAGE(OFFSET($H$3,0,0,'Données projet'!$E$14+1,1))</f>
        <v>354.24684313982857</v>
      </c>
      <c r="DU89" s="59">
        <f t="shared" si="98"/>
        <v>322.65043486962185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23.951792729013381</v>
      </c>
      <c r="EB89" s="21">
        <f>EXP(-LN(2)/25)*EB88+(1-EXP(-LN(2)/25))/(LN(2)/25)*Calculateur!DW89*Calculateur!DY89*VLOOKUP('Données projet'!$B$14,Paramètres!$A$1:$I$89,3,0)*0.475*44/12</f>
        <v>17.5513109987806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41.503103727793984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-6.7984728957526396E-14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355.09162485318728</v>
      </c>
      <c r="T90" s="59">
        <f t="shared" si="88"/>
        <v>320.06572891923685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143.42608504124613</v>
      </c>
      <c r="AA90" s="21">
        <f>EXP(-LN(2)/25)*AA89+(1-EXP(-LN(2)/25))/(LN(2)/25)*Calculateur!V90*Calculateur!X90*VLOOKUP('Données projet'!$B$9,Paramètres!$A$1:$I$89,3,0)*0.475*44/12</f>
        <v>31.258001804237548</v>
      </c>
      <c r="AB90" s="21">
        <f>EXP(-LN(2)/2)*AB89+(1-EXP(-LN(2)/2))/(LN(2)/2)*V90*Y90*VLOOKUP('Données projet'!$B$9,Paramètres!$A$1:$I$89,3,0)*0.475*44/12</f>
        <v>1.0317159868629706</v>
      </c>
      <c r="AC90" s="22">
        <f t="shared" si="57"/>
        <v>175.71580283234664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>
        <f>VLOOKUP(A90,'Données projet'!$A$61:$I$81,2,0)</f>
        <v>383.13846153846151</v>
      </c>
      <c r="AG90" s="12">
        <f>VLOOKUP(A90,'Données projet'!$A$61:$I$81,9,0)</f>
        <v>9.001923076923072</v>
      </c>
      <c r="AH90" s="12">
        <f t="array" ref="AH90">INDEX(AG:AG,MIN(IF(ISNUMBER(AG90:AG286),ROW(AG90:AG286),"")))</f>
        <v>9.001923076923072</v>
      </c>
      <c r="AI90" s="13">
        <f>IF('Données projet'!$A$62&gt;35,AI89+AH90-AQ89,IF(A90&lt;'Données projet'!$A$62,$AF$205^A90,IF(A90='Données projet'!$A$62,'Données projet'!$B$62,AI89+AH90-AQ89)))</f>
        <v>383.13846153846168</v>
      </c>
      <c r="AJ90" s="13">
        <f>AI90*VLOOKUP('Données projet'!$B$10,Paramètres!$A$1:$I$89,3,0)*VLOOKUP('Données projet'!$B$10,Paramètres!$A$1:$I$89,5,0)</f>
        <v>179.30880000000008</v>
      </c>
      <c r="AK90" s="13">
        <f t="shared" si="89"/>
        <v>45.168372484136597</v>
      </c>
      <c r="AL90" s="20">
        <f t="shared" si="58"/>
        <v>390.96440874320461</v>
      </c>
      <c r="AM90" s="59">
        <f t="shared" si="59"/>
        <v>684.29774207653793</v>
      </c>
      <c r="AN90" s="59">
        <f ca="1">AVERAGE(OFFSET($AM$3,0,0,'Données projet'!$E$10+1,1))-AVERAGE(OFFSET($H$3,0,0,'Données projet'!$E$10+1,1))</f>
        <v>246.72166704460847</v>
      </c>
      <c r="AO90" s="59">
        <f t="shared" si="90"/>
        <v>145.54897745089966</v>
      </c>
      <c r="AP90" s="15">
        <f>IF(ISNA(VLOOKUP(A90,'Données projet'!$A$61:$I$81,3,0)),0,VLOOKUP(A90,'Données projet'!$A$61:$I$81,3,0))</f>
        <v>4</v>
      </c>
      <c r="AQ90" s="15">
        <f>IF(ISNA(VLOOKUP(A90,'Données projet'!$A$61:$I$81,4,0)),0,VLOOKUP(A90,'Données projet'!$A$61:$I$81,4,0))</f>
        <v>82.938461538461524</v>
      </c>
      <c r="AR90" s="16">
        <f>IF(ISNA(VLOOKUP(A90,'Données projet'!$A$61:$I$81,5,0)),0%,VLOOKUP(A90,'Données projet'!$A$61:$I$81,5,0)*VLOOKUP('Données projet'!$B$10,Paramètres!$A$1:$I$89,7,0))</f>
        <v>0.38500000000000001</v>
      </c>
      <c r="AS90" s="16">
        <f>IF(ISNA(VLOOKUP(A90,'Données projet'!$A$61:$I$81,6,0)),0%,VLOOKUP(A90,'Données projet'!$A$61:$I$81,6,0)*VLOOKUP('Données projet'!$B$10,Paramètres!$A$1:$I$89,7,0))</f>
        <v>9.240000000000001E-2</v>
      </c>
      <c r="AT90" s="16">
        <f>IF(ISNA(VLOOKUP(A90,'Données projet'!$A$61:$I$81,7,0)),0%,VLOOKUP(A90,'Données projet'!$A$61:$I$81,7,0))</f>
        <v>0.13200000000000001</v>
      </c>
      <c r="AU90" s="21">
        <f>EXP(-LN(2)/35)*AU89+(1-EXP(-LN(2)/35))/(LN(2)/35)*AQ90*AR90*VLOOKUP('Données projet'!$B$10,Paramètres!$A$1:$I$89,3,0)*0.475*44/12</f>
        <v>51.972630663672035</v>
      </c>
      <c r="AV90" s="21">
        <f>EXP(-LN(2)/25)*AV89+(1-EXP(-LN(2)/25))/(LN(2)/25)*Calculateur!AQ90*Calculateur!AS90*VLOOKUP('Données projet'!$B$10,Paramètres!$A$1:$I$89,3,0)*0.475*44/12</f>
        <v>18.452259722146952</v>
      </c>
      <c r="AW90" s="21">
        <f>EXP(-LN(2)/2)*AW89+(1-EXP(-LN(2)/2))/(LN(2)/2)*AQ90*AT90*VLOOKUP('Données projet'!$B$10,Paramètres!$A$1:$I$89,3,0)*0.475*44/12</f>
        <v>5.8963380859655139</v>
      </c>
      <c r="AX90" s="21">
        <f t="shared" si="60"/>
        <v>76.321228471784494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88.478637356802039</v>
      </c>
      <c r="BJ90" s="59">
        <f t="shared" si="92"/>
        <v>239.55411297259155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11.974464762539416</v>
      </c>
      <c r="BQ90" s="21">
        <f>EXP(-LN(2)/25)*BQ89+(1-EXP(-LN(2)/25))/(LN(2)/25)*Calculateur!BL90*Calculateur!BN90*VLOOKUP('Données projet'!$B$11,Paramètres!$A$1:$I$89,3,0)*0.475*44/12</f>
        <v>1.503256197905475</v>
      </c>
      <c r="BR90" s="21">
        <f>EXP(-LN(2)/2)*BR89+(1-EXP(-LN(2)/2))/(LN(2)/2)*BL90*BO90*VLOOKUP('Données projet'!$B$11,Paramètres!$A$1:$I$89,3,0)*0.475*44/12</f>
        <v>1.1325511549008364E-9</v>
      </c>
      <c r="BS90" s="22">
        <f t="shared" si="63"/>
        <v>13.477720961577443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6.1301282051282069</v>
      </c>
      <c r="BY90" s="12">
        <f>IF('Données projet'!$A$114&gt;35,BY89+BX90-CG89,IF(A90&lt;'Données projet'!$A$114,$BV$205^A90,IF(A90='Données projet'!$A$114,'Données projet'!$B$114,BY89+BX90-CG89)))</f>
        <v>230.05576923076939</v>
      </c>
      <c r="BZ90" s="13">
        <f>BY90*VLOOKUP('Données projet'!$B$12,Paramètres!$A$1:$I$89,3,0)*VLOOKUP('Données projet'!$B$12,Paramètres!$A$1:$I$89,5,0)</f>
        <v>208.15446000000011</v>
      </c>
      <c r="CA90" s="13">
        <f t="shared" si="93"/>
        <v>51.532081819827972</v>
      </c>
      <c r="CB90" s="20">
        <f t="shared" si="64"/>
        <v>452.28739366953391</v>
      </c>
      <c r="CC90" s="59">
        <f t="shared" si="65"/>
        <v>745.62072700286717</v>
      </c>
      <c r="CD90" s="59">
        <f ca="1">AVERAGE(OFFSET($CC$3,0,0,'Données projet'!$E$12+1,1))-AVERAGE(OFFSET($H$3,0,0,'Données projet'!$E$12+1,1))</f>
        <v>437.94387006020412</v>
      </c>
      <c r="CE90" s="59">
        <f t="shared" si="94"/>
        <v>213.95083535531376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0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8.2761538461538464</v>
      </c>
      <c r="CT90" s="12">
        <f>IF('Données projet'!$A$140&gt;35,CT89+CS90-DB89,IF(A90&lt;'Données projet'!$A$140,$CQ$205^A90,IF(A90='Données projet'!$A$140,'Données projet'!$B$140,CT89+CS90-DB89)))</f>
        <v>360.54846153846154</v>
      </c>
      <c r="CU90" s="17">
        <f>CT90*VLOOKUP('Données projet'!$B$13,Paramètres!$A$1:$I$89,3,0)*VLOOKUP('Données projet'!$B$13,Paramètres!$A$1:$I$89,5,0)</f>
        <v>173.42381000000003</v>
      </c>
      <c r="CV90" s="13">
        <f t="shared" si="95"/>
        <v>43.855950967068686</v>
      </c>
      <c r="CW90" s="20">
        <f t="shared" si="67"/>
        <v>378.42891701764466</v>
      </c>
      <c r="CX90" s="59">
        <f t="shared" si="68"/>
        <v>671.76225035097798</v>
      </c>
      <c r="CY90" s="59">
        <f ca="1">AVERAGE(OFFSET($CX$3,0,0,'Données projet'!$E$13+1,1))-AVERAGE(OFFSET($H$3,0,0,'Données projet'!$E$13+1,1))</f>
        <v>258.42493116335032</v>
      </c>
      <c r="CZ90" s="59">
        <f t="shared" si="96"/>
        <v>102.46122697336466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54.967716485969028</v>
      </c>
      <c r="DG90" s="21">
        <f>EXP(-LN(2)/25)*DG89+(1-EXP(-LN(2)/25))/(LN(2)/25)*Calculateur!DB90*Calculateur!DD90*VLOOKUP('Données projet'!$B$13,Paramètres!$A$1:$I$89,3,0)*0.475*44/12</f>
        <v>18.814147115930471</v>
      </c>
      <c r="DH90" s="21">
        <f>EXP(-LN(2)/2)*DH89+(1-EXP(-LN(2)/2))/(LN(2)/2)*DB90*DE90*VLOOKUP('Données projet'!$B$13,Paramètres!$A$1:$I$89,3,0)*0.475*44/12</f>
        <v>0.53456387541418371</v>
      </c>
      <c r="DI90" s="22">
        <f t="shared" si="69"/>
        <v>74.316427477313681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3</v>
      </c>
      <c r="DO90" s="12">
        <f>IF('Données projet'!$A$166&gt;35,DO89+DN90-DW89,IF(A90&lt;'Données projet'!$A$166,$DL$205^A90,IF(A90='Données projet'!$A$166,'Données projet'!$B$166,DO89+DN90-DW89)))</f>
        <v>240</v>
      </c>
      <c r="DP90" s="17">
        <f>DO90*VLOOKUP('Données projet'!$B$14,Paramètres!$A$1:$I$89,3,0)*VLOOKUP('Données projet'!$B$14,Paramètres!$A$1:$I$89,5,0)</f>
        <v>209.66400000000002</v>
      </c>
      <c r="DQ90" s="13">
        <f t="shared" si="97"/>
        <v>51.862154403304537</v>
      </c>
      <c r="DR90" s="20">
        <f t="shared" si="70"/>
        <v>455.49138558575538</v>
      </c>
      <c r="DS90" s="59">
        <f t="shared" si="71"/>
        <v>748.8247189190887</v>
      </c>
      <c r="DT90" s="59">
        <f ca="1">AVERAGE(OFFSET($DS$3,0,0,'Données projet'!$E$14+1,1))-AVERAGE(OFFSET($H$3,0,0,'Données projet'!$E$14+1,1))</f>
        <v>354.24684313982857</v>
      </c>
      <c r="DU90" s="59">
        <f t="shared" si="98"/>
        <v>322.65043486962185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23.482112682748458</v>
      </c>
      <c r="EB90" s="21">
        <f>EXP(-LN(2)/25)*EB89+(1-EXP(-LN(2)/25))/(LN(2)/25)*Calculateur!DW90*Calculateur!DY90*VLOOKUP('Données projet'!$B$14,Paramètres!$A$1:$I$89,3,0)*0.475*44/12</f>
        <v>17.071369476535615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40.553482159284073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-6.7984728957526396E-14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355.09162485318728</v>
      </c>
      <c r="T91" s="59">
        <f t="shared" si="88"/>
        <v>320.06572891923685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140.61358699486109</v>
      </c>
      <c r="AA91" s="21">
        <f>EXP(-LN(2)/25)*AA90+(1-EXP(-LN(2)/25))/(LN(2)/25)*Calculateur!V91*Calculateur!X91*VLOOKUP('Données projet'!$B$9,Paramètres!$A$1:$I$89,3,0)*0.475*44/12</f>
        <v>30.403250101113798</v>
      </c>
      <c r="AB91" s="21">
        <f>EXP(-LN(2)/2)*AB90+(1-EXP(-LN(2)/2))/(LN(2)/2)*V91*Y91*VLOOKUP('Données projet'!$B$9,Paramètres!$A$1:$I$89,3,0)*0.475*44/12</f>
        <v>0.7295333705693775</v>
      </c>
      <c r="AC91" s="22">
        <f t="shared" si="57"/>
        <v>171.74637046654428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8.1391025641025667</v>
      </c>
      <c r="AI91" s="13">
        <f>IF('Données projet'!$A$62&gt;35,AI90+AH91-AQ90,IF(A91&lt;'Données projet'!$A$62,$AF$205^A91,IF(A91='Données projet'!$A$62,'Données projet'!$B$62,AI90+AH91-AQ90)))</f>
        <v>308.33910256410275</v>
      </c>
      <c r="AJ91" s="13">
        <f>AI91*VLOOKUP('Données projet'!$B$10,Paramètres!$A$1:$I$89,3,0)*VLOOKUP('Données projet'!$B$10,Paramètres!$A$1:$I$89,5,0)</f>
        <v>144.30270000000007</v>
      </c>
      <c r="AK91" s="13">
        <f t="shared" si="89"/>
        <v>37.280950392910917</v>
      </c>
      <c r="AL91" s="20">
        <f t="shared" si="58"/>
        <v>316.25819110098661</v>
      </c>
      <c r="AM91" s="59">
        <f t="shared" si="59"/>
        <v>609.59152443431992</v>
      </c>
      <c r="AN91" s="59">
        <f ca="1">AVERAGE(OFFSET($AM$3,0,0,'Données projet'!$E$10+1,1))-AVERAGE(OFFSET($H$3,0,0,'Données projet'!$E$10+1,1))</f>
        <v>246.72166704460847</v>
      </c>
      <c r="AO91" s="59">
        <f t="shared" si="90"/>
        <v>145.54897745089966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50.953479076531998</v>
      </c>
      <c r="AV91" s="21">
        <f>EXP(-LN(2)/25)*AV90+(1-EXP(-LN(2)/25))/(LN(2)/25)*Calculateur!AQ91*Calculateur!AS91*VLOOKUP('Données projet'!$B$10,Paramètres!$A$1:$I$89,3,0)*0.475*44/12</f>
        <v>17.947681709682676</v>
      </c>
      <c r="AW91" s="21">
        <f>EXP(-LN(2)/2)*AW90+(1-EXP(-LN(2)/2))/(LN(2)/2)*AQ91*AT91*VLOOKUP('Données projet'!$B$10,Paramètres!$A$1:$I$89,3,0)*0.475*44/12</f>
        <v>4.1693406447547234</v>
      </c>
      <c r="AX91" s="21">
        <f t="shared" si="60"/>
        <v>73.070501430969401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88.478637356802039</v>
      </c>
      <c r="BJ91" s="59">
        <f t="shared" si="92"/>
        <v>239.55411297259155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11.739652812248343</v>
      </c>
      <c r="BQ91" s="21">
        <f>EXP(-LN(2)/25)*BQ90+(1-EXP(-LN(2)/25))/(LN(2)/25)*Calculateur!BL91*Calculateur!BN91*VLOOKUP('Données projet'!$B$11,Paramètres!$A$1:$I$89,3,0)*0.475*44/12</f>
        <v>1.4621495781209422</v>
      </c>
      <c r="BR91" s="21">
        <f>EXP(-LN(2)/2)*BR90+(1-EXP(-LN(2)/2))/(LN(2)/2)*BL91*BO91*VLOOKUP('Données projet'!$B$11,Paramètres!$A$1:$I$89,3,0)*0.475*44/12</f>
        <v>8.0083460167103743E-10</v>
      </c>
      <c r="BS91" s="22">
        <f t="shared" si="63"/>
        <v>13.201802391170119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>
        <f>VLOOKUP(A91,'Données projet'!$A$113:$I$133,2,0)</f>
        <v>236.18589743589746</v>
      </c>
      <c r="BW91" s="12">
        <f>VLOOKUP(A91,'Données projet'!$A$113:$I$133,9,0)</f>
        <v>6.1301282051282069</v>
      </c>
      <c r="BX91" s="12">
        <f t="array" ref="BX91">INDEX(BW:BW,MIN(IF(ISNUMBER(BW91:BW287),ROW(BW91:BW287),"")))</f>
        <v>6.1301282051282069</v>
      </c>
      <c r="BY91" s="12">
        <f>IF('Données projet'!$A$114&gt;35,BY90+BX91-CG90,IF(A91&lt;'Données projet'!$A$114,$BV$205^A91,IF(A91='Données projet'!$A$114,'Données projet'!$B$114,BY90+BX91-CG90)))</f>
        <v>236.1858974358976</v>
      </c>
      <c r="BZ91" s="13">
        <f>BY91*VLOOKUP('Données projet'!$B$12,Paramètres!$A$1:$I$89,3,0)*VLOOKUP('Données projet'!$B$12,Paramètres!$A$1:$I$89,5,0)</f>
        <v>213.70100000000016</v>
      </c>
      <c r="CA91" s="13">
        <f t="shared" si="93"/>
        <v>52.74352315304813</v>
      </c>
      <c r="CB91" s="20">
        <f t="shared" si="64"/>
        <v>464.0575444915591</v>
      </c>
      <c r="CC91" s="59">
        <f t="shared" si="65"/>
        <v>757.39087782489241</v>
      </c>
      <c r="CD91" s="59">
        <f ca="1">AVERAGE(OFFSET($CC$3,0,0,'Données projet'!$E$12+1,1))-AVERAGE(OFFSET($H$3,0,0,'Données projet'!$E$12+1,1))</f>
        <v>437.94387006020412</v>
      </c>
      <c r="CE91" s="59">
        <f t="shared" si="94"/>
        <v>213.95083535531376</v>
      </c>
      <c r="CF91" s="15">
        <f>IF(ISNA(VLOOKUP(A91,'Données projet'!$A$113:$I$133,3,0)),0,VLOOKUP(A91,'Données projet'!$A$113:$I$133,3,0))</f>
        <v>7</v>
      </c>
      <c r="CG91" s="15">
        <f>IF(ISNA(VLOOKUP(A91,'Données projet'!$A$113:$I$133,4,0)),0,VLOOKUP(A91,'Données projet'!$A$113:$I$133,4,0))</f>
        <v>37.07692307692308</v>
      </c>
      <c r="CH91" s="16">
        <f>IF(ISNA(VLOOKUP(A91,'Données projet'!$A$113:$I$133,5,0)),0%,VLOOKUP(A91,'Données projet'!$A$113:$I$133,5,0)*VLOOKUP('Données projet'!$B$12,Paramètres!$A$1:$I$89,7,0))</f>
        <v>0.30099999999999999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11.162716210796603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11.162716210796603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8.2761538461538464</v>
      </c>
      <c r="CT91" s="12">
        <f>IF('Données projet'!$A$140&gt;35,CT90+CS91-DB90,IF(A91&lt;'Données projet'!$A$140,$CQ$205^A91,IF(A91='Données projet'!$A$140,'Données projet'!$B$140,CT90+CS91-DB90)))</f>
        <v>368.82461538461541</v>
      </c>
      <c r="CU91" s="17">
        <f>CT91*VLOOKUP('Données projet'!$B$13,Paramètres!$A$1:$I$89,3,0)*VLOOKUP('Données projet'!$B$13,Paramètres!$A$1:$I$89,5,0)</f>
        <v>177.40464</v>
      </c>
      <c r="CV91" s="13">
        <f t="shared" si="95"/>
        <v>44.744279211998574</v>
      </c>
      <c r="CW91" s="20">
        <f t="shared" si="67"/>
        <v>386.90936762756422</v>
      </c>
      <c r="CX91" s="59">
        <f t="shared" si="68"/>
        <v>680.24270096089754</v>
      </c>
      <c r="CY91" s="59">
        <f ca="1">AVERAGE(OFFSET($CX$3,0,0,'Données projet'!$E$13+1,1))-AVERAGE(OFFSET($H$3,0,0,'Données projet'!$E$13+1,1))</f>
        <v>258.42493116335032</v>
      </c>
      <c r="CZ91" s="59">
        <f t="shared" si="96"/>
        <v>102.46122697336466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53.889833092675715</v>
      </c>
      <c r="DG91" s="21">
        <f>EXP(-LN(2)/25)*DG90+(1-EXP(-LN(2)/25))/(LN(2)/25)*Calculateur!DB91*Calculateur!DD91*VLOOKUP('Données projet'!$B$13,Paramètres!$A$1:$I$89,3,0)*0.475*44/12</f>
        <v>18.299673273652356</v>
      </c>
      <c r="DH91" s="21">
        <f>EXP(-LN(2)/2)*DH90+(1-EXP(-LN(2)/2))/(LN(2)/2)*DB91*DE91*VLOOKUP('Données projet'!$B$13,Paramètres!$A$1:$I$89,3,0)*0.475*44/12</f>
        <v>0.37799374128273006</v>
      </c>
      <c r="DI91" s="22">
        <f t="shared" si="69"/>
        <v>72.567500107610812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3</v>
      </c>
      <c r="DO91" s="12">
        <f>IF('Données projet'!$A$166&gt;35,DO90+DN91-DW90,IF(A91&lt;'Données projet'!$A$166,$DL$205^A91,IF(A91='Données projet'!$A$166,'Données projet'!$B$166,DO90+DN91-DW90)))</f>
        <v>243</v>
      </c>
      <c r="DP91" s="17">
        <f>DO91*VLOOKUP('Données projet'!$B$14,Paramètres!$A$1:$I$89,3,0)*VLOOKUP('Données projet'!$B$14,Paramètres!$A$1:$I$89,5,0)</f>
        <v>212.28480000000002</v>
      </c>
      <c r="DQ91" s="13">
        <f t="shared" si="97"/>
        <v>52.434557099704193</v>
      </c>
      <c r="DR91" s="20">
        <f t="shared" si="70"/>
        <v>461.05288028198476</v>
      </c>
      <c r="DS91" s="59">
        <f t="shared" si="71"/>
        <v>754.38621361531807</v>
      </c>
      <c r="DT91" s="59">
        <f ca="1">AVERAGE(OFFSET($DS$3,0,0,'Données projet'!$E$14+1,1))-AVERAGE(OFFSET($H$3,0,0,'Données projet'!$E$14+1,1))</f>
        <v>354.24684313982857</v>
      </c>
      <c r="DU91" s="59">
        <f t="shared" si="98"/>
        <v>322.65043486962185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23.021642775714252</v>
      </c>
      <c r="EB91" s="21">
        <f>EXP(-LN(2)/25)*EB90+(1-EXP(-LN(2)/25))/(LN(2)/25)*Calculateur!DW91*Calculateur!DY91*VLOOKUP('Données projet'!$B$14,Paramètres!$A$1:$I$89,3,0)*0.475*44/12</f>
        <v>16.604551980455444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39.626194756169696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-6.7984728957526396E-14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355.09162485318728</v>
      </c>
      <c r="T92" s="59">
        <f t="shared" si="88"/>
        <v>320.06572891923685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137.85624031971128</v>
      </c>
      <c r="AA92" s="21">
        <f>EXP(-LN(2)/25)*AA91+(1-EXP(-LN(2)/25))/(LN(2)/25)*Calculateur!V92*Calculateur!X92*VLOOKUP('Données projet'!$B$9,Paramètres!$A$1:$I$89,3,0)*0.475*44/12</f>
        <v>29.571871628261405</v>
      </c>
      <c r="AB92" s="21">
        <f>EXP(-LN(2)/2)*AB91+(1-EXP(-LN(2)/2))/(LN(2)/2)*V92*Y92*VLOOKUP('Données projet'!$B$9,Paramètres!$A$1:$I$89,3,0)*0.475*44/12</f>
        <v>0.51585799343148531</v>
      </c>
      <c r="AC92" s="22">
        <f t="shared" si="57"/>
        <v>167.94396994140419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8.1391025641025667</v>
      </c>
      <c r="AI92" s="13">
        <f>IF('Données projet'!$A$62&gt;35,AI91+AH92-AQ91,IF(A92&lt;'Données projet'!$A$62,$AF$205^A92,IF(A92='Données projet'!$A$62,'Données projet'!$B$62,AI91+AH92-AQ91)))</f>
        <v>316.47820512820533</v>
      </c>
      <c r="AJ92" s="13">
        <f>AI92*VLOOKUP('Données projet'!$B$10,Paramètres!$A$1:$I$89,3,0)*VLOOKUP('Données projet'!$B$10,Paramètres!$A$1:$I$89,5,0)</f>
        <v>148.11180000000007</v>
      </c>
      <c r="AK92" s="13">
        <f t="shared" si="89"/>
        <v>38.149169544694949</v>
      </c>
      <c r="AL92" s="20">
        <f t="shared" si="58"/>
        <v>324.4045219570105</v>
      </c>
      <c r="AM92" s="59">
        <f t="shared" si="59"/>
        <v>617.73785529034376</v>
      </c>
      <c r="AN92" s="59">
        <f ca="1">AVERAGE(OFFSET($AM$3,0,0,'Données projet'!$E$10+1,1))-AVERAGE(OFFSET($H$3,0,0,'Données projet'!$E$10+1,1))</f>
        <v>246.72166704460847</v>
      </c>
      <c r="AO92" s="59">
        <f t="shared" si="90"/>
        <v>145.54897745089966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49.954312430394687</v>
      </c>
      <c r="AV92" s="21">
        <f>EXP(-LN(2)/25)*AV91+(1-EXP(-LN(2)/25))/(LN(2)/25)*Calculateur!AQ92*Calculateur!AS92*VLOOKUP('Données projet'!$B$10,Paramètres!$A$1:$I$89,3,0)*0.475*44/12</f>
        <v>17.456901409503843</v>
      </c>
      <c r="AW92" s="21">
        <f>EXP(-LN(2)/2)*AW91+(1-EXP(-LN(2)/2))/(LN(2)/2)*AQ92*AT92*VLOOKUP('Données projet'!$B$10,Paramètres!$A$1:$I$89,3,0)*0.475*44/12</f>
        <v>2.9481690429827574</v>
      </c>
      <c r="AX92" s="21">
        <f t="shared" si="60"/>
        <v>70.359382882881278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88.478637356802039</v>
      </c>
      <c r="BJ92" s="59">
        <f t="shared" si="92"/>
        <v>239.55411297259155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11.50944538108133</v>
      </c>
      <c r="BQ92" s="21">
        <f>EXP(-LN(2)/25)*BQ91+(1-EXP(-LN(2)/25))/(LN(2)/25)*Calculateur!BL92*Calculateur!BN92*VLOOKUP('Données projet'!$B$11,Paramètres!$A$1:$I$89,3,0)*0.475*44/12</f>
        <v>1.4221670210161204</v>
      </c>
      <c r="BR92" s="21">
        <f>EXP(-LN(2)/2)*BR91+(1-EXP(-LN(2)/2))/(LN(2)/2)*BL92*BO92*VLOOKUP('Données projet'!$B$11,Paramètres!$A$1:$I$89,3,0)*0.475*44/12</f>
        <v>5.662755774504182E-10</v>
      </c>
      <c r="BS92" s="22">
        <f t="shared" si="63"/>
        <v>12.931612402663726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6.0384615384615357</v>
      </c>
      <c r="BY92" s="12">
        <f>IF('Données projet'!$A$114&gt;35,BY91+BX92-CG91,IF(A92&lt;'Données projet'!$A$114,$BV$205^A92,IF(A92='Données projet'!$A$114,'Données projet'!$B$114,BY91+BX92-CG91)))</f>
        <v>205.14743589743608</v>
      </c>
      <c r="BZ92" s="13">
        <f>BY92*VLOOKUP('Données projet'!$B$12,Paramètres!$A$1:$I$89,3,0)*VLOOKUP('Données projet'!$B$12,Paramètres!$A$1:$I$89,5,0)</f>
        <v>185.61740000000017</v>
      </c>
      <c r="CA92" s="13">
        <f t="shared" si="93"/>
        <v>46.569710162543998</v>
      </c>
      <c r="CB92" s="20">
        <f t="shared" si="64"/>
        <v>404.3925501997644</v>
      </c>
      <c r="CC92" s="59">
        <f t="shared" si="65"/>
        <v>697.72588353309766</v>
      </c>
      <c r="CD92" s="59">
        <f ca="1">AVERAGE(OFFSET($CC$3,0,0,'Données projet'!$E$12+1,1))-AVERAGE(OFFSET($H$3,0,0,'Données projet'!$E$12+1,1))</f>
        <v>437.94387006020412</v>
      </c>
      <c r="CE92" s="59">
        <f t="shared" si="94"/>
        <v>213.95083535531376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10.943822154487478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10.943822154487478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8.2761538461538464</v>
      </c>
      <c r="CT92" s="12">
        <f>IF('Données projet'!$A$140&gt;35,CT91+CS92-DB91,IF(A92&lt;'Données projet'!$A$140,$CQ$205^A92,IF(A92='Données projet'!$A$140,'Données projet'!$B$140,CT91+CS92-DB91)))</f>
        <v>377.10076923076929</v>
      </c>
      <c r="CU92" s="17">
        <f>CT92*VLOOKUP('Données projet'!$B$13,Paramètres!$A$1:$I$89,3,0)*VLOOKUP('Données projet'!$B$13,Paramètres!$A$1:$I$89,5,0)</f>
        <v>181.38547000000005</v>
      </c>
      <c r="CV92" s="13">
        <f t="shared" si="95"/>
        <v>45.630290027159425</v>
      </c>
      <c r="CW92" s="20">
        <f t="shared" si="67"/>
        <v>395.38578204730271</v>
      </c>
      <c r="CX92" s="59">
        <f t="shared" si="68"/>
        <v>688.71911538063603</v>
      </c>
      <c r="CY92" s="59">
        <f ca="1">AVERAGE(OFFSET($CX$3,0,0,'Données projet'!$E$13+1,1))-AVERAGE(OFFSET($H$3,0,0,'Données projet'!$E$13+1,1))</f>
        <v>258.42493116335032</v>
      </c>
      <c r="CZ92" s="59">
        <f t="shared" si="96"/>
        <v>102.46122697336466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52.833086335280932</v>
      </c>
      <c r="DG92" s="21">
        <f>EXP(-LN(2)/25)*DG91+(1-EXP(-LN(2)/25))/(LN(2)/25)*Calculateur!DB92*Calculateur!DD92*VLOOKUP('Données projet'!$B$13,Paramètres!$A$1:$I$89,3,0)*0.475*44/12</f>
        <v>17.79926774564634</v>
      </c>
      <c r="DH92" s="21">
        <f>EXP(-LN(2)/2)*DH91+(1-EXP(-LN(2)/2))/(LN(2)/2)*DB92*DE92*VLOOKUP('Données projet'!$B$13,Paramètres!$A$1:$I$89,3,0)*0.475*44/12</f>
        <v>0.26728193770709185</v>
      </c>
      <c r="DI92" s="22">
        <f t="shared" si="69"/>
        <v>70.899636018634368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3</v>
      </c>
      <c r="DO92" s="12">
        <f>IF('Données projet'!$A$166&gt;35,DO91+DN92-DW91,IF(A92&lt;'Données projet'!$A$166,$DL$205^A92,IF(A92='Données projet'!$A$166,'Données projet'!$B$166,DO91+DN92-DW91)))</f>
        <v>246</v>
      </c>
      <c r="DP92" s="17">
        <f>DO92*VLOOKUP('Données projet'!$B$14,Paramètres!$A$1:$I$89,3,0)*VLOOKUP('Données projet'!$B$14,Paramètres!$A$1:$I$89,5,0)</f>
        <v>214.90560000000005</v>
      </c>
      <c r="DQ92" s="13">
        <f t="shared" si="97"/>
        <v>53.006137800892326</v>
      </c>
      <c r="DR92" s="20">
        <f t="shared" si="70"/>
        <v>466.61294333655422</v>
      </c>
      <c r="DS92" s="59">
        <f t="shared" si="71"/>
        <v>759.94627666988754</v>
      </c>
      <c r="DT92" s="59">
        <f ca="1">AVERAGE(OFFSET($DS$3,0,0,'Données projet'!$E$14+1,1))-AVERAGE(OFFSET($H$3,0,0,'Données projet'!$E$14+1,1))</f>
        <v>354.24684313982857</v>
      </c>
      <c r="DU92" s="59">
        <f t="shared" si="98"/>
        <v>322.65043486962185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22.570202402698076</v>
      </c>
      <c r="EB92" s="21">
        <f>EXP(-LN(2)/25)*EB91+(1-EXP(-LN(2)/25))/(LN(2)/25)*Calculateur!DW92*Calculateur!DY92*VLOOKUP('Données projet'!$B$14,Paramètres!$A$1:$I$89,3,0)*0.475*44/12</f>
        <v>16.15049963335445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38.720702036052529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-6.7984728957526396E-14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355.09162485318728</v>
      </c>
      <c r="T93" s="59">
        <f t="shared" si="88"/>
        <v>320.06572891923685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135.15296353104571</v>
      </c>
      <c r="AA93" s="21">
        <f>EXP(-LN(2)/25)*AA92+(1-EXP(-LN(2)/25))/(LN(2)/25)*Calculateur!V93*Calculateur!X93*VLOOKUP('Données projet'!$B$9,Paramètres!$A$1:$I$89,3,0)*0.475*44/12</f>
        <v>28.763227243469455</v>
      </c>
      <c r="AB93" s="21">
        <f>EXP(-LN(2)/2)*AB92+(1-EXP(-LN(2)/2))/(LN(2)/2)*V93*Y93*VLOOKUP('Données projet'!$B$9,Paramètres!$A$1:$I$89,3,0)*0.475*44/12</f>
        <v>0.36476668528468875</v>
      </c>
      <c r="AC93" s="22">
        <f t="shared" si="57"/>
        <v>164.28095745979985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8.1391025641025667</v>
      </c>
      <c r="AI93" s="13">
        <f>IF('Données projet'!$A$62&gt;35,AI92+AH93-AQ92,IF(A93&lt;'Données projet'!$A$62,$AF$205^A93,IF(A93='Données projet'!$A$62,'Données projet'!$B$62,AI92+AH93-AQ92)))</f>
        <v>324.61730769230792</v>
      </c>
      <c r="AJ93" s="13">
        <f>AI93*VLOOKUP('Données projet'!$B$10,Paramètres!$A$1:$I$89,3,0)*VLOOKUP('Données projet'!$B$10,Paramètres!$A$1:$I$89,5,0)</f>
        <v>151.9209000000001</v>
      </c>
      <c r="AK93" s="13">
        <f t="shared" si="89"/>
        <v>39.014793227910218</v>
      </c>
      <c r="AL93" s="20">
        <f t="shared" si="58"/>
        <v>332.54633237194383</v>
      </c>
      <c r="AM93" s="59">
        <f t="shared" si="59"/>
        <v>625.87966570527715</v>
      </c>
      <c r="AN93" s="59">
        <f ca="1">AVERAGE(OFFSET($AM$3,0,0,'Données projet'!$E$10+1,1))-AVERAGE(OFFSET($H$3,0,0,'Données projet'!$E$10+1,1))</f>
        <v>246.72166704460847</v>
      </c>
      <c r="AO93" s="59">
        <f t="shared" si="90"/>
        <v>145.54897745089966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48.974738832756657</v>
      </c>
      <c r="AV93" s="21">
        <f>EXP(-LN(2)/25)*AV92+(1-EXP(-LN(2)/25))/(LN(2)/25)*Calculateur!AQ93*Calculateur!AS93*VLOOKUP('Données projet'!$B$10,Paramètres!$A$1:$I$89,3,0)*0.475*44/12</f>
        <v>16.979541522442414</v>
      </c>
      <c r="AW93" s="21">
        <f>EXP(-LN(2)/2)*AW92+(1-EXP(-LN(2)/2))/(LN(2)/2)*AQ93*AT93*VLOOKUP('Données projet'!$B$10,Paramètres!$A$1:$I$89,3,0)*0.475*44/12</f>
        <v>2.0846703223773622</v>
      </c>
      <c r="AX93" s="21">
        <f t="shared" si="60"/>
        <v>68.038950677576437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88.478637356802039</v>
      </c>
      <c r="BJ93" s="59">
        <f t="shared" si="92"/>
        <v>239.55411297259155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11.283752177226832</v>
      </c>
      <c r="BQ93" s="21">
        <f>EXP(-LN(2)/25)*BQ92+(1-EXP(-LN(2)/25))/(LN(2)/25)*Calculateur!BL93*Calculateur!BN93*VLOOKUP('Données projet'!$B$11,Paramètres!$A$1:$I$89,3,0)*0.475*44/12</f>
        <v>1.3832777890379213</v>
      </c>
      <c r="BR93" s="21">
        <f>EXP(-LN(2)/2)*BR92+(1-EXP(-LN(2)/2))/(LN(2)/2)*BL93*BO93*VLOOKUP('Données projet'!$B$11,Paramètres!$A$1:$I$89,3,0)*0.475*44/12</f>
        <v>4.0041730083551871E-10</v>
      </c>
      <c r="BS93" s="22">
        <f t="shared" si="63"/>
        <v>12.66702996666517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6.0384615384615357</v>
      </c>
      <c r="BY93" s="12">
        <f>IF('Données projet'!$A$114&gt;35,BY92+BX93-CG92,IF(A93&lt;'Données projet'!$A$114,$BV$205^A93,IF(A93='Données projet'!$A$114,'Données projet'!$B$114,BY92+BX93-CG92)))</f>
        <v>211.18589743589763</v>
      </c>
      <c r="BZ93" s="13">
        <f>BY93*VLOOKUP('Données projet'!$B$12,Paramètres!$A$1:$I$89,3,0)*VLOOKUP('Données projet'!$B$12,Paramètres!$A$1:$I$89,5,0)</f>
        <v>191.08100000000016</v>
      </c>
      <c r="CA93" s="13">
        <f t="shared" si="93"/>
        <v>47.778867632637095</v>
      </c>
      <c r="CB93" s="20">
        <f t="shared" si="64"/>
        <v>416.01426946017654</v>
      </c>
      <c r="CC93" s="59">
        <f t="shared" si="65"/>
        <v>709.34760279350985</v>
      </c>
      <c r="CD93" s="59">
        <f ca="1">AVERAGE(OFFSET($CC$3,0,0,'Données projet'!$E$12+1,1))-AVERAGE(OFFSET($H$3,0,0,'Données projet'!$E$12+1,1))</f>
        <v>437.94387006020412</v>
      </c>
      <c r="CE93" s="59">
        <f t="shared" si="94"/>
        <v>213.95083535531376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10.729220477110385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10.729220477110385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385.37692307692305</v>
      </c>
      <c r="CR93" s="12">
        <f>VLOOKUP(A93,'Données projet'!$A$139:$I$159,9,0)</f>
        <v>8.2761538461538464</v>
      </c>
      <c r="CS93" s="12">
        <f t="array" ref="CS93">INDEX(CR:CR,MIN(IF(ISNUMBER(CR93:CR289),ROW(CR93:CR289),"")))</f>
        <v>8.2761538461538464</v>
      </c>
      <c r="CT93" s="12">
        <f>IF('Données projet'!$A$140&gt;35,CT92+CS93-DB92,IF(A93&lt;'Données projet'!$A$140,$CQ$205^A93,IF(A93='Données projet'!$A$140,'Données projet'!$B$140,CT92+CS93-DB92)))</f>
        <v>385.37692307692316</v>
      </c>
      <c r="CU93" s="17">
        <f>CT93*VLOOKUP('Données projet'!$B$13,Paramètres!$A$1:$I$89,3,0)*VLOOKUP('Données projet'!$B$13,Paramètres!$A$1:$I$89,5,0)</f>
        <v>185.36630000000005</v>
      </c>
      <c r="CV93" s="13">
        <f t="shared" si="95"/>
        <v>46.514040129566972</v>
      </c>
      <c r="CW93" s="20">
        <f t="shared" si="67"/>
        <v>403.85825905899588</v>
      </c>
      <c r="CX93" s="59">
        <f t="shared" si="68"/>
        <v>697.1915923923292</v>
      </c>
      <c r="CY93" s="59">
        <f ca="1">AVERAGE(OFFSET($CX$3,0,0,'Données projet'!$E$13+1,1))-AVERAGE(OFFSET($H$3,0,0,'Données projet'!$E$13+1,1))</f>
        <v>258.42493116335032</v>
      </c>
      <c r="CZ93" s="59">
        <f t="shared" si="96"/>
        <v>102.46122697336466</v>
      </c>
      <c r="DA93" s="15">
        <f>IF(ISNA(VLOOKUP(A93,'Données projet'!$A$139:$I$159,3,0)),0,VLOOKUP(A93,'Données projet'!$A$139:$I$159,3,0))</f>
        <v>5</v>
      </c>
      <c r="DB93" s="15">
        <f>IF(ISNA(VLOOKUP(A93,'Données projet'!$A$139:$I$159,4,0)),0,VLOOKUP(A93,'Données projet'!$A$139:$I$159,4,0))</f>
        <v>58.792307692307695</v>
      </c>
      <c r="DC93" s="16">
        <f>IF(ISNA(VLOOKUP(A93,'Données projet'!$A$139:$I$159,5,0)),0%,VLOOKUP(A93,'Données projet'!$A$139:$I$159,5,0)*VLOOKUP('Données projet'!$B$13,Paramètres!$A$1:$I$89,7,0))</f>
        <v>0.38500000000000001</v>
      </c>
      <c r="DD93" s="16">
        <f>IF(ISNA(VLOOKUP(A93,'Données projet'!$A$139:$I$159,6,0)),0%,VLOOKUP(A93,'Données projet'!$A$139:$I$159,6,0)*VLOOKUP('Données projet'!$B$13,Paramètres!$A$1:$I$89,7,0))</f>
        <v>9.240000000000001E-2</v>
      </c>
      <c r="DE93" s="16">
        <f>IF(ISNA(VLOOKUP(A93,'Données projet'!$A$139:$I$159,7,0)),0%,VLOOKUP(A93,'Données projet'!$A$139:$I$159,7,0))</f>
        <v>0.13200000000000001</v>
      </c>
      <c r="DF93" s="21">
        <f>EXP(-LN(2)/35)*DF92+(1-EXP(-LN(2)/35))/(LN(2)/35)*DB93*DC93*VLOOKUP('Données projet'!$B$13,Paramètres!$A$1:$I$89,3,0)*0.475*44/12</f>
        <v>66.239970560597598</v>
      </c>
      <c r="DG93" s="21">
        <f>EXP(-LN(2)/25)*DG92+(1-EXP(-LN(2)/25))/(LN(2)/25)*Calculateur!DB93*Calculateur!DD93*VLOOKUP('Données projet'!$B$13,Paramètres!$A$1:$I$89,3,0)*0.475*44/12</f>
        <v>20.765195814270889</v>
      </c>
      <c r="DH93" s="21">
        <f>EXP(-LN(2)/2)*DH92+(1-EXP(-LN(2)/2))/(LN(2)/2)*DB93*DE93*VLOOKUP('Données projet'!$B$13,Paramètres!$A$1:$I$89,3,0)*0.475*44/12</f>
        <v>4.4154402388188148</v>
      </c>
      <c r="DI93" s="22">
        <f t="shared" si="69"/>
        <v>91.420606613687298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249</v>
      </c>
      <c r="DM93" s="12">
        <f>VLOOKUP(A93,'Données projet'!$A$165:$I$185,9,0)</f>
        <v>3</v>
      </c>
      <c r="DN93" s="12">
        <f t="array" ref="DN93">INDEX(DM:DM,MIN(IF(ISNUMBER(DM93:DM289),ROW(DM93:DM289),"")))</f>
        <v>3</v>
      </c>
      <c r="DO93" s="12">
        <f>IF('Données projet'!$A$166&gt;35,DO92+DN93-DW92,IF(A93&lt;'Données projet'!$A$166,$DL$205^A93,IF(A93='Données projet'!$A$166,'Données projet'!$B$166,DO92+DN93-DW92)))</f>
        <v>249</v>
      </c>
      <c r="DP93" s="17">
        <f>DO93*VLOOKUP('Données projet'!$B$14,Paramètres!$A$1:$I$89,3,0)*VLOOKUP('Données projet'!$B$14,Paramètres!$A$1:$I$89,5,0)</f>
        <v>217.52640000000005</v>
      </c>
      <c r="DQ93" s="13">
        <f t="shared" si="97"/>
        <v>53.576907690651254</v>
      </c>
      <c r="DR93" s="20">
        <f t="shared" si="70"/>
        <v>472.17159422788433</v>
      </c>
      <c r="DS93" s="59">
        <f t="shared" si="71"/>
        <v>765.50492756121764</v>
      </c>
      <c r="DT93" s="59">
        <f ca="1">AVERAGE(OFFSET($DS$3,0,0,'Données projet'!$E$14+1,1))-AVERAGE(OFFSET($H$3,0,0,'Données projet'!$E$14+1,1))</f>
        <v>354.24684313982857</v>
      </c>
      <c r="DU93" s="59">
        <f t="shared" si="98"/>
        <v>322.65043486962185</v>
      </c>
      <c r="DV93" s="15">
        <f>IF(ISNA(VLOOKUP(A93,'Données projet'!$A$165:$I$185,3,0)),0,VLOOKUP(A93,'Données projet'!$A$165:$I$185,3,0))</f>
        <v>15</v>
      </c>
      <c r="DW93" s="15" t="str">
        <f>IF(ISNA(VLOOKUP(A93,'Données projet'!$A$165:$I$185,4,0)),0,VLOOKUP(A93,'Données projet'!$A$165:$I$185,4,0))</f>
        <v>12</v>
      </c>
      <c r="DX93" s="16">
        <f>IF(ISNA(VLOOKUP(A93,'Données projet'!$A$165:$I$185,5,0)),0%,VLOOKUP(A93,'Données projet'!$A$165:$I$185,5,0)*VLOOKUP('Données projet'!$B$14,Paramètres!$A$1:$I$89,7,0))</f>
        <v>0.25800000000000001</v>
      </c>
      <c r="DY93" s="16">
        <f>IF(ISNA(VLOOKUP(A93,'Données projet'!$A$165:$I$185,6,0)),0%,VLOOKUP(A93,'Données projet'!$A$165:$I$185,6,0)*VLOOKUP('Données projet'!$B$14,Paramètres!$A$1:$I$89,7,0))</f>
        <v>0.129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25.117542207387022</v>
      </c>
      <c r="EB93" s="21">
        <f>EXP(-LN(2)/25)*EB92+(1-EXP(-LN(2)/25))/(LN(2)/25)*Calculateur!DW93*Calculateur!DY93*VLOOKUP('Données projet'!$B$14,Paramètres!$A$1:$I$89,3,0)*0.475*44/12</f>
        <v>17.197940982915579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42.315483190302601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-6.7984728957526396E-14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355.09162485318728</v>
      </c>
      <c r="T94" s="59">
        <f t="shared" si="88"/>
        <v>320.06572891923685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132.50269635136988</v>
      </c>
      <c r="AA94" s="21">
        <f>EXP(-LN(2)/25)*AA93+(1-EXP(-LN(2)/25))/(LN(2)/25)*Calculateur!V94*Calculateur!X94*VLOOKUP('Données projet'!$B$9,Paramètres!$A$1:$I$89,3,0)*0.475*44/12</f>
        <v>27.976695281904401</v>
      </c>
      <c r="AB94" s="21">
        <f>EXP(-LN(2)/2)*AB93+(1-EXP(-LN(2)/2))/(LN(2)/2)*V94*Y94*VLOOKUP('Données projet'!$B$9,Paramètres!$A$1:$I$89,3,0)*0.475*44/12</f>
        <v>0.25792899671574265</v>
      </c>
      <c r="AC94" s="22">
        <f t="shared" si="57"/>
        <v>160.73732062999002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8.1391025641025667</v>
      </c>
      <c r="AI94" s="13">
        <f>IF('Données projet'!$A$62&gt;35,AI93+AH94-AQ93,IF(A94&lt;'Données projet'!$A$62,$AF$205^A94,IF(A94='Données projet'!$A$62,'Données projet'!$B$62,AI93+AH94-AQ93)))</f>
        <v>332.7564102564105</v>
      </c>
      <c r="AJ94" s="13">
        <f>AI94*VLOOKUP('Données projet'!$B$10,Paramètres!$A$1:$I$89,3,0)*VLOOKUP('Données projet'!$B$10,Paramètres!$A$1:$I$89,5,0)</f>
        <v>155.7300000000001</v>
      </c>
      <c r="AK94" s="13">
        <f t="shared" si="89"/>
        <v>39.877894002833592</v>
      </c>
      <c r="AL94" s="20">
        <f t="shared" si="58"/>
        <v>340.68374872160194</v>
      </c>
      <c r="AM94" s="59">
        <f t="shared" si="59"/>
        <v>634.01708205493526</v>
      </c>
      <c r="AN94" s="59">
        <f ca="1">AVERAGE(OFFSET($AM$3,0,0,'Données projet'!$E$10+1,1))-AVERAGE(OFFSET($H$3,0,0,'Données projet'!$E$10+1,1))</f>
        <v>246.72166704460847</v>
      </c>
      <c r="AO94" s="59">
        <f t="shared" si="90"/>
        <v>145.54897745089966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48.01437407588741</v>
      </c>
      <c r="AV94" s="21">
        <f>EXP(-LN(2)/25)*AV93+(1-EXP(-LN(2)/25))/(LN(2)/25)*Calculateur!AQ94*Calculateur!AS94*VLOOKUP('Données projet'!$B$10,Paramètres!$A$1:$I$89,3,0)*0.475*44/12</f>
        <v>16.515235066595945</v>
      </c>
      <c r="AW94" s="21">
        <f>EXP(-LN(2)/2)*AW93+(1-EXP(-LN(2)/2))/(LN(2)/2)*AQ94*AT94*VLOOKUP('Données projet'!$B$10,Paramètres!$A$1:$I$89,3,0)*0.475*44/12</f>
        <v>1.4740845214913789</v>
      </c>
      <c r="AX94" s="21">
        <f t="shared" si="60"/>
        <v>66.00369366397473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88.478637356802039</v>
      </c>
      <c r="BJ94" s="59">
        <f t="shared" si="92"/>
        <v>239.55411297259155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11.06248467944066</v>
      </c>
      <c r="BQ94" s="21">
        <f>EXP(-LN(2)/25)*BQ93+(1-EXP(-LN(2)/25))/(LN(2)/25)*Calculateur!BL94*Calculateur!BN94*VLOOKUP('Données projet'!$B$11,Paramètres!$A$1:$I$89,3,0)*0.475*44/12</f>
        <v>1.345451985153262</v>
      </c>
      <c r="BR94" s="21">
        <f>EXP(-LN(2)/2)*BR93+(1-EXP(-LN(2)/2))/(LN(2)/2)*BL94*BO94*VLOOKUP('Données projet'!$B$11,Paramètres!$A$1:$I$89,3,0)*0.475*44/12</f>
        <v>2.831377887252091E-10</v>
      </c>
      <c r="BS94" s="22">
        <f t="shared" si="63"/>
        <v>12.407936664877059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6.0384615384615357</v>
      </c>
      <c r="BY94" s="12">
        <f>IF('Données projet'!$A$114&gt;35,BY93+BX94-CG93,IF(A94&lt;'Données projet'!$A$114,$BV$205^A94,IF(A94='Données projet'!$A$114,'Données projet'!$B$114,BY93+BX94-CG93)))</f>
        <v>217.22435897435918</v>
      </c>
      <c r="BZ94" s="13">
        <f>BY94*VLOOKUP('Données projet'!$B$12,Paramètres!$A$1:$I$89,3,0)*VLOOKUP('Données projet'!$B$12,Paramètres!$A$1:$I$89,5,0)</f>
        <v>196.54460000000017</v>
      </c>
      <c r="CA94" s="13">
        <f t="shared" si="93"/>
        <v>48.984006849971898</v>
      </c>
      <c r="CB94" s="20">
        <f t="shared" si="64"/>
        <v>427.62899026370133</v>
      </c>
      <c r="CC94" s="59">
        <f t="shared" si="65"/>
        <v>720.96232359703458</v>
      </c>
      <c r="CD94" s="59">
        <f ca="1">AVERAGE(OFFSET($CC$3,0,0,'Données projet'!$E$12+1,1))-AVERAGE(OFFSET($H$3,0,0,'Données projet'!$E$12+1,1))</f>
        <v>437.94387006020412</v>
      </c>
      <c r="CE94" s="59">
        <f t="shared" si="94"/>
        <v>213.95083535531376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10.518827007732558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10.518827007732558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7.1523076923076925</v>
      </c>
      <c r="CT94" s="12">
        <f>IF('Données projet'!$A$140&gt;35,CT93+CS94-DB93,IF(A94&lt;'Données projet'!$A$140,$CQ$205^A94,IF(A94='Données projet'!$A$140,'Données projet'!$B$140,CT93+CS94-DB93)))</f>
        <v>333.73692307692318</v>
      </c>
      <c r="CU94" s="17">
        <f>CT94*VLOOKUP('Données projet'!$B$13,Paramètres!$A$1:$I$89,3,0)*VLOOKUP('Données projet'!$B$13,Paramètres!$A$1:$I$89,5,0)</f>
        <v>160.52746000000005</v>
      </c>
      <c r="CV94" s="13">
        <f t="shared" si="95"/>
        <v>40.961462683942479</v>
      </c>
      <c r="CW94" s="20">
        <f t="shared" si="67"/>
        <v>350.92654034119988</v>
      </c>
      <c r="CX94" s="59">
        <f t="shared" si="68"/>
        <v>644.2598736745332</v>
      </c>
      <c r="CY94" s="59">
        <f ca="1">AVERAGE(OFFSET($CX$3,0,0,'Données projet'!$E$13+1,1))-AVERAGE(OFFSET($H$3,0,0,'Données projet'!$E$13+1,1))</f>
        <v>258.42493116335032</v>
      </c>
      <c r="CZ94" s="59">
        <f t="shared" si="96"/>
        <v>102.46122697336466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64.941045140296922</v>
      </c>
      <c r="DG94" s="21">
        <f>EXP(-LN(2)/25)*DG93+(1-EXP(-LN(2)/25))/(LN(2)/25)*Calculateur!DB94*Calculateur!DD94*VLOOKUP('Données projet'!$B$13,Paramètres!$A$1:$I$89,3,0)*0.475*44/12</f>
        <v>20.197370442735462</v>
      </c>
      <c r="DH94" s="21">
        <f>EXP(-LN(2)/2)*DH93+(1-EXP(-LN(2)/2))/(LN(2)/2)*DB94*DE94*VLOOKUP('Données projet'!$B$13,Paramètres!$A$1:$I$89,3,0)*0.475*44/12</f>
        <v>3.1221877347927331</v>
      </c>
      <c r="DI94" s="22">
        <f t="shared" si="69"/>
        <v>88.260603317825115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3</v>
      </c>
      <c r="DO94" s="12">
        <f>IF('Données projet'!$A$166&gt;35,DO93+DN94-DW93,IF(A94&lt;'Données projet'!$A$166,$DL$205^A94,IF(A94='Données projet'!$A$166,'Données projet'!$B$166,DO93+DN94-DW93)))</f>
        <v>240</v>
      </c>
      <c r="DP94" s="17">
        <f>DO94*VLOOKUP('Données projet'!$B$14,Paramètres!$A$1:$I$89,3,0)*VLOOKUP('Données projet'!$B$14,Paramètres!$A$1:$I$89,5,0)</f>
        <v>209.66400000000002</v>
      </c>
      <c r="DQ94" s="13">
        <f t="shared" si="97"/>
        <v>51.862154403304537</v>
      </c>
      <c r="DR94" s="20">
        <f t="shared" si="70"/>
        <v>455.49138558575538</v>
      </c>
      <c r="DS94" s="59">
        <f t="shared" si="71"/>
        <v>748.8247189190887</v>
      </c>
      <c r="DT94" s="59">
        <f ca="1">AVERAGE(OFFSET($DS$3,0,0,'Données projet'!$E$14+1,1))-AVERAGE(OFFSET($H$3,0,0,'Données projet'!$E$14+1,1))</f>
        <v>354.24684313982857</v>
      </c>
      <c r="DU94" s="59">
        <f t="shared" si="98"/>
        <v>322.65043486962185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24.625002524888167</v>
      </c>
      <c r="EB94" s="21">
        <f>EXP(-LN(2)/25)*EB93+(1-EXP(-LN(2)/25))/(LN(2)/25)*Calculateur!DW94*Calculateur!DY94*VLOOKUP('Données projet'!$B$14,Paramètres!$A$1:$I$89,3,0)*0.475*44/12</f>
        <v>16.727662382337343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41.35266490722551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-6.7984728957526396E-14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355.09162485318728</v>
      </c>
      <c r="T95" s="59">
        <f t="shared" si="88"/>
        <v>320.06572891923685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129.9043992945841</v>
      </c>
      <c r="AA95" s="21">
        <f>EXP(-LN(2)/25)*AA94+(1-EXP(-LN(2)/25))/(LN(2)/25)*Calculateur!V95*Calculateur!X95*VLOOKUP('Données projet'!$B$9,Paramètres!$A$1:$I$89,3,0)*0.475*44/12</f>
        <v>27.211671078190264</v>
      </c>
      <c r="AB95" s="21">
        <f>EXP(-LN(2)/2)*AB94+(1-EXP(-LN(2)/2))/(LN(2)/2)*V95*Y95*VLOOKUP('Données projet'!$B$9,Paramètres!$A$1:$I$89,3,0)*0.475*44/12</f>
        <v>0.18238334264234438</v>
      </c>
      <c r="AC95" s="22">
        <f t="shared" si="57"/>
        <v>157.29845371541668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8.1391025641025667</v>
      </c>
      <c r="AI95" s="13">
        <f>IF('Données projet'!$A$62&gt;35,AI94+AH95-AQ94,IF(A95&lt;'Données projet'!$A$62,$AF$205^A95,IF(A95='Données projet'!$A$62,'Données projet'!$B$62,AI94+AH95-AQ94)))</f>
        <v>340.89551282051309</v>
      </c>
      <c r="AJ95" s="13">
        <f>AI95*VLOOKUP('Données projet'!$B$10,Paramètres!$A$1:$I$89,3,0)*VLOOKUP('Données projet'!$B$10,Paramètres!$A$1:$I$89,5,0)</f>
        <v>159.53910000000013</v>
      </c>
      <c r="AK95" s="13">
        <f t="shared" si="89"/>
        <v>40.73854067777345</v>
      </c>
      <c r="AL95" s="20">
        <f t="shared" si="58"/>
        <v>348.81689084712229</v>
      </c>
      <c r="AM95" s="59">
        <f t="shared" si="59"/>
        <v>642.15022418045555</v>
      </c>
      <c r="AN95" s="59">
        <f ca="1">AVERAGE(OFFSET($AM$3,0,0,'Données projet'!$E$10+1,1))-AVERAGE(OFFSET($H$3,0,0,'Données projet'!$E$10+1,1))</f>
        <v>246.72166704460847</v>
      </c>
      <c r="AO95" s="59">
        <f t="shared" si="90"/>
        <v>145.54897745089966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47.072841486135701</v>
      </c>
      <c r="AV95" s="21">
        <f>EXP(-LN(2)/25)*AV94+(1-EXP(-LN(2)/25))/(LN(2)/25)*Calculateur!AQ95*Calculateur!AS95*VLOOKUP('Données projet'!$B$10,Paramètres!$A$1:$I$89,3,0)*0.475*44/12</f>
        <v>16.063625095201413</v>
      </c>
      <c r="AW95" s="21">
        <f>EXP(-LN(2)/2)*AW94+(1-EXP(-LN(2)/2))/(LN(2)/2)*AQ95*AT95*VLOOKUP('Données projet'!$B$10,Paramètres!$A$1:$I$89,3,0)*0.475*44/12</f>
        <v>1.0423351611886811</v>
      </c>
      <c r="AX95" s="21">
        <f t="shared" si="60"/>
        <v>64.178801742525792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88.478637356802039</v>
      </c>
      <c r="BJ95" s="59">
        <f t="shared" si="92"/>
        <v>239.55411297259155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10.845556102326228</v>
      </c>
      <c r="BQ95" s="21">
        <f>EXP(-LN(2)/25)*BQ94+(1-EXP(-LN(2)/25))/(LN(2)/25)*Calculateur!BL95*Calculateur!BN95*VLOOKUP('Données projet'!$B$11,Paramètres!$A$1:$I$89,3,0)*0.475*44/12</f>
        <v>1.3086605298650011</v>
      </c>
      <c r="BR95" s="21">
        <f>EXP(-LN(2)/2)*BR94+(1-EXP(-LN(2)/2))/(LN(2)/2)*BL95*BO95*VLOOKUP('Données projet'!$B$11,Paramètres!$A$1:$I$89,3,0)*0.475*44/12</f>
        <v>2.0020865041775936E-10</v>
      </c>
      <c r="BS95" s="22">
        <f t="shared" si="63"/>
        <v>12.154216632391437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6.0384615384615357</v>
      </c>
      <c r="BY95" s="12">
        <f>IF('Données projet'!$A$114&gt;35,BY94+BX95-CG94,IF(A95&lt;'Données projet'!$A$114,$BV$205^A95,IF(A95='Données projet'!$A$114,'Données projet'!$B$114,BY94+BX95-CG94)))</f>
        <v>223.26282051282072</v>
      </c>
      <c r="BZ95" s="13">
        <f>BY95*VLOOKUP('Données projet'!$B$12,Paramètres!$A$1:$I$89,3,0)*VLOOKUP('Données projet'!$B$12,Paramètres!$A$1:$I$89,5,0)</f>
        <v>202.00820000000022</v>
      </c>
      <c r="CA95" s="13">
        <f t="shared" si="93"/>
        <v>50.185252347918507</v>
      </c>
      <c r="CB95" s="20">
        <f t="shared" si="64"/>
        <v>439.23692950595841</v>
      </c>
      <c r="CC95" s="59">
        <f t="shared" si="65"/>
        <v>732.57026283929167</v>
      </c>
      <c r="CD95" s="59">
        <f ca="1">AVERAGE(OFFSET($CC$3,0,0,'Données projet'!$E$12+1,1))-AVERAGE(OFFSET($H$3,0,0,'Données projet'!$E$12+1,1))</f>
        <v>437.94387006020412</v>
      </c>
      <c r="CE95" s="59">
        <f t="shared" si="94"/>
        <v>213.95083535531376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10.312559225961884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10.312559225961884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7.1523076923076925</v>
      </c>
      <c r="CT95" s="12">
        <f>IF('Données projet'!$A$140&gt;35,CT94+CS95-DB94,IF(A95&lt;'Données projet'!$A$140,$CQ$205^A95,IF(A95='Données projet'!$A$140,'Données projet'!$B$140,CT94+CS95-DB94)))</f>
        <v>340.88923076923089</v>
      </c>
      <c r="CU95" s="17">
        <f>CT95*VLOOKUP('Données projet'!$B$13,Paramètres!$A$1:$I$89,3,0)*VLOOKUP('Données projet'!$B$13,Paramètres!$A$1:$I$89,5,0)</f>
        <v>163.96772000000007</v>
      </c>
      <c r="CV95" s="13">
        <f t="shared" si="95"/>
        <v>41.736165877789169</v>
      </c>
      <c r="CW95" s="20">
        <f t="shared" si="67"/>
        <v>358.26760123714956</v>
      </c>
      <c r="CX95" s="59">
        <f t="shared" si="68"/>
        <v>651.60093457048288</v>
      </c>
      <c r="CY95" s="59">
        <f ca="1">AVERAGE(OFFSET($CX$3,0,0,'Données projet'!$E$13+1,1))-AVERAGE(OFFSET($H$3,0,0,'Données projet'!$E$13+1,1))</f>
        <v>258.42493116335032</v>
      </c>
      <c r="CZ95" s="59">
        <f t="shared" si="96"/>
        <v>102.46122697336466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63.667590855222059</v>
      </c>
      <c r="DG95" s="21">
        <f>EXP(-LN(2)/25)*DG94+(1-EXP(-LN(2)/25))/(LN(2)/25)*Calculateur!DB95*Calculateur!DD95*VLOOKUP('Données projet'!$B$13,Paramètres!$A$1:$I$89,3,0)*0.475*44/12</f>
        <v>19.645072285845309</v>
      </c>
      <c r="DH95" s="21">
        <f>EXP(-LN(2)/2)*DH94+(1-EXP(-LN(2)/2))/(LN(2)/2)*DB95*DE95*VLOOKUP('Données projet'!$B$13,Paramètres!$A$1:$I$89,3,0)*0.475*44/12</f>
        <v>2.2077201194094078</v>
      </c>
      <c r="DI95" s="22">
        <f t="shared" si="69"/>
        <v>85.520383260476763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3</v>
      </c>
      <c r="DO95" s="12">
        <f>IF('Données projet'!$A$166&gt;35,DO94+DN95-DW94,IF(A95&lt;'Données projet'!$A$166,$DL$205^A95,IF(A95='Données projet'!$A$166,'Données projet'!$B$166,DO94+DN95-DW94)))</f>
        <v>243</v>
      </c>
      <c r="DP95" s="17">
        <f>DO95*VLOOKUP('Données projet'!$B$14,Paramètres!$A$1:$I$89,3,0)*VLOOKUP('Données projet'!$B$14,Paramètres!$A$1:$I$89,5,0)</f>
        <v>212.28480000000002</v>
      </c>
      <c r="DQ95" s="13">
        <f t="shared" si="97"/>
        <v>52.434557099704193</v>
      </c>
      <c r="DR95" s="20">
        <f t="shared" si="70"/>
        <v>461.05288028198476</v>
      </c>
      <c r="DS95" s="59">
        <f t="shared" si="71"/>
        <v>754.38621361531807</v>
      </c>
      <c r="DT95" s="59">
        <f ca="1">AVERAGE(OFFSET($DS$3,0,0,'Données projet'!$E$14+1,1))-AVERAGE(OFFSET($H$3,0,0,'Données projet'!$E$14+1,1))</f>
        <v>354.24684313982857</v>
      </c>
      <c r="DU95" s="59">
        <f t="shared" si="98"/>
        <v>322.65043486962185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24.142121245143571</v>
      </c>
      <c r="EB95" s="21">
        <f>EXP(-LN(2)/25)*EB94+(1-EXP(-LN(2)/25))/(LN(2)/25)*Calculateur!DW95*Calculateur!DY95*VLOOKUP('Données projet'!$B$14,Paramètres!$A$1:$I$89,3,0)*0.475*44/12</f>
        <v>16.270243574822796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40.412364819966371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-6.7984728957526396E-14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355.09162485318728</v>
      </c>
      <c r="T96" s="59">
        <f t="shared" si="88"/>
        <v>320.06572891923685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127.35705325827718</v>
      </c>
      <c r="AA96" s="21">
        <f>EXP(-LN(2)/25)*AA95+(1-EXP(-LN(2)/25))/(LN(2)/25)*Calculateur!V96*Calculateur!X96*VLOOKUP('Données projet'!$B$9,Paramètres!$A$1:$I$89,3,0)*0.475*44/12</f>
        <v>26.467566501557563</v>
      </c>
      <c r="AB96" s="21">
        <f>EXP(-LN(2)/2)*AB95+(1-EXP(-LN(2)/2))/(LN(2)/2)*V96*Y96*VLOOKUP('Données projet'!$B$9,Paramètres!$A$1:$I$89,3,0)*0.475*44/12</f>
        <v>0.12896449835787133</v>
      </c>
      <c r="AC96" s="22">
        <f t="shared" si="57"/>
        <v>153.95358425819262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8.1391025641025667</v>
      </c>
      <c r="AI96" s="13">
        <f>IF('Données projet'!$A$62&gt;35,AI95+AH96-AQ95,IF(A96&lt;'Données projet'!$A$62,$AF$205^A96,IF(A96='Données projet'!$A$62,'Données projet'!$B$62,AI95+AH96-AQ95)))</f>
        <v>349.03461538461568</v>
      </c>
      <c r="AJ96" s="13">
        <f>AI96*VLOOKUP('Données projet'!$B$10,Paramètres!$A$1:$I$89,3,0)*VLOOKUP('Données projet'!$B$10,Paramètres!$A$1:$I$89,5,0)</f>
        <v>163.34820000000013</v>
      </c>
      <c r="AK96" s="13">
        <f t="shared" si="89"/>
        <v>41.596798587958098</v>
      </c>
      <c r="AL96" s="20">
        <f t="shared" si="58"/>
        <v>356.94587254069387</v>
      </c>
      <c r="AM96" s="59">
        <f t="shared" si="59"/>
        <v>650.27920587402718</v>
      </c>
      <c r="AN96" s="59">
        <f ca="1">AVERAGE(OFFSET($AM$3,0,0,'Données projet'!$E$10+1,1))-AVERAGE(OFFSET($H$3,0,0,'Données projet'!$E$10+1,1))</f>
        <v>246.72166704460847</v>
      </c>
      <c r="AO96" s="59">
        <f t="shared" si="90"/>
        <v>145.54897745089966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46.149771776190853</v>
      </c>
      <c r="AV96" s="21">
        <f>EXP(-LN(2)/25)*AV95+(1-EXP(-LN(2)/25))/(LN(2)/25)*Calculateur!AQ96*Calculateur!AS96*VLOOKUP('Données projet'!$B$10,Paramètres!$A$1:$I$89,3,0)*0.475*44/12</f>
        <v>15.624364422223801</v>
      </c>
      <c r="AW96" s="21">
        <f>EXP(-LN(2)/2)*AW95+(1-EXP(-LN(2)/2))/(LN(2)/2)*AQ96*AT96*VLOOKUP('Données projet'!$B$10,Paramètres!$A$1:$I$89,3,0)*0.475*44/12</f>
        <v>0.73704226074568946</v>
      </c>
      <c r="AX96" s="21">
        <f t="shared" si="60"/>
        <v>62.511178459160341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88.478637356802039</v>
      </c>
      <c r="BJ96" s="59">
        <f t="shared" si="92"/>
        <v>239.55411297259155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10.632881362295642</v>
      </c>
      <c r="BQ96" s="21">
        <f>EXP(-LN(2)/25)*BQ95+(1-EXP(-LN(2)/25))/(LN(2)/25)*Calculateur!BL96*Calculateur!BN96*VLOOKUP('Données projet'!$B$11,Paramètres!$A$1:$I$89,3,0)*0.475*44/12</f>
        <v>1.2728751388563764</v>
      </c>
      <c r="BR96" s="21">
        <f>EXP(-LN(2)/2)*BR95+(1-EXP(-LN(2)/2))/(LN(2)/2)*BL96*BO96*VLOOKUP('Données projet'!$B$11,Paramètres!$A$1:$I$89,3,0)*0.475*44/12</f>
        <v>1.4156889436260455E-10</v>
      </c>
      <c r="BS96" s="22">
        <f t="shared" si="63"/>
        <v>11.905756501293586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6.0384615384615357</v>
      </c>
      <c r="BY96" s="12">
        <f>IF('Données projet'!$A$114&gt;35,BY95+BX96-CG95,IF(A96&lt;'Données projet'!$A$114,$BV$205^A96,IF(A96='Données projet'!$A$114,'Données projet'!$B$114,BY95+BX96-CG95)))</f>
        <v>229.30128205128227</v>
      </c>
      <c r="BZ96" s="13">
        <f>BY96*VLOOKUP('Données projet'!$B$12,Paramètres!$A$1:$I$89,3,0)*VLOOKUP('Données projet'!$B$12,Paramètres!$A$1:$I$89,5,0)</f>
        <v>207.4718000000002</v>
      </c>
      <c r="CA96" s="13">
        <f t="shared" si="93"/>
        <v>51.382721540012042</v>
      </c>
      <c r="CB96" s="20">
        <f t="shared" si="64"/>
        <v>450.8382916821879</v>
      </c>
      <c r="CC96" s="59">
        <f t="shared" si="65"/>
        <v>744.17162501552116</v>
      </c>
      <c r="CD96" s="59">
        <f ca="1">AVERAGE(OFFSET($CC$3,0,0,'Données projet'!$E$12+1,1))-AVERAGE(OFFSET($H$3,0,0,'Données projet'!$E$12+1,1))</f>
        <v>437.94387006020412</v>
      </c>
      <c r="CE96" s="59">
        <f t="shared" si="94"/>
        <v>213.95083535531376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10.11033622958081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10.11033622958081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7.1523076923076925</v>
      </c>
      <c r="CT96" s="12">
        <f>IF('Données projet'!$A$140&gt;35,CT95+CS96-DB95,IF(A96&lt;'Données projet'!$A$140,$CQ$205^A96,IF(A96='Données projet'!$A$140,'Données projet'!$B$140,CT95+CS96-DB95)))</f>
        <v>348.04153846153861</v>
      </c>
      <c r="CU96" s="17">
        <f>CT96*VLOOKUP('Données projet'!$B$13,Paramètres!$A$1:$I$89,3,0)*VLOOKUP('Données projet'!$B$13,Paramètres!$A$1:$I$89,5,0)</f>
        <v>167.40798000000007</v>
      </c>
      <c r="CV96" s="13">
        <f t="shared" si="95"/>
        <v>42.508979233092255</v>
      </c>
      <c r="CW96" s="20">
        <f t="shared" si="67"/>
        <v>365.60537066430243</v>
      </c>
      <c r="CX96" s="59">
        <f t="shared" si="68"/>
        <v>658.93870399763568</v>
      </c>
      <c r="CY96" s="59">
        <f ca="1">AVERAGE(OFFSET($CX$3,0,0,'Données projet'!$E$13+1,1))-AVERAGE(OFFSET($H$3,0,0,'Données projet'!$E$13+1,1))</f>
        <v>258.42493116335032</v>
      </c>
      <c r="CZ96" s="59">
        <f t="shared" si="96"/>
        <v>102.46122697336466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62.419108231947099</v>
      </c>
      <c r="DG96" s="21">
        <f>EXP(-LN(2)/25)*DG95+(1-EXP(-LN(2)/25))/(LN(2)/25)*Calculateur!DB96*Calculateur!DD96*VLOOKUP('Données projet'!$B$13,Paramètres!$A$1:$I$89,3,0)*0.475*44/12</f>
        <v>19.107876751099418</v>
      </c>
      <c r="DH96" s="21">
        <f>EXP(-LN(2)/2)*DH95+(1-EXP(-LN(2)/2))/(LN(2)/2)*DB96*DE96*VLOOKUP('Données projet'!$B$13,Paramètres!$A$1:$I$89,3,0)*0.475*44/12</f>
        <v>1.5610938673963668</v>
      </c>
      <c r="DI96" s="22">
        <f t="shared" si="69"/>
        <v>83.088078850442884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3</v>
      </c>
      <c r="DO96" s="12">
        <f>IF('Données projet'!$A$166&gt;35,DO95+DN96-DW95,IF(A96&lt;'Données projet'!$A$166,$DL$205^A96,IF(A96='Données projet'!$A$166,'Données projet'!$B$166,DO95+DN96-DW95)))</f>
        <v>246</v>
      </c>
      <c r="DP96" s="17">
        <f>DO96*VLOOKUP('Données projet'!$B$14,Paramètres!$A$1:$I$89,3,0)*VLOOKUP('Données projet'!$B$14,Paramètres!$A$1:$I$89,5,0)</f>
        <v>214.90560000000005</v>
      </c>
      <c r="DQ96" s="13">
        <f t="shared" si="97"/>
        <v>53.006137800892326</v>
      </c>
      <c r="DR96" s="20">
        <f t="shared" si="70"/>
        <v>466.61294333655422</v>
      </c>
      <c r="DS96" s="59">
        <f t="shared" si="71"/>
        <v>759.94627666988754</v>
      </c>
      <c r="DT96" s="59">
        <f ca="1">AVERAGE(OFFSET($DS$3,0,0,'Données projet'!$E$14+1,1))-AVERAGE(OFFSET($H$3,0,0,'Données projet'!$E$14+1,1))</f>
        <v>354.24684313982857</v>
      </c>
      <c r="DU96" s="59">
        <f t="shared" si="98"/>
        <v>322.65043486962185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23.668708972766268</v>
      </c>
      <c r="EB96" s="21">
        <f>EXP(-LN(2)/25)*EB95+(1-EXP(-LN(2)/25))/(LN(2)/25)*Calculateur!DW96*Calculateur!DY96*VLOOKUP('Données projet'!$B$14,Paramètres!$A$1:$I$89,3,0)*0.475*44/12</f>
        <v>15.825332908654344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39.494041881420614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-6.7984728957526396E-14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355.09162485318728</v>
      </c>
      <c r="T97" s="59">
        <f t="shared" si="88"/>
        <v>320.06572891923685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124.85965912401457</v>
      </c>
      <c r="AA97" s="21">
        <f>EXP(-LN(2)/25)*AA96+(1-EXP(-LN(2)/25))/(LN(2)/25)*Calculateur!V97*Calculateur!X97*VLOOKUP('Données projet'!$B$9,Paramètres!$A$1:$I$89,3,0)*0.475*44/12</f>
        <v>25.743809503703641</v>
      </c>
      <c r="AB97" s="21">
        <f>EXP(-LN(2)/2)*AB96+(1-EXP(-LN(2)/2))/(LN(2)/2)*V97*Y97*VLOOKUP('Données projet'!$B$9,Paramètres!$A$1:$I$89,3,0)*0.475*44/12</f>
        <v>9.1191671321172188E-2</v>
      </c>
      <c r="AC97" s="22">
        <f t="shared" si="57"/>
        <v>150.69466029903938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8.1391025641025667</v>
      </c>
      <c r="AI97" s="13">
        <f>IF('Données projet'!$A$62&gt;35,AI96+AH97-AQ96,IF(A97&lt;'Données projet'!$A$62,$AF$205^A97,IF(A97='Données projet'!$A$62,'Données projet'!$B$62,AI96+AH97-AQ96)))</f>
        <v>357.17371794871826</v>
      </c>
      <c r="AJ97" s="13">
        <f>AI97*VLOOKUP('Données projet'!$B$10,Paramètres!$A$1:$I$89,3,0)*VLOOKUP('Données projet'!$B$10,Paramètres!$A$1:$I$89,5,0)</f>
        <v>167.15730000000016</v>
      </c>
      <c r="AK97" s="13">
        <f t="shared" si="89"/>
        <v>42.452729847677681</v>
      </c>
      <c r="AL97" s="20">
        <f t="shared" si="58"/>
        <v>365.07080198470561</v>
      </c>
      <c r="AM97" s="59">
        <f t="shared" si="59"/>
        <v>658.40413531803893</v>
      </c>
      <c r="AN97" s="59">
        <f ca="1">AVERAGE(OFFSET($AM$3,0,0,'Données projet'!$E$10+1,1))-AVERAGE(OFFSET($H$3,0,0,'Données projet'!$E$10+1,1))</f>
        <v>246.72166704460847</v>
      </c>
      <c r="AO97" s="59">
        <f t="shared" si="90"/>
        <v>145.54897745089966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45.244802900241091</v>
      </c>
      <c r="AV97" s="21">
        <f>EXP(-LN(2)/25)*AV96+(1-EXP(-LN(2)/25))/(LN(2)/25)*Calculateur!AQ97*Calculateur!AS97*VLOOKUP('Données projet'!$B$10,Paramètres!$A$1:$I$89,3,0)*0.475*44/12</f>
        <v>15.197115355448476</v>
      </c>
      <c r="AW97" s="21">
        <f>EXP(-LN(2)/2)*AW96+(1-EXP(-LN(2)/2))/(LN(2)/2)*AQ97*AT97*VLOOKUP('Données projet'!$B$10,Paramètres!$A$1:$I$89,3,0)*0.475*44/12</f>
        <v>0.52116758059434054</v>
      </c>
      <c r="AX97" s="21">
        <f t="shared" si="60"/>
        <v>60.963085836283902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88.478637356802039</v>
      </c>
      <c r="BJ97" s="59">
        <f t="shared" si="92"/>
        <v>239.55411297259155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10.424377044198273</v>
      </c>
      <c r="BQ97" s="21">
        <f>EXP(-LN(2)/25)*BQ96+(1-EXP(-LN(2)/25))/(LN(2)/25)*Calculateur!BL97*Calculateur!BN97*VLOOKUP('Données projet'!$B$11,Paramètres!$A$1:$I$89,3,0)*0.475*44/12</f>
        <v>1.2380683012467544</v>
      </c>
      <c r="BR97" s="21">
        <f>EXP(-LN(2)/2)*BR96+(1-EXP(-LN(2)/2))/(LN(2)/2)*BL97*BO97*VLOOKUP('Données projet'!$B$11,Paramètres!$A$1:$I$89,3,0)*0.475*44/12</f>
        <v>1.0010432520887968E-10</v>
      </c>
      <c r="BS97" s="22">
        <f t="shared" si="63"/>
        <v>11.662445345545132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6.0384615384615357</v>
      </c>
      <c r="BY97" s="12">
        <f>IF('Données projet'!$A$114&gt;35,BY96+BX97-CG96,IF(A97&lt;'Données projet'!$A$114,$BV$205^A97,IF(A97='Données projet'!$A$114,'Données projet'!$B$114,BY96+BX97-CG96)))</f>
        <v>235.33974358974382</v>
      </c>
      <c r="BZ97" s="13">
        <f>BY97*VLOOKUP('Données projet'!$B$12,Paramètres!$A$1:$I$89,3,0)*VLOOKUP('Données projet'!$B$12,Paramètres!$A$1:$I$89,5,0)</f>
        <v>212.93540000000021</v>
      </c>
      <c r="CA97" s="13">
        <f t="shared" si="93"/>
        <v>52.576525303639997</v>
      </c>
      <c r="CB97" s="20">
        <f t="shared" si="64"/>
        <v>462.43326990384003</v>
      </c>
      <c r="CC97" s="59">
        <f t="shared" si="65"/>
        <v>755.76660323717329</v>
      </c>
      <c r="CD97" s="59">
        <f ca="1">AVERAGE(OFFSET($CC$3,0,0,'Données projet'!$E$12+1,1))-AVERAGE(OFFSET($H$3,0,0,'Données projet'!$E$12+1,1))</f>
        <v>437.94387006020412</v>
      </c>
      <c r="CE97" s="59">
        <f t="shared" si="94"/>
        <v>213.95083535531376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9.9120787028149202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9.9120787028149202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7.1523076923076925</v>
      </c>
      <c r="CT97" s="12">
        <f>IF('Données projet'!$A$140&gt;35,CT96+CS97-DB96,IF(A97&lt;'Données projet'!$A$140,$CQ$205^A97,IF(A97='Données projet'!$A$140,'Données projet'!$B$140,CT96+CS97-DB96)))</f>
        <v>355.19384615384632</v>
      </c>
      <c r="CU97" s="17">
        <f>CT97*VLOOKUP('Données projet'!$B$13,Paramètres!$A$1:$I$89,3,0)*VLOOKUP('Données projet'!$B$13,Paramètres!$A$1:$I$89,5,0)</f>
        <v>170.84824000000009</v>
      </c>
      <c r="CV97" s="13">
        <f t="shared" si="95"/>
        <v>43.279946061232884</v>
      </c>
      <c r="CW97" s="20">
        <f t="shared" si="67"/>
        <v>372.93992405664744</v>
      </c>
      <c r="CX97" s="59">
        <f t="shared" si="68"/>
        <v>666.2732573899807</v>
      </c>
      <c r="CY97" s="59">
        <f ca="1">AVERAGE(OFFSET($CX$3,0,0,'Données projet'!$E$13+1,1))-AVERAGE(OFFSET($H$3,0,0,'Données projet'!$E$13+1,1))</f>
        <v>258.42493116335032</v>
      </c>
      <c r="CZ97" s="59">
        <f t="shared" si="96"/>
        <v>102.46122697336466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61.195107591415351</v>
      </c>
      <c r="DG97" s="21">
        <f>EXP(-LN(2)/25)*DG96+(1-EXP(-LN(2)/25))/(LN(2)/25)*Calculateur!DB97*Calculateur!DD97*VLOOKUP('Données projet'!$B$13,Paramètres!$A$1:$I$89,3,0)*0.475*44/12</f>
        <v>18.585370856501036</v>
      </c>
      <c r="DH97" s="21">
        <f>EXP(-LN(2)/2)*DH96+(1-EXP(-LN(2)/2))/(LN(2)/2)*DB97*DE97*VLOOKUP('Données projet'!$B$13,Paramètres!$A$1:$I$89,3,0)*0.475*44/12</f>
        <v>1.1038600597047041</v>
      </c>
      <c r="DI97" s="22">
        <f t="shared" si="69"/>
        <v>80.884338507621081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3</v>
      </c>
      <c r="DO97" s="12">
        <f>IF('Données projet'!$A$166&gt;35,DO96+DN97-DW96,IF(A97&lt;'Données projet'!$A$166,$DL$205^A97,IF(A97='Données projet'!$A$166,'Données projet'!$B$166,DO96+DN97-DW96)))</f>
        <v>249</v>
      </c>
      <c r="DP97" s="17">
        <f>DO97*VLOOKUP('Données projet'!$B$14,Paramètres!$A$1:$I$89,3,0)*VLOOKUP('Données projet'!$B$14,Paramètres!$A$1:$I$89,5,0)</f>
        <v>217.52640000000005</v>
      </c>
      <c r="DQ97" s="13">
        <f t="shared" si="97"/>
        <v>53.576907690651254</v>
      </c>
      <c r="DR97" s="20">
        <f t="shared" si="70"/>
        <v>472.17159422788433</v>
      </c>
      <c r="DS97" s="59">
        <f t="shared" si="71"/>
        <v>765.50492756121764</v>
      </c>
      <c r="DT97" s="59">
        <f ca="1">AVERAGE(OFFSET($DS$3,0,0,'Données projet'!$E$14+1,1))-AVERAGE(OFFSET($H$3,0,0,'Données projet'!$E$14+1,1))</f>
        <v>354.24684313982857</v>
      </c>
      <c r="DU97" s="59">
        <f t="shared" si="98"/>
        <v>322.65043486962185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23.204580026297311</v>
      </c>
      <c r="EB97" s="21">
        <f>EXP(-LN(2)/25)*EB96+(1-EXP(-LN(2)/25))/(LN(2)/25)*Calculateur!DW97*Calculateur!DY97*VLOOKUP('Données projet'!$B$14,Paramètres!$A$1:$I$89,3,0)*0.475*44/12</f>
        <v>15.392588348049102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38.59716837434641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-6.7984728957526396E-14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355.09162485318728</v>
      </c>
      <c r="T98" s="59">
        <f t="shared" si="88"/>
        <v>320.06572891923685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122.41123736546484</v>
      </c>
      <c r="AA98" s="21">
        <f>EXP(-LN(2)/25)*AA97+(1-EXP(-LN(2)/25))/(LN(2)/25)*Calculateur!V98*Calculateur!X98*VLOOKUP('Données projet'!$B$9,Paramètres!$A$1:$I$89,3,0)*0.475*44/12</f>
        <v>25.039843679016762</v>
      </c>
      <c r="AB98" s="21">
        <f>EXP(-LN(2)/2)*AB97+(1-EXP(-LN(2)/2))/(LN(2)/2)*V98*Y98*VLOOKUP('Données projet'!$B$9,Paramètres!$A$1:$I$89,3,0)*0.475*44/12</f>
        <v>6.4482249178935663E-2</v>
      </c>
      <c r="AC98" s="22">
        <f t="shared" si="57"/>
        <v>147.51556329366053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8.1391025641025667</v>
      </c>
      <c r="AI98" s="13">
        <f>IF('Données projet'!$A$62&gt;35,AI97+AH98-AQ97,IF(A98&lt;'Données projet'!$A$62,$AF$205^A98,IF(A98='Données projet'!$A$62,'Données projet'!$B$62,AI97+AH98-AQ97)))</f>
        <v>365.31282051282085</v>
      </c>
      <c r="AJ98" s="13">
        <f>AI98*VLOOKUP('Données projet'!$B$10,Paramètres!$A$1:$I$89,3,0)*VLOOKUP('Données projet'!$B$10,Paramètres!$A$1:$I$89,5,0)</f>
        <v>170.96640000000016</v>
      </c>
      <c r="AK98" s="13">
        <f t="shared" si="89"/>
        <v>43.306393578795678</v>
      </c>
      <c r="AL98" s="20">
        <f t="shared" si="58"/>
        <v>373.19178214973607</v>
      </c>
      <c r="AM98" s="59">
        <f t="shared" si="59"/>
        <v>666.52511548306938</v>
      </c>
      <c r="AN98" s="59">
        <f ca="1">AVERAGE(OFFSET($AM$3,0,0,'Données projet'!$E$10+1,1))-AVERAGE(OFFSET($H$3,0,0,'Données projet'!$E$10+1,1))</f>
        <v>246.72166704460847</v>
      </c>
      <c r="AO98" s="59">
        <f t="shared" si="90"/>
        <v>145.54897745089966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44.357579911972195</v>
      </c>
      <c r="AV98" s="21">
        <f>EXP(-LN(2)/25)*AV97+(1-EXP(-LN(2)/25))/(LN(2)/25)*Calculateur!AQ98*Calculateur!AS98*VLOOKUP('Données projet'!$B$10,Paramètres!$A$1:$I$89,3,0)*0.475*44/12</f>
        <v>14.781549436872174</v>
      </c>
      <c r="AW98" s="21">
        <f>EXP(-LN(2)/2)*AW97+(1-EXP(-LN(2)/2))/(LN(2)/2)*AQ98*AT98*VLOOKUP('Données projet'!$B$10,Paramètres!$A$1:$I$89,3,0)*0.475*44/12</f>
        <v>0.36852113037284473</v>
      </c>
      <c r="AX98" s="21">
        <f t="shared" si="60"/>
        <v>59.507650479217219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88.478637356802039</v>
      </c>
      <c r="BJ98" s="59">
        <f t="shared" si="92"/>
        <v>239.55411297259155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10.219961368603718</v>
      </c>
      <c r="BQ98" s="21">
        <f>EXP(-LN(2)/25)*BQ97+(1-EXP(-LN(2)/25))/(LN(2)/25)*Calculateur!BL98*Calculateur!BN98*VLOOKUP('Données projet'!$B$11,Paramètres!$A$1:$I$89,3,0)*0.475*44/12</f>
        <v>1.2042132584419796</v>
      </c>
      <c r="BR98" s="21">
        <f>EXP(-LN(2)/2)*BR97+(1-EXP(-LN(2)/2))/(LN(2)/2)*BL98*BO98*VLOOKUP('Données projet'!$B$11,Paramètres!$A$1:$I$89,3,0)*0.475*44/12</f>
        <v>7.0784447181302276E-11</v>
      </c>
      <c r="BS98" s="22">
        <f t="shared" si="63"/>
        <v>11.424174627116482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6.0384615384615357</v>
      </c>
      <c r="BY98" s="12">
        <f>IF('Données projet'!$A$114&gt;35,BY97+BX98-CG97,IF(A98&lt;'Données projet'!$A$114,$BV$205^A98,IF(A98='Données projet'!$A$114,'Données projet'!$B$114,BY97+BX98-CG97)))</f>
        <v>241.37820512820537</v>
      </c>
      <c r="BZ98" s="13">
        <f>BY98*VLOOKUP('Données projet'!$B$12,Paramètres!$A$1:$I$89,3,0)*VLOOKUP('Données projet'!$B$12,Paramètres!$A$1:$I$89,5,0)</f>
        <v>218.3990000000002</v>
      </c>
      <c r="CA98" s="13">
        <f t="shared" si="93"/>
        <v>53.766768502138106</v>
      </c>
      <c r="CB98" s="20">
        <f t="shared" si="64"/>
        <v>474.02204680789083</v>
      </c>
      <c r="CC98" s="59">
        <f t="shared" si="65"/>
        <v>767.35538014122415</v>
      </c>
      <c r="CD98" s="59">
        <f ca="1">AVERAGE(OFFSET($CC$3,0,0,'Données projet'!$E$12+1,1))-AVERAGE(OFFSET($H$3,0,0,'Données projet'!$E$12+1,1))</f>
        <v>437.94387006020412</v>
      </c>
      <c r="CE98" s="59">
        <f t="shared" si="94"/>
        <v>213.95083535531376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9.7177088852237574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9.7177088852237574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7.1523076923076925</v>
      </c>
      <c r="CT98" s="12">
        <f>IF('Données projet'!$A$140&gt;35,CT97+CS98-DB97,IF(A98&lt;'Données projet'!$A$140,$CQ$205^A98,IF(A98='Données projet'!$A$140,'Données projet'!$B$140,CT97+CS98-DB97)))</f>
        <v>362.34615384615404</v>
      </c>
      <c r="CU98" s="17">
        <f>CT98*VLOOKUP('Données projet'!$B$13,Paramètres!$A$1:$I$89,3,0)*VLOOKUP('Données projet'!$B$13,Paramètres!$A$1:$I$89,5,0)</f>
        <v>174.28850000000011</v>
      </c>
      <c r="CV98" s="13">
        <f t="shared" si="95"/>
        <v>44.049107829597233</v>
      </c>
      <c r="CW98" s="20">
        <f t="shared" si="67"/>
        <v>380.27133363654866</v>
      </c>
      <c r="CX98" s="59">
        <f t="shared" si="68"/>
        <v>673.60466696988192</v>
      </c>
      <c r="CY98" s="59">
        <f ca="1">AVERAGE(OFFSET($CX$3,0,0,'Données projet'!$E$13+1,1))-AVERAGE(OFFSET($H$3,0,0,'Données projet'!$E$13+1,1))</f>
        <v>258.42493116335032</v>
      </c>
      <c r="CZ98" s="59">
        <f t="shared" si="96"/>
        <v>102.46122697336466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59.995108856877756</v>
      </c>
      <c r="DG98" s="21">
        <f>EXP(-LN(2)/25)*DG97+(1-EXP(-LN(2)/25))/(LN(2)/25)*Calculateur!DB98*Calculateur!DD98*VLOOKUP('Données projet'!$B$13,Paramètres!$A$1:$I$89,3,0)*0.475*44/12</f>
        <v>18.077152913067838</v>
      </c>
      <c r="DH98" s="21">
        <f>EXP(-LN(2)/2)*DH97+(1-EXP(-LN(2)/2))/(LN(2)/2)*DB98*DE98*VLOOKUP('Données projet'!$B$13,Paramètres!$A$1:$I$89,3,0)*0.475*44/12</f>
        <v>0.78054693369818351</v>
      </c>
      <c r="DI98" s="22">
        <f t="shared" si="69"/>
        <v>78.852808703643788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>
        <f>VLOOKUP(A98,'Données projet'!$A$165:$I$185,2,0)</f>
        <v>252</v>
      </c>
      <c r="DM98" s="12">
        <f>VLOOKUP(A98,'Données projet'!$A$165:$I$185,9,0)</f>
        <v>3</v>
      </c>
      <c r="DN98" s="12">
        <f t="array" ref="DN98">INDEX(DM:DM,MIN(IF(ISNUMBER(DM98:DM294),ROW(DM98:DM294),"")))</f>
        <v>3</v>
      </c>
      <c r="DO98" s="12">
        <f>IF('Données projet'!$A$166&gt;35,DO97+DN98-DW97,IF(A98&lt;'Données projet'!$A$166,$DL$205^A98,IF(A98='Données projet'!$A$166,'Données projet'!$B$166,DO97+DN98-DW97)))</f>
        <v>252</v>
      </c>
      <c r="DP98" s="17">
        <f>DO98*VLOOKUP('Données projet'!$B$14,Paramètres!$A$1:$I$89,3,0)*VLOOKUP('Données projet'!$B$14,Paramètres!$A$1:$I$89,5,0)</f>
        <v>220.14720000000003</v>
      </c>
      <c r="DQ98" s="13">
        <f t="shared" si="97"/>
        <v>54.146877667769687</v>
      </c>
      <c r="DR98" s="20">
        <f t="shared" si="70"/>
        <v>477.72885193803222</v>
      </c>
      <c r="DS98" s="59">
        <f t="shared" si="71"/>
        <v>771.06218527136548</v>
      </c>
      <c r="DT98" s="59">
        <f ca="1">AVERAGE(OFFSET($DS$3,0,0,'Données projet'!$E$14+1,1))-AVERAGE(OFFSET($H$3,0,0,'Données projet'!$E$14+1,1))</f>
        <v>354.24684313982857</v>
      </c>
      <c r="DU98" s="59">
        <f t="shared" si="98"/>
        <v>322.65043486962185</v>
      </c>
      <c r="DV98" s="15">
        <f>IF(ISNA(VLOOKUP(A98,'Données projet'!$A$165:$I$185,3,0)),0,VLOOKUP(A98,'Données projet'!$A$165:$I$185,3,0))</f>
        <v>16</v>
      </c>
      <c r="DW98" s="15" t="str">
        <f>IF(ISNA(VLOOKUP(A98,'Données projet'!$A$165:$I$185,4,0)),0,VLOOKUP(A98,'Données projet'!$A$165:$I$185,4,0))</f>
        <v>12</v>
      </c>
      <c r="DX98" s="16">
        <f>IF(ISNA(VLOOKUP(A98,'Données projet'!$A$165:$I$185,5,0)),0%,VLOOKUP(A98,'Données projet'!$A$165:$I$185,5,0)*VLOOKUP('Données projet'!$B$14,Paramètres!$A$1:$I$89,7,0))</f>
        <v>0.30099999999999999</v>
      </c>
      <c r="DY98" s="16">
        <f>IF(ISNA(VLOOKUP(A98,'Données projet'!$A$165:$I$185,6,0)),0%,VLOOKUP(A98,'Données projet'!$A$165:$I$185,6,0)*VLOOKUP('Données projet'!$B$14,Paramètres!$A$1:$I$89,7,0))</f>
        <v>8.6000000000000007E-2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26.237801357276574</v>
      </c>
      <c r="EB98" s="21">
        <f>EXP(-LN(2)/25)*EB97+(1-EXP(-LN(2)/25))/(LN(2)/25)*Calculateur!DW98*Calculateur!DY98*VLOOKUP('Données projet'!$B$14,Paramètres!$A$1:$I$89,3,0)*0.475*44/12</f>
        <v>15.964395617779372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42.202196975055948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-6.7984728957526396E-14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355.09162485318728</v>
      </c>
      <c r="T99" s="59">
        <f t="shared" si="88"/>
        <v>320.06572891923685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120.01082766421047</v>
      </c>
      <c r="AA99" s="21">
        <f>EXP(-LN(2)/25)*AA98+(1-EXP(-LN(2)/25))/(LN(2)/25)*Calculateur!V99*Calculateur!X99*VLOOKUP('Données projet'!$B$9,Paramètres!$A$1:$I$89,3,0)*0.475*44/12</f>
        <v>24.355127836825901</v>
      </c>
      <c r="AB99" s="21">
        <f>EXP(-LN(2)/2)*AB98+(1-EXP(-LN(2)/2))/(LN(2)/2)*V99*Y99*VLOOKUP('Données projet'!$B$9,Paramètres!$A$1:$I$89,3,0)*0.475*44/12</f>
        <v>4.5595835660586094E-2</v>
      </c>
      <c r="AC99" s="22">
        <f t="shared" si="57"/>
        <v>144.41155133669693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8.1391025641025667</v>
      </c>
      <c r="AI99" s="13">
        <f>IF('Données projet'!$A$62&gt;35,AI98+AH99-AQ98,IF(A99&lt;'Données projet'!$A$62,$AF$205^A99,IF(A99='Données projet'!$A$62,'Données projet'!$B$62,AI98+AH99-AQ98)))</f>
        <v>373.45192307692344</v>
      </c>
      <c r="AJ99" s="13">
        <f>AI99*VLOOKUP('Données projet'!$B$10,Paramètres!$A$1:$I$89,3,0)*VLOOKUP('Données projet'!$B$10,Paramètres!$A$1:$I$89,5,0)</f>
        <v>174.77550000000016</v>
      </c>
      <c r="AK99" s="13">
        <f t="shared" si="89"/>
        <v>44.157846118321132</v>
      </c>
      <c r="AL99" s="20">
        <f t="shared" si="58"/>
        <v>381.30891115607625</v>
      </c>
      <c r="AM99" s="59">
        <f t="shared" si="59"/>
        <v>674.64224448940956</v>
      </c>
      <c r="AN99" s="59">
        <f ca="1">AVERAGE(OFFSET($AM$3,0,0,'Données projet'!$E$10+1,1))-AVERAGE(OFFSET($H$3,0,0,'Données projet'!$E$10+1,1))</f>
        <v>246.72166704460847</v>
      </c>
      <c r="AO99" s="59">
        <f t="shared" si="90"/>
        <v>145.54897745089966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43.487754825350663</v>
      </c>
      <c r="AV99" s="21">
        <f>EXP(-LN(2)/25)*AV98+(1-EXP(-LN(2)/25))/(LN(2)/25)*Calculateur!AQ99*Calculateur!AS99*VLOOKUP('Données projet'!$B$10,Paramètres!$A$1:$I$89,3,0)*0.475*44/12</f>
        <v>14.377347190193003</v>
      </c>
      <c r="AW99" s="21">
        <f>EXP(-LN(2)/2)*AW98+(1-EXP(-LN(2)/2))/(LN(2)/2)*AQ99*AT99*VLOOKUP('Données projet'!$B$10,Paramètres!$A$1:$I$89,3,0)*0.475*44/12</f>
        <v>0.26058379029717027</v>
      </c>
      <c r="AX99" s="21">
        <f t="shared" si="60"/>
        <v>58.125685805840838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88.478637356802039</v>
      </c>
      <c r="BJ99" s="59">
        <f t="shared" si="92"/>
        <v>239.55411297259155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10.01955415972632</v>
      </c>
      <c r="BQ99" s="21">
        <f>EXP(-LN(2)/25)*BQ98+(1-EXP(-LN(2)/25))/(LN(2)/25)*Calculateur!BL99*Calculateur!BN99*VLOOKUP('Données projet'!$B$11,Paramètres!$A$1:$I$89,3,0)*0.475*44/12</f>
        <v>1.1712839835630606</v>
      </c>
      <c r="BR99" s="21">
        <f>EXP(-LN(2)/2)*BR98+(1-EXP(-LN(2)/2))/(LN(2)/2)*BL99*BO99*VLOOKUP('Données projet'!$B$11,Paramètres!$A$1:$I$89,3,0)*0.475*44/12</f>
        <v>5.0052162604439839E-11</v>
      </c>
      <c r="BS99" s="22">
        <f t="shared" si="63"/>
        <v>11.190838143339434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6.0384615384615357</v>
      </c>
      <c r="BY99" s="12">
        <f>IF('Données projet'!$A$114&gt;35,BY98+BX99-CG98,IF(A99&lt;'Données projet'!$A$114,$BV$205^A99,IF(A99='Données projet'!$A$114,'Données projet'!$B$114,BY98+BX99-CG98)))</f>
        <v>247.41666666666691</v>
      </c>
      <c r="BZ99" s="13">
        <f>BY99*VLOOKUP('Données projet'!$B$12,Paramètres!$A$1:$I$89,3,0)*VLOOKUP('Données projet'!$B$12,Paramètres!$A$1:$I$89,5,0)</f>
        <v>223.86260000000021</v>
      </c>
      <c r="CA99" s="13">
        <f t="shared" si="93"/>
        <v>54.953550453171204</v>
      </c>
      <c r="CB99" s="20">
        <f t="shared" si="64"/>
        <v>485.60479537260682</v>
      </c>
      <c r="CC99" s="59">
        <f t="shared" si="65"/>
        <v>778.93812870594013</v>
      </c>
      <c r="CD99" s="59">
        <f ca="1">AVERAGE(OFFSET($CC$3,0,0,'Données projet'!$E$12+1,1))-AVERAGE(OFFSET($H$3,0,0,'Données projet'!$E$12+1,1))</f>
        <v>437.94387006020412</v>
      </c>
      <c r="CE99" s="59">
        <f t="shared" si="94"/>
        <v>213.95083535531376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9.5271505412016761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9.5271505412016761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7.1523076923076925</v>
      </c>
      <c r="CT99" s="12">
        <f>IF('Données projet'!$A$140&gt;35,CT98+CS99-DB98,IF(A99&lt;'Données projet'!$A$140,$CQ$205^A99,IF(A99='Données projet'!$A$140,'Données projet'!$B$140,CT98+CS99-DB98)))</f>
        <v>369.49846153846175</v>
      </c>
      <c r="CU99" s="17">
        <f>CT99*VLOOKUP('Données projet'!$B$13,Paramètres!$A$1:$I$89,3,0)*VLOOKUP('Données projet'!$B$13,Paramètres!$A$1:$I$89,5,0)</f>
        <v>177.72876000000014</v>
      </c>
      <c r="CV99" s="13">
        <f t="shared" si="95"/>
        <v>44.816504274907622</v>
      </c>
      <c r="CW99" s="20">
        <f t="shared" si="67"/>
        <v>387.59966861213098</v>
      </c>
      <c r="CX99" s="59">
        <f t="shared" si="68"/>
        <v>680.9330019454643</v>
      </c>
      <c r="CY99" s="59">
        <f ca="1">AVERAGE(OFFSET($CX$3,0,0,'Données projet'!$E$13+1,1))-AVERAGE(OFFSET($H$3,0,0,'Données projet'!$E$13+1,1))</f>
        <v>258.42493116335032</v>
      </c>
      <c r="CZ99" s="59">
        <f t="shared" si="96"/>
        <v>102.46122697336466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58.818641365597486</v>
      </c>
      <c r="DG99" s="21">
        <f>EXP(-LN(2)/25)*DG98+(1-EXP(-LN(2)/25))/(LN(2)/25)*Calculateur!DB99*Calculateur!DD99*VLOOKUP('Données projet'!$B$13,Paramètres!$A$1:$I$89,3,0)*0.475*44/12</f>
        <v>17.582832216023842</v>
      </c>
      <c r="DH99" s="21">
        <f>EXP(-LN(2)/2)*DH98+(1-EXP(-LN(2)/2))/(LN(2)/2)*DB99*DE99*VLOOKUP('Données projet'!$B$13,Paramètres!$A$1:$I$89,3,0)*0.475*44/12</f>
        <v>0.55193002985235207</v>
      </c>
      <c r="DI99" s="22">
        <f t="shared" si="69"/>
        <v>76.953403611473689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3</v>
      </c>
      <c r="DO99" s="12">
        <f>IF('Données projet'!$A$166&gt;35,DO98+DN99-DW98,IF(A99&lt;'Données projet'!$A$166,$DL$205^A99,IF(A99='Données projet'!$A$166,'Données projet'!$B$166,DO98+DN99-DW98)))</f>
        <v>243</v>
      </c>
      <c r="DP99" s="17">
        <f>DO99*VLOOKUP('Données projet'!$B$14,Paramètres!$A$1:$I$89,3,0)*VLOOKUP('Données projet'!$B$14,Paramètres!$A$1:$I$89,5,0)</f>
        <v>212.28480000000002</v>
      </c>
      <c r="DQ99" s="13">
        <f t="shared" si="97"/>
        <v>52.434557099704193</v>
      </c>
      <c r="DR99" s="20">
        <f t="shared" si="70"/>
        <v>461.05288028198476</v>
      </c>
      <c r="DS99" s="59">
        <f t="shared" si="71"/>
        <v>754.38621361531807</v>
      </c>
      <c r="DT99" s="59">
        <f ca="1">AVERAGE(OFFSET($DS$3,0,0,'Données projet'!$E$14+1,1))-AVERAGE(OFFSET($H$3,0,0,'Données projet'!$E$14+1,1))</f>
        <v>354.24684313982857</v>
      </c>
      <c r="DU99" s="59">
        <f t="shared" si="98"/>
        <v>322.65043486962185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25.723294076138995</v>
      </c>
      <c r="EB99" s="21">
        <f>EXP(-LN(2)/25)*EB98+(1-EXP(-LN(2)/25))/(LN(2)/25)*Calculateur!DW99*Calculateur!DY99*VLOOKUP('Données projet'!$B$14,Paramètres!$A$1:$I$89,3,0)*0.475*44/12</f>
        <v>15.527848380080117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41.251142456219114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-6.7984728957526396E-14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355.09162485318728</v>
      </c>
      <c r="T100" s="59">
        <f t="shared" si="88"/>
        <v>320.06572891923685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117.65748853309233</v>
      </c>
      <c r="AA100" s="21">
        <f>EXP(-LN(2)/25)*AA99+(1-EXP(-LN(2)/25))/(LN(2)/25)*Calculateur!V100*Calculateur!X100*VLOOKUP('Données projet'!$B$9,Paramètres!$A$1:$I$89,3,0)*0.475*44/12</f>
        <v>23.689135585347387</v>
      </c>
      <c r="AB100" s="21">
        <f>EXP(-LN(2)/2)*AB99+(1-EXP(-LN(2)/2))/(LN(2)/2)*V100*Y100*VLOOKUP('Données projet'!$B$9,Paramètres!$A$1:$I$89,3,0)*0.475*44/12</f>
        <v>3.2241124589467832E-2</v>
      </c>
      <c r="AC100" s="22">
        <f t="shared" si="57"/>
        <v>141.37886524302917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8.1391025641025667</v>
      </c>
      <c r="AI100" s="13">
        <f>IF('Données projet'!$A$62&gt;35,AI99+AH100-AQ99,IF(A100&lt;'Données projet'!$A$62,$AF$205^A100,IF(A100='Données projet'!$A$62,'Données projet'!$B$62,AI99+AH100-AQ99)))</f>
        <v>381.59102564102602</v>
      </c>
      <c r="AJ100" s="13">
        <f>AI100*VLOOKUP('Données projet'!$B$10,Paramètres!$A$1:$I$89,3,0)*VLOOKUP('Données projet'!$B$10,Paramètres!$A$1:$I$89,5,0)</f>
        <v>178.58460000000019</v>
      </c>
      <c r="AK100" s="13">
        <f t="shared" si="89"/>
        <v>45.007141207375291</v>
      </c>
      <c r="AL100" s="20">
        <f t="shared" si="58"/>
        <v>389.4222826028456</v>
      </c>
      <c r="AM100" s="59">
        <f t="shared" si="59"/>
        <v>682.75561593617886</v>
      </c>
      <c r="AN100" s="59">
        <f ca="1">AVERAGE(OFFSET($AM$3,0,0,'Données projet'!$E$10+1,1))-AVERAGE(OFFSET($H$3,0,0,'Données projet'!$E$10+1,1))</f>
        <v>246.72166704460847</v>
      </c>
      <c r="AO100" s="59">
        <f t="shared" si="90"/>
        <v>145.54897745089966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42.634986478136859</v>
      </c>
      <c r="AV100" s="21">
        <f>EXP(-LN(2)/25)*AV99+(1-EXP(-LN(2)/25))/(LN(2)/25)*Calculateur!AQ100*Calculateur!AS100*VLOOKUP('Données projet'!$B$10,Paramètres!$A$1:$I$89,3,0)*0.475*44/12</f>
        <v>13.984197875205346</v>
      </c>
      <c r="AW100" s="21">
        <f>EXP(-LN(2)/2)*AW99+(1-EXP(-LN(2)/2))/(LN(2)/2)*AQ100*AT100*VLOOKUP('Données projet'!$B$10,Paramètres!$A$1:$I$89,3,0)*0.475*44/12</f>
        <v>0.18426056518642236</v>
      </c>
      <c r="AX100" s="21">
        <f t="shared" si="60"/>
        <v>56.803444918528626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88.478637356802039</v>
      </c>
      <c r="BJ100" s="59">
        <f t="shared" si="92"/>
        <v>239.55411297259155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9.8230768139786822</v>
      </c>
      <c r="BQ100" s="21">
        <f>EXP(-LN(2)/25)*BQ99+(1-EXP(-LN(2)/25))/(LN(2)/25)*Calculateur!BL100*Calculateur!BN100*VLOOKUP('Données projet'!$B$11,Paramètres!$A$1:$I$89,3,0)*0.475*44/12</f>
        <v>1.1392551614373811</v>
      </c>
      <c r="BR100" s="21">
        <f>EXP(-LN(2)/2)*BR99+(1-EXP(-LN(2)/2))/(LN(2)/2)*BL100*BO100*VLOOKUP('Données projet'!$B$11,Paramètres!$A$1:$I$89,3,0)*0.475*44/12</f>
        <v>3.5392223590651138E-11</v>
      </c>
      <c r="BS100" s="22">
        <f t="shared" si="63"/>
        <v>10.962331975451455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6.0384615384615357</v>
      </c>
      <c r="BY100" s="12">
        <f>IF('Données projet'!$A$114&gt;35,BY99+BX100-CG99,IF(A100&lt;'Données projet'!$A$114,$BV$205^A100,IF(A100='Données projet'!$A$114,'Données projet'!$B$114,BY99+BX100-CG99)))</f>
        <v>253.45512820512846</v>
      </c>
      <c r="BZ100" s="13">
        <f>BY100*VLOOKUP('Données projet'!$B$12,Paramètres!$A$1:$I$89,3,0)*VLOOKUP('Données projet'!$B$12,Paramètres!$A$1:$I$89,5,0)</f>
        <v>229.3262000000002</v>
      </c>
      <c r="CA100" s="13">
        <f t="shared" si="93"/>
        <v>56.136965350101207</v>
      </c>
      <c r="CB100" s="20">
        <f t="shared" si="64"/>
        <v>497.18167965142658</v>
      </c>
      <c r="CC100" s="59">
        <f t="shared" si="65"/>
        <v>790.51501298475989</v>
      </c>
      <c r="CD100" s="59">
        <f ca="1">AVERAGE(OFFSET($CC$3,0,0,'Données projet'!$E$12+1,1))-AVERAGE(OFFSET($H$3,0,0,'Données projet'!$E$12+1,1))</f>
        <v>437.94387006020412</v>
      </c>
      <c r="CE100" s="59">
        <f t="shared" si="94"/>
        <v>213.95083535531376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9.3403289300767547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9.3403289300767547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7.1523076923076925</v>
      </c>
      <c r="CT100" s="12">
        <f>IF('Données projet'!$A$140&gt;35,CT99+CS100-DB99,IF(A100&lt;'Données projet'!$A$140,$CQ$205^A100,IF(A100='Données projet'!$A$140,'Données projet'!$B$140,CT99+CS100-DB99)))</f>
        <v>376.65076923076947</v>
      </c>
      <c r="CU100" s="17">
        <f>CT100*VLOOKUP('Données projet'!$B$13,Paramètres!$A$1:$I$89,3,0)*VLOOKUP('Données projet'!$B$13,Paramètres!$A$1:$I$89,5,0)</f>
        <v>181.16902000000013</v>
      </c>
      <c r="CV100" s="13">
        <f t="shared" si="95"/>
        <v>45.582173507530889</v>
      </c>
      <c r="CW100" s="20">
        <f t="shared" si="67"/>
        <v>394.92499535894984</v>
      </c>
      <c r="CX100" s="59">
        <f t="shared" si="68"/>
        <v>688.25832869228316</v>
      </c>
      <c r="CY100" s="59">
        <f ca="1">AVERAGE(OFFSET($CX$3,0,0,'Données projet'!$E$13+1,1))-AVERAGE(OFFSET($H$3,0,0,'Données projet'!$E$13+1,1))</f>
        <v>258.42493116335032</v>
      </c>
      <c r="CZ100" s="59">
        <f t="shared" si="96"/>
        <v>102.46122697336466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57.66524368424691</v>
      </c>
      <c r="DG100" s="21">
        <f>EXP(-LN(2)/25)*DG99+(1-EXP(-LN(2)/25))/(LN(2)/25)*Calculateur!DB100*Calculateur!DD100*VLOOKUP('Données projet'!$B$13,Paramètres!$A$1:$I$89,3,0)*0.475*44/12</f>
        <v>17.10202874443571</v>
      </c>
      <c r="DH100" s="21">
        <f>EXP(-LN(2)/2)*DH99+(1-EXP(-LN(2)/2))/(LN(2)/2)*DB100*DE100*VLOOKUP('Données projet'!$B$13,Paramètres!$A$1:$I$89,3,0)*0.475*44/12</f>
        <v>0.39027346684909175</v>
      </c>
      <c r="DI100" s="22">
        <f t="shared" si="69"/>
        <v>75.157545895531712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3</v>
      </c>
      <c r="DO100" s="12">
        <f>IF('Données projet'!$A$166&gt;35,DO99+DN100-DW99,IF(A100&lt;'Données projet'!$A$166,$DL$205^A100,IF(A100='Données projet'!$A$166,'Données projet'!$B$166,DO99+DN100-DW99)))</f>
        <v>246</v>
      </c>
      <c r="DP100" s="17">
        <f>DO100*VLOOKUP('Données projet'!$B$14,Paramètres!$A$1:$I$89,3,0)*VLOOKUP('Données projet'!$B$14,Paramètres!$A$1:$I$89,5,0)</f>
        <v>214.90560000000005</v>
      </c>
      <c r="DQ100" s="13">
        <f t="shared" si="97"/>
        <v>53.006137800892326</v>
      </c>
      <c r="DR100" s="20">
        <f t="shared" si="70"/>
        <v>466.61294333655422</v>
      </c>
      <c r="DS100" s="59">
        <f t="shared" si="71"/>
        <v>759.94627666988754</v>
      </c>
      <c r="DT100" s="59">
        <f ca="1">AVERAGE(OFFSET($DS$3,0,0,'Données projet'!$E$14+1,1))-AVERAGE(OFFSET($H$3,0,0,'Données projet'!$E$14+1,1))</f>
        <v>354.24684313982857</v>
      </c>
      <c r="DU100" s="59">
        <f t="shared" si="98"/>
        <v>322.65043486962185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25.218875968966071</v>
      </c>
      <c r="EB100" s="21">
        <f>EXP(-LN(2)/25)*EB99+(1-EXP(-LN(2)/25))/(LN(2)/25)*Calculateur!DW100*Calculateur!DY100*VLOOKUP('Données projet'!$B$14,Paramètres!$A$1:$I$89,3,0)*0.475*44/12</f>
        <v>15.103238549552769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40.322114518518838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-6.7984728957526396E-14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355.09162485318728</v>
      </c>
      <c r="T101" s="59">
        <f t="shared" si="88"/>
        <v>320.06572891923685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115.35029694694029</v>
      </c>
      <c r="AA101" s="21">
        <f>EXP(-LN(2)/25)*AA100+(1-EXP(-LN(2)/25))/(LN(2)/25)*Calculateur!V101*Calculateur!X101*VLOOKUP('Données projet'!$B$9,Paramètres!$A$1:$I$89,3,0)*0.475*44/12</f>
        <v>23.041354927008566</v>
      </c>
      <c r="AB101" s="21">
        <f>EXP(-LN(2)/2)*AB100+(1-EXP(-LN(2)/2))/(LN(2)/2)*V101*Y101*VLOOKUP('Données projet'!$B$9,Paramètres!$A$1:$I$89,3,0)*0.475*44/12</f>
        <v>2.2797917830293047E-2</v>
      </c>
      <c r="AC101" s="22">
        <f t="shared" si="57"/>
        <v>138.41444979177916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8.1391025641025667</v>
      </c>
      <c r="AI101" s="13">
        <f>IF('Données projet'!$A$62&gt;35,AI100+AH101-AQ100,IF(A101&lt;'Données projet'!$A$62,$AF$205^A101,IF(A101='Données projet'!$A$62,'Données projet'!$B$62,AI100+AH101-AQ100)))</f>
        <v>389.73012820512861</v>
      </c>
      <c r="AJ101" s="13">
        <f>AI101*VLOOKUP('Données projet'!$B$10,Paramètres!$A$1:$I$89,3,0)*VLOOKUP('Données projet'!$B$10,Paramètres!$A$1:$I$89,5,0)</f>
        <v>182.39370000000019</v>
      </c>
      <c r="AK101" s="13">
        <f t="shared" si="89"/>
        <v>45.854330163580819</v>
      </c>
      <c r="AL101" s="20">
        <f t="shared" si="58"/>
        <v>397.53198586823692</v>
      </c>
      <c r="AM101" s="59">
        <f t="shared" si="59"/>
        <v>690.86531920157017</v>
      </c>
      <c r="AN101" s="59">
        <f ca="1">AVERAGE(OFFSET($AM$3,0,0,'Données projet'!$E$10+1,1))-AVERAGE(OFFSET($H$3,0,0,'Données projet'!$E$10+1,1))</f>
        <v>246.72166704460847</v>
      </c>
      <c r="AO101" s="59">
        <f t="shared" si="90"/>
        <v>145.54897745089966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41.798940398074592</v>
      </c>
      <c r="AV101" s="21">
        <f>EXP(-LN(2)/25)*AV100+(1-EXP(-LN(2)/25))/(LN(2)/25)*Calculateur!AQ101*Calculateur!AS101*VLOOKUP('Données projet'!$B$10,Paramètres!$A$1:$I$89,3,0)*0.475*44/12</f>
        <v>13.601799248910851</v>
      </c>
      <c r="AW101" s="21">
        <f>EXP(-LN(2)/2)*AW100+(1-EXP(-LN(2)/2))/(LN(2)/2)*AQ101*AT101*VLOOKUP('Données projet'!$B$10,Paramètres!$A$1:$I$89,3,0)*0.475*44/12</f>
        <v>0.13029189514858514</v>
      </c>
      <c r="AX101" s="21">
        <f t="shared" si="60"/>
        <v>55.531031542134031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88.478637356802039</v>
      </c>
      <c r="BJ101" s="59">
        <f t="shared" si="92"/>
        <v>239.55411297259155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9.6304522691418075</v>
      </c>
      <c r="BQ101" s="21">
        <f>EXP(-LN(2)/25)*BQ100+(1-EXP(-LN(2)/25))/(LN(2)/25)*Calculateur!BL101*Calculateur!BN101*VLOOKUP('Données projet'!$B$11,Paramètres!$A$1:$I$89,3,0)*0.475*44/12</f>
        <v>1.1081021691370507</v>
      </c>
      <c r="BR101" s="21">
        <f>EXP(-LN(2)/2)*BR100+(1-EXP(-LN(2)/2))/(LN(2)/2)*BL101*BO101*VLOOKUP('Données projet'!$B$11,Paramètres!$A$1:$I$89,3,0)*0.475*44/12</f>
        <v>2.502608130221992E-11</v>
      </c>
      <c r="BS101" s="22">
        <f t="shared" si="63"/>
        <v>10.738554438303883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>
        <f>VLOOKUP(A101,'Données projet'!$A$113:$I$133,2,0)</f>
        <v>259.49358974358972</v>
      </c>
      <c r="BW101" s="12">
        <f>VLOOKUP(A101,'Données projet'!$A$113:$I$133,9,0)</f>
        <v>6.0384615384615357</v>
      </c>
      <c r="BX101" s="12">
        <f t="array" ref="BX101">INDEX(BW:BW,MIN(IF(ISNUMBER(BW101:BW297),ROW(BW101:BW297),"")))</f>
        <v>6.0384615384615357</v>
      </c>
      <c r="BY101" s="12">
        <f>IF('Données projet'!$A$114&gt;35,BY100+BX101-CG100,IF(A101&lt;'Données projet'!$A$114,$BV$205^A101,IF(A101='Données projet'!$A$114,'Données projet'!$B$114,BY100+BX101-CG100)))</f>
        <v>259.49358974359001</v>
      </c>
      <c r="BZ101" s="13">
        <f>BY101*VLOOKUP('Données projet'!$B$12,Paramètres!$A$1:$I$89,3,0)*VLOOKUP('Données projet'!$B$12,Paramètres!$A$1:$I$89,5,0)</f>
        <v>234.78980000000024</v>
      </c>
      <c r="CA101" s="13">
        <f t="shared" si="93"/>
        <v>57.317102642068768</v>
      </c>
      <c r="CB101" s="20">
        <f t="shared" si="64"/>
        <v>508.75285543493686</v>
      </c>
      <c r="CC101" s="59">
        <f t="shared" si="65"/>
        <v>802.08618876827018</v>
      </c>
      <c r="CD101" s="59">
        <f ca="1">AVERAGE(OFFSET($CC$3,0,0,'Données projet'!$E$12+1,1))-AVERAGE(OFFSET($H$3,0,0,'Données projet'!$E$12+1,1))</f>
        <v>437.94387006020412</v>
      </c>
      <c r="CE101" s="59">
        <f t="shared" si="94"/>
        <v>213.95083535531376</v>
      </c>
      <c r="CF101" s="15">
        <f>IF(ISNA(VLOOKUP(A101,'Données projet'!$A$113:$I$133,3,0)),0,VLOOKUP(A101,'Données projet'!$A$113:$I$133,3,0))</f>
        <v>8</v>
      </c>
      <c r="CG101" s="15">
        <f>IF(ISNA(VLOOKUP(A101,'Données projet'!$A$113:$I$133,4,0)),0,VLOOKUP(A101,'Données projet'!$A$113:$I$133,4,0))</f>
        <v>36.192307692307693</v>
      </c>
      <c r="CH101" s="16">
        <f>IF(ISNA(VLOOKUP(A101,'Données projet'!$A$113:$I$133,5,0)),0%,VLOOKUP(A101,'Données projet'!$A$113:$I$133,5,0)*VLOOKUP('Données projet'!$B$12,Paramètres!$A$1:$I$89,7,0))</f>
        <v>0.30099999999999999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20.053556621567431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20.053556621567431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7.1523076923076925</v>
      </c>
      <c r="CT101" s="12">
        <f>IF('Données projet'!$A$140&gt;35,CT100+CS101-DB100,IF(A101&lt;'Données projet'!$A$140,$CQ$205^A101,IF(A101='Données projet'!$A$140,'Données projet'!$B$140,CT100+CS101-DB100)))</f>
        <v>383.80307692307719</v>
      </c>
      <c r="CU101" s="17">
        <f>CT101*VLOOKUP('Données projet'!$B$13,Paramètres!$A$1:$I$89,3,0)*VLOOKUP('Données projet'!$B$13,Paramètres!$A$1:$I$89,5,0)</f>
        <v>184.60928000000013</v>
      </c>
      <c r="CV101" s="13">
        <f t="shared" si="95"/>
        <v>46.346152107639789</v>
      </c>
      <c r="CW101" s="20">
        <f t="shared" si="67"/>
        <v>402.24737758747284</v>
      </c>
      <c r="CX101" s="59">
        <f t="shared" si="68"/>
        <v>695.58071092080615</v>
      </c>
      <c r="CY101" s="59">
        <f ca="1">AVERAGE(OFFSET($CX$3,0,0,'Données projet'!$E$13+1,1))-AVERAGE(OFFSET($H$3,0,0,'Données projet'!$E$13+1,1))</f>
        <v>258.42493116335032</v>
      </c>
      <c r="CZ101" s="59">
        <f t="shared" si="96"/>
        <v>102.46122697336466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56.5344634279245</v>
      </c>
      <c r="DG101" s="21">
        <f>EXP(-LN(2)/25)*DG100+(1-EXP(-LN(2)/25))/(LN(2)/25)*Calculateur!DB101*Calculateur!DD101*VLOOKUP('Données projet'!$B$13,Paramètres!$A$1:$I$89,3,0)*0.475*44/12</f>
        <v>16.63437286906251</v>
      </c>
      <c r="DH101" s="21">
        <f>EXP(-LN(2)/2)*DH100+(1-EXP(-LN(2)/2))/(LN(2)/2)*DB101*DE101*VLOOKUP('Données projet'!$B$13,Paramètres!$A$1:$I$89,3,0)*0.475*44/12</f>
        <v>0.27596501492617603</v>
      </c>
      <c r="DI101" s="22">
        <f t="shared" si="69"/>
        <v>73.444801311913182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3</v>
      </c>
      <c r="DO101" s="12">
        <f>IF('Données projet'!$A$166&gt;35,DO100+DN101-DW100,IF(A101&lt;'Données projet'!$A$166,$DL$205^A101,IF(A101='Données projet'!$A$166,'Données projet'!$B$166,DO100+DN101-DW100)))</f>
        <v>249</v>
      </c>
      <c r="DP101" s="17">
        <f>DO101*VLOOKUP('Données projet'!$B$14,Paramètres!$A$1:$I$89,3,0)*VLOOKUP('Données projet'!$B$14,Paramètres!$A$1:$I$89,5,0)</f>
        <v>217.52640000000005</v>
      </c>
      <c r="DQ101" s="13">
        <f t="shared" si="97"/>
        <v>53.576907690651254</v>
      </c>
      <c r="DR101" s="20">
        <f t="shared" si="70"/>
        <v>472.17159422788433</v>
      </c>
      <c r="DS101" s="59">
        <f t="shared" si="71"/>
        <v>765.50492756121764</v>
      </c>
      <c r="DT101" s="59">
        <f ca="1">AVERAGE(OFFSET($DS$3,0,0,'Données projet'!$E$14+1,1))-AVERAGE(OFFSET($H$3,0,0,'Données projet'!$E$14+1,1))</f>
        <v>354.24684313982857</v>
      </c>
      <c r="DU101" s="59">
        <f t="shared" si="98"/>
        <v>322.65043486962185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24.724349193210141</v>
      </c>
      <c r="EB101" s="21">
        <f>EXP(-LN(2)/25)*EB100+(1-EXP(-LN(2)/25))/(LN(2)/25)*Calculateur!DW101*Calculateur!DY101*VLOOKUP('Données projet'!$B$14,Paramètres!$A$1:$I$89,3,0)*0.475*44/12</f>
        <v>14.690239697170451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39.414588890380593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-6.7984728957526396E-14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355.09162485318728</v>
      </c>
      <c r="T102" s="59">
        <f t="shared" si="88"/>
        <v>320.06572891923685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113.08834798054478</v>
      </c>
      <c r="AA102" s="21">
        <f>EXP(-LN(2)/25)*AA101+(1-EXP(-LN(2)/25))/(LN(2)/25)*Calculateur!V102*Calculateur!X102*VLOOKUP('Données projet'!$B$9,Paramètres!$A$1:$I$89,3,0)*0.475*44/12</f>
        <v>22.411287864837323</v>
      </c>
      <c r="AB102" s="21">
        <f>EXP(-LN(2)/2)*AB101+(1-EXP(-LN(2)/2))/(LN(2)/2)*V102*Y102*VLOOKUP('Données projet'!$B$9,Paramètres!$A$1:$I$89,3,0)*0.475*44/12</f>
        <v>1.6120562294733916E-2</v>
      </c>
      <c r="AC102" s="22">
        <f t="shared" si="57"/>
        <v>135.51575640767683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>
        <f>VLOOKUP(A102,'Données projet'!$A$61:$I$81,2,0)</f>
        <v>397.8692307692308</v>
      </c>
      <c r="AG102" s="12">
        <f>VLOOKUP(A102,'Données projet'!$A$61:$I$81,9,0)</f>
        <v>8.1391025641025667</v>
      </c>
      <c r="AH102" s="12">
        <f t="array" ref="AH102">INDEX(AG:AG,MIN(IF(ISNUMBER(AG102:AG298),ROW(AG102:AG298),"")))</f>
        <v>8.1391025641025667</v>
      </c>
      <c r="AI102" s="13">
        <f>IF('Données projet'!$A$62&gt;35,AI101+AH102-AQ101,IF(A102&lt;'Données projet'!$A$62,$AF$205^A102,IF(A102='Données projet'!$A$62,'Données projet'!$B$62,AI101+AH102-AQ101)))</f>
        <v>397.86923076923119</v>
      </c>
      <c r="AJ102" s="13">
        <f>AI102*VLOOKUP('Données projet'!$B$10,Paramètres!$A$1:$I$89,3,0)*VLOOKUP('Données projet'!$B$10,Paramètres!$A$1:$I$89,5,0)</f>
        <v>186.2028000000002</v>
      </c>
      <c r="AK102" s="13">
        <f t="shared" si="89"/>
        <v>46.699462038644228</v>
      </c>
      <c r="AL102" s="20">
        <f t="shared" si="58"/>
        <v>405.6381063839724</v>
      </c>
      <c r="AM102" s="59">
        <f t="shared" si="59"/>
        <v>698.97143971730566</v>
      </c>
      <c r="AN102" s="59">
        <f ca="1">AVERAGE(OFFSET($AM$3,0,0,'Données projet'!$E$10+1,1))-AVERAGE(OFFSET($H$3,0,0,'Données projet'!$E$10+1,1))</f>
        <v>246.72166704460847</v>
      </c>
      <c r="AO102" s="59">
        <f t="shared" si="90"/>
        <v>145.54897745089966</v>
      </c>
      <c r="AP102" s="15">
        <f>IF(ISNA(VLOOKUP(A102,'Données projet'!$A$61:$I$81,3,0)),0,VLOOKUP(A102,'Données projet'!$A$61:$I$81,3,0))</f>
        <v>5</v>
      </c>
      <c r="AQ102" s="15">
        <f>IF(ISNA(VLOOKUP(A102,'Données projet'!$A$61:$I$81,4,0)),0,VLOOKUP(A102,'Données projet'!$A$61:$I$81,4,0))</f>
        <v>198.32307692307691</v>
      </c>
      <c r="AR102" s="16">
        <f>IF(ISNA(VLOOKUP(A102,'Données projet'!$A$61:$I$81,5,0)),0%,VLOOKUP(A102,'Données projet'!$A$61:$I$81,5,0)*VLOOKUP('Données projet'!$B$10,Paramètres!$A$1:$I$89,7,0))</f>
        <v>0.38500000000000001</v>
      </c>
      <c r="AS102" s="16">
        <f>IF(ISNA(VLOOKUP(A102,'Données projet'!$A$61:$I$81,6,0)),0%,VLOOKUP(A102,'Données projet'!$A$61:$I$81,6,0)*VLOOKUP('Données projet'!$B$10,Paramètres!$A$1:$I$89,7,0))</f>
        <v>9.240000000000001E-2</v>
      </c>
      <c r="AT102" s="16">
        <f>IF(ISNA(VLOOKUP(A102,'Données projet'!$A$61:$I$81,7,0)),0%,VLOOKUP(A102,'Données projet'!$A$61:$I$81,7,0))</f>
        <v>0.13200000000000001</v>
      </c>
      <c r="AU102" s="21">
        <f>EXP(-LN(2)/35)*AU101+(1-EXP(-LN(2)/35))/(LN(2)/35)*AQ102*AR102*VLOOKUP('Données projet'!$B$10,Paramètres!$A$1:$I$89,3,0)*0.475*44/12</f>
        <v>88.382546590841713</v>
      </c>
      <c r="AV102" s="21">
        <f>EXP(-LN(2)/25)*AV101+(1-EXP(-LN(2)/25))/(LN(2)/25)*Calculateur!AQ102*Calculateur!AS102*VLOOKUP('Données projet'!$B$10,Paramètres!$A$1:$I$89,3,0)*0.475*44/12</f>
        <v>24.561844508518369</v>
      </c>
      <c r="AW102" s="21">
        <f>EXP(-LN(2)/2)*AW101+(1-EXP(-LN(2)/2))/(LN(2)/2)*AQ102*AT102*VLOOKUP('Données projet'!$B$10,Paramètres!$A$1:$I$89,3,0)*0.475*44/12</f>
        <v>13.963794745255166</v>
      </c>
      <c r="AX102" s="21">
        <f t="shared" si="60"/>
        <v>126.90818584461525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88.478637356802039</v>
      </c>
      <c r="BJ102" s="59">
        <f t="shared" si="92"/>
        <v>239.55411297259155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9.4416049741398123</v>
      </c>
      <c r="BQ102" s="21">
        <f>EXP(-LN(2)/25)*BQ101+(1-EXP(-LN(2)/25))/(LN(2)/25)*Calculateur!BL102*Calculateur!BN102*VLOOKUP('Données projet'!$B$11,Paramètres!$A$1:$I$89,3,0)*0.475*44/12</f>
        <v>1.0778010570494376</v>
      </c>
      <c r="BR102" s="21">
        <f>EXP(-LN(2)/2)*BR101+(1-EXP(-LN(2)/2))/(LN(2)/2)*BL102*BO102*VLOOKUP('Données projet'!$B$11,Paramètres!$A$1:$I$89,3,0)*0.475*44/12</f>
        <v>1.7696111795325569E-11</v>
      </c>
      <c r="BS102" s="22">
        <f t="shared" si="63"/>
        <v>10.519406031206946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5.9871794871794863</v>
      </c>
      <c r="BY102" s="12">
        <f>IF('Données projet'!$A$114&gt;35,BY101+BX102-CG101,IF(A102&lt;'Données projet'!$A$114,$BV$205^A102,IF(A102='Données projet'!$A$114,'Données projet'!$B$114,BY101+BX102-CG101)))</f>
        <v>229.28846153846183</v>
      </c>
      <c r="BZ102" s="13">
        <f>BY102*VLOOKUP('Données projet'!$B$12,Paramètres!$A$1:$I$89,3,0)*VLOOKUP('Données projet'!$B$12,Paramètres!$A$1:$I$89,5,0)</f>
        <v>207.46020000000027</v>
      </c>
      <c r="CA102" s="13">
        <f t="shared" si="93"/>
        <v>51.380183063564935</v>
      </c>
      <c r="CB102" s="20">
        <f t="shared" si="64"/>
        <v>450.81366716904267</v>
      </c>
      <c r="CC102" s="59">
        <f t="shared" si="65"/>
        <v>744.14700050237593</v>
      </c>
      <c r="CD102" s="59">
        <f ca="1">AVERAGE(OFFSET($CC$3,0,0,'Données projet'!$E$12+1,1))-AVERAGE(OFFSET($H$3,0,0,'Données projet'!$E$12+1,1))</f>
        <v>437.94387006020412</v>
      </c>
      <c r="CE102" s="59">
        <f t="shared" si="94"/>
        <v>213.95083535531376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19.660318607680278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19.660318607680278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7.1523076923076925</v>
      </c>
      <c r="CT102" s="12">
        <f>IF('Données projet'!$A$140&gt;35,CT101+CS102-DB101,IF(A102&lt;'Données projet'!$A$140,$CQ$205^A102,IF(A102='Données projet'!$A$140,'Données projet'!$B$140,CT101+CS102-DB101)))</f>
        <v>390.9553846153849</v>
      </c>
      <c r="CU102" s="17">
        <f>CT102*VLOOKUP('Données projet'!$B$13,Paramètres!$A$1:$I$89,3,0)*VLOOKUP('Données projet'!$B$13,Paramètres!$A$1:$I$89,5,0)</f>
        <v>188.04954000000012</v>
      </c>
      <c r="CV102" s="13">
        <f t="shared" si="95"/>
        <v>47.108475214003334</v>
      </c>
      <c r="CW102" s="20">
        <f t="shared" si="67"/>
        <v>409.56687649772266</v>
      </c>
      <c r="CX102" s="59">
        <f t="shared" si="68"/>
        <v>702.90020983105592</v>
      </c>
      <c r="CY102" s="59">
        <f ca="1">AVERAGE(OFFSET($CX$3,0,0,'Données projet'!$E$13+1,1))-AVERAGE(OFFSET($H$3,0,0,'Données projet'!$E$13+1,1))</f>
        <v>258.42493116335032</v>
      </c>
      <c r="CZ102" s="59">
        <f t="shared" si="96"/>
        <v>102.46122697336466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55.425857082720718</v>
      </c>
      <c r="DG102" s="21">
        <f>EXP(-LN(2)/25)*DG101+(1-EXP(-LN(2)/25))/(LN(2)/25)*Calculateur!DB102*Calculateur!DD102*VLOOKUP('Données projet'!$B$13,Paramètres!$A$1:$I$89,3,0)*0.475*44/12</f>
        <v>16.179505068194345</v>
      </c>
      <c r="DH102" s="21">
        <f>EXP(-LN(2)/2)*DH101+(1-EXP(-LN(2)/2))/(LN(2)/2)*DB102*DE102*VLOOKUP('Données projet'!$B$13,Paramètres!$A$1:$I$89,3,0)*0.475*44/12</f>
        <v>0.19513673342454588</v>
      </c>
      <c r="DI102" s="22">
        <f t="shared" si="69"/>
        <v>71.800498884339603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3</v>
      </c>
      <c r="DO102" s="12">
        <f>IF('Données projet'!$A$166&gt;35,DO101+DN102-DW101,IF(A102&lt;'Données projet'!$A$166,$DL$205^A102,IF(A102='Données projet'!$A$166,'Données projet'!$B$166,DO101+DN102-DW101)))</f>
        <v>252</v>
      </c>
      <c r="DP102" s="17">
        <f>DO102*VLOOKUP('Données projet'!$B$14,Paramètres!$A$1:$I$89,3,0)*VLOOKUP('Données projet'!$B$14,Paramètres!$A$1:$I$89,5,0)</f>
        <v>220.14720000000003</v>
      </c>
      <c r="DQ102" s="13">
        <f t="shared" si="97"/>
        <v>54.146877667769687</v>
      </c>
      <c r="DR102" s="20">
        <f t="shared" si="70"/>
        <v>477.72885193803222</v>
      </c>
      <c r="DS102" s="59">
        <f t="shared" si="71"/>
        <v>771.06218527136548</v>
      </c>
      <c r="DT102" s="59">
        <f ca="1">AVERAGE(OFFSET($DS$3,0,0,'Données projet'!$E$14+1,1))-AVERAGE(OFFSET($H$3,0,0,'Données projet'!$E$14+1,1))</f>
        <v>354.24684313982857</v>
      </c>
      <c r="DU102" s="59">
        <f t="shared" si="98"/>
        <v>322.65043486962185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24.239519785895236</v>
      </c>
      <c r="EB102" s="21">
        <f>EXP(-LN(2)/25)*EB101+(1-EXP(-LN(2)/25))/(LN(2)/25)*Calculateur!DW102*Calculateur!DY102*VLOOKUP('Données projet'!$B$14,Paramètres!$A$1:$I$89,3,0)*0.475*44/12</f>
        <v>14.288534320125194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38.528054106020434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-6.7984728957526396E-14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355.09162485318728</v>
      </c>
      <c r="T103" s="59">
        <f t="shared" si="88"/>
        <v>320.06572891923685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110.87075445372764</v>
      </c>
      <c r="AA103" s="21">
        <f>EXP(-LN(2)/25)*AA102+(1-EXP(-LN(2)/25))/(LN(2)/25)*Calculateur!V103*Calculateur!X103*VLOOKUP('Données projet'!$B$9,Paramètres!$A$1:$I$89,3,0)*0.475*44/12</f>
        <v>21.79845001961494</v>
      </c>
      <c r="AB103" s="21">
        <f>EXP(-LN(2)/2)*AB102+(1-EXP(-LN(2)/2))/(LN(2)/2)*V103*Y103*VLOOKUP('Données projet'!$B$9,Paramètres!$A$1:$I$89,3,0)*0.475*44/12</f>
        <v>1.1398958915146523E-2</v>
      </c>
      <c r="AC103" s="22">
        <f t="shared" si="57"/>
        <v>132.68060343225773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5.6546153846153828</v>
      </c>
      <c r="AI103" s="13">
        <f>IF('Données projet'!$A$62&gt;35,AI102+AH103-AQ102,IF(A103&lt;'Données projet'!$A$62,$AF$205^A103,IF(A103='Données projet'!$A$62,'Données projet'!$B$62,AI102+AH103-AQ102)))</f>
        <v>205.20076923076968</v>
      </c>
      <c r="AJ103" s="13">
        <f>AI103*VLOOKUP('Données projet'!$B$10,Paramètres!$A$1:$I$89,3,0)*VLOOKUP('Données projet'!$B$10,Paramètres!$A$1:$I$89,5,0)</f>
        <v>96.033960000000206</v>
      </c>
      <c r="AK103" s="13">
        <f t="shared" si="89"/>
        <v>26.014929381475952</v>
      </c>
      <c r="AL103" s="20">
        <f t="shared" si="58"/>
        <v>212.56848233940431</v>
      </c>
      <c r="AM103" s="59">
        <f t="shared" si="59"/>
        <v>505.9018156727376</v>
      </c>
      <c r="AN103" s="59">
        <f ca="1">AVERAGE(OFFSET($AM$3,0,0,'Données projet'!$E$10+1,1))-AVERAGE(OFFSET($H$3,0,0,'Données projet'!$E$10+1,1))</f>
        <v>246.72166704460847</v>
      </c>
      <c r="AO103" s="59">
        <f t="shared" si="90"/>
        <v>145.54897745089966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86.649418760225757</v>
      </c>
      <c r="AV103" s="21">
        <f>EXP(-LN(2)/25)*AV102+(1-EXP(-LN(2)/25))/(LN(2)/25)*Calculateur!AQ103*Calculateur!AS103*VLOOKUP('Données projet'!$B$10,Paramètres!$A$1:$I$89,3,0)*0.475*44/12</f>
        <v>23.890199578781669</v>
      </c>
      <c r="AW103" s="21">
        <f>EXP(-LN(2)/2)*AW102+(1-EXP(-LN(2)/2))/(LN(2)/2)*AQ103*AT103*VLOOKUP('Données projet'!$B$10,Paramètres!$A$1:$I$89,3,0)*0.475*44/12</f>
        <v>9.8738939554670075</v>
      </c>
      <c r="AX103" s="21">
        <f t="shared" si="60"/>
        <v>120.41351229447444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88.478637356802039</v>
      </c>
      <c r="BJ103" s="59">
        <f t="shared" si="92"/>
        <v>239.55411297259155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9.2564608594073299</v>
      </c>
      <c r="BQ103" s="21">
        <f>EXP(-LN(2)/25)*BQ102+(1-EXP(-LN(2)/25))/(LN(2)/25)*Calculateur!BL103*Calculateur!BN103*VLOOKUP('Données projet'!$B$11,Paramètres!$A$1:$I$89,3,0)*0.475*44/12</f>
        <v>1.0483285304653265</v>
      </c>
      <c r="BR103" s="21">
        <f>EXP(-LN(2)/2)*BR102+(1-EXP(-LN(2)/2))/(LN(2)/2)*BL103*BO103*VLOOKUP('Données projet'!$B$11,Paramètres!$A$1:$I$89,3,0)*0.475*44/12</f>
        <v>1.251304065110996E-11</v>
      </c>
      <c r="BS103" s="22">
        <f t="shared" si="63"/>
        <v>10.304789389885169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5.9871794871794863</v>
      </c>
      <c r="BY103" s="12">
        <f>IF('Données projet'!$A$114&gt;35,BY102+BX103-CG102,IF(A103&lt;'Données projet'!$A$114,$BV$205^A103,IF(A103='Données projet'!$A$114,'Données projet'!$B$114,BY102+BX103-CG102)))</f>
        <v>235.27564102564131</v>
      </c>
      <c r="BZ103" s="13">
        <f>BY103*VLOOKUP('Données projet'!$B$12,Paramètres!$A$1:$I$89,3,0)*VLOOKUP('Données projet'!$B$12,Paramètres!$A$1:$I$89,5,0)</f>
        <v>212.87740000000025</v>
      </c>
      <c r="CA103" s="13">
        <f t="shared" si="93"/>
        <v>52.563871106408598</v>
      </c>
      <c r="CB103" s="20">
        <f t="shared" si="64"/>
        <v>462.3102138436621</v>
      </c>
      <c r="CC103" s="59">
        <f t="shared" si="65"/>
        <v>755.64354717699541</v>
      </c>
      <c r="CD103" s="59">
        <f ca="1">AVERAGE(OFFSET($CC$3,0,0,'Données projet'!$E$12+1,1))-AVERAGE(OFFSET($H$3,0,0,'Données projet'!$E$12+1,1))</f>
        <v>437.94387006020412</v>
      </c>
      <c r="CE103" s="59">
        <f t="shared" si="94"/>
        <v>213.95083535531376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19.274791751393945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19.274791751393945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398.10769230769228</v>
      </c>
      <c r="CR103" s="12">
        <f>VLOOKUP(A103,'Données projet'!$A$139:$I$159,9,0)</f>
        <v>7.1523076923076925</v>
      </c>
      <c r="CS103" s="12">
        <f t="array" ref="CS103">INDEX(CR:CR,MIN(IF(ISNUMBER(CR103:CR299),ROW(CR103:CR299),"")))</f>
        <v>7.1523076923076925</v>
      </c>
      <c r="CT103" s="12">
        <f>IF('Données projet'!$A$140&gt;35,CT102+CS103-DB102,IF(A103&lt;'Données projet'!$A$140,$CQ$205^A103,IF(A103='Données projet'!$A$140,'Données projet'!$B$140,CT102+CS103-DB102)))</f>
        <v>398.10769230769262</v>
      </c>
      <c r="CU103" s="17">
        <f>CT103*VLOOKUP('Données projet'!$B$13,Paramètres!$A$1:$I$89,3,0)*VLOOKUP('Données projet'!$B$13,Paramètres!$A$1:$I$89,5,0)</f>
        <v>191.48980000000014</v>
      </c>
      <c r="CV103" s="13">
        <f t="shared" si="95"/>
        <v>47.869176606096346</v>
      </c>
      <c r="CW103" s="20">
        <f t="shared" si="67"/>
        <v>416.88355092228471</v>
      </c>
      <c r="CX103" s="59">
        <f t="shared" si="68"/>
        <v>710.21688425561797</v>
      </c>
      <c r="CY103" s="59">
        <f ca="1">AVERAGE(OFFSET($CX$3,0,0,'Données projet'!$E$13+1,1))-AVERAGE(OFFSET($H$3,0,0,'Données projet'!$E$13+1,1))</f>
        <v>258.42493116335032</v>
      </c>
      <c r="CZ103" s="59">
        <f t="shared" si="96"/>
        <v>102.46122697336466</v>
      </c>
      <c r="DA103" s="15">
        <f>IF(ISNA(VLOOKUP(A103,'Données projet'!$A$139:$I$159,3,0)),0,VLOOKUP(A103,'Données projet'!$A$139:$I$159,3,0))</f>
        <v>6</v>
      </c>
      <c r="DB103" s="15">
        <f>IF(ISNA(VLOOKUP(A103,'Données projet'!$A$139:$I$159,4,0)),0,VLOOKUP(A103,'Données projet'!$A$139:$I$159,4,0))</f>
        <v>178.02307692307693</v>
      </c>
      <c r="DC103" s="16">
        <f>IF(ISNA(VLOOKUP(A103,'Données projet'!$A$139:$I$159,5,0)),0%,VLOOKUP(A103,'Données projet'!$A$139:$I$159,5,0)*VLOOKUP('Données projet'!$B$13,Paramètres!$A$1:$I$89,7,0))</f>
        <v>0.38500000000000001</v>
      </c>
      <c r="DD103" s="16">
        <f>IF(ISNA(VLOOKUP(A103,'Données projet'!$A$139:$I$159,6,0)),0%,VLOOKUP(A103,'Données projet'!$A$139:$I$159,6,0)*VLOOKUP('Données projet'!$B$13,Paramètres!$A$1:$I$89,7,0))</f>
        <v>9.240000000000001E-2</v>
      </c>
      <c r="DE103" s="16">
        <f>IF(ISNA(VLOOKUP(A103,'Données projet'!$A$139:$I$159,7,0)),0%,VLOOKUP(A103,'Données projet'!$A$139:$I$159,7,0))</f>
        <v>0.13200000000000001</v>
      </c>
      <c r="DF103" s="21">
        <f>EXP(-LN(2)/35)*DF102+(1-EXP(-LN(2)/35))/(LN(2)/35)*DB103*DC103*VLOOKUP('Données projet'!$B$13,Paramètres!$A$1:$I$89,3,0)*0.475*44/12</f>
        <v>98.072110190105292</v>
      </c>
      <c r="DG103" s="21">
        <f>EXP(-LN(2)/25)*DG102+(1-EXP(-LN(2)/25))/(LN(2)/25)*Calculateur!DB103*Calculateur!DD103*VLOOKUP('Données projet'!$B$13,Paramètres!$A$1:$I$89,3,0)*0.475*44/12</f>
        <v>26.191697987229208</v>
      </c>
      <c r="DH103" s="21">
        <f>EXP(-LN(2)/2)*DH102+(1-EXP(-LN(2)/2))/(LN(2)/2)*DB103*DE103*VLOOKUP('Données projet'!$B$13,Paramètres!$A$1:$I$89,3,0)*0.475*44/12</f>
        <v>12.935650814375389</v>
      </c>
      <c r="DI103" s="22">
        <f t="shared" si="69"/>
        <v>137.19945899170989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255</v>
      </c>
      <c r="DM103" s="12">
        <f>VLOOKUP(A103,'Données projet'!$A$165:$I$185,9,0)</f>
        <v>3</v>
      </c>
      <c r="DN103" s="12">
        <f t="array" ref="DN103">INDEX(DM:DM,MIN(IF(ISNUMBER(DM103:DM299),ROW(DM103:DM299),"")))</f>
        <v>3</v>
      </c>
      <c r="DO103" s="12">
        <f>IF('Données projet'!$A$166&gt;35,DO102+DN103-DW102,IF(A103&lt;'Données projet'!$A$166,$DL$205^A103,IF(A103='Données projet'!$A$166,'Données projet'!$B$166,DO102+DN103-DW102)))</f>
        <v>255</v>
      </c>
      <c r="DP103" s="17">
        <f>DO103*VLOOKUP('Données projet'!$B$14,Paramètres!$A$1:$I$89,3,0)*VLOOKUP('Données projet'!$B$14,Paramètres!$A$1:$I$89,5,0)</f>
        <v>222.76800000000003</v>
      </c>
      <c r="DQ103" s="13">
        <f t="shared" si="97"/>
        <v>54.716058356609508</v>
      </c>
      <c r="DR103" s="20">
        <f t="shared" si="70"/>
        <v>483.28473497109491</v>
      </c>
      <c r="DS103" s="59">
        <f t="shared" si="71"/>
        <v>776.61806830442822</v>
      </c>
      <c r="DT103" s="59">
        <f ca="1">AVERAGE(OFFSET($DS$3,0,0,'Données projet'!$E$14+1,1))-AVERAGE(OFFSET($H$3,0,0,'Données projet'!$E$14+1,1))</f>
        <v>354.24684313982857</v>
      </c>
      <c r="DU103" s="59">
        <f t="shared" si="98"/>
        <v>322.65043486962185</v>
      </c>
      <c r="DV103" s="15">
        <f>IF(ISNA(VLOOKUP(A103,'Données projet'!$A$165:$I$185,3,0)),0,VLOOKUP(A103,'Données projet'!$A$165:$I$185,3,0))</f>
        <v>17</v>
      </c>
      <c r="DW103" s="15" t="str">
        <f>IF(ISNA(VLOOKUP(A103,'Données projet'!$A$165:$I$185,4,0)),0,VLOOKUP(A103,'Données projet'!$A$165:$I$185,4,0))</f>
        <v>12</v>
      </c>
      <c r="DX103" s="16">
        <f>IF(ISNA(VLOOKUP(A103,'Données projet'!$A$165:$I$185,5,0)),0%,VLOOKUP(A103,'Données projet'!$A$165:$I$185,5,0)*VLOOKUP('Données projet'!$B$14,Paramètres!$A$1:$I$89,7,0))</f>
        <v>0.30099999999999999</v>
      </c>
      <c r="DY103" s="16">
        <f>IF(ISNA(VLOOKUP(A103,'Données projet'!$A$165:$I$185,6,0)),0%,VLOOKUP(A103,'Données projet'!$A$165:$I$185,6,0)*VLOOKUP('Données projet'!$B$14,Paramètres!$A$1:$I$89,7,0))</f>
        <v>8.6000000000000007E-2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27.252446579439706</v>
      </c>
      <c r="EB103" s="21">
        <f>EXP(-LN(2)/25)*EB102+(1-EXP(-LN(2)/25))/(LN(2)/25)*Calculateur!DW103*Calculateur!DY103*VLOOKUP('Données projet'!$B$14,Paramètres!$A$1:$I$89,3,0)*0.475*44/12</f>
        <v>14.890532005308721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42.142978584748427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-6.7984728957526396E-14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355.09162485318728</v>
      </c>
      <c r="T104" s="59">
        <f t="shared" si="88"/>
        <v>320.06572891923685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108.6966465833729</v>
      </c>
      <c r="AA104" s="21">
        <f>EXP(-LN(2)/25)*AA103+(1-EXP(-LN(2)/25))/(LN(2)/25)*Calculateur!V104*Calculateur!X104*VLOOKUP('Données projet'!$B$9,Paramètres!$A$1:$I$89,3,0)*0.475*44/12</f>
        <v>21.202370257497904</v>
      </c>
      <c r="AB104" s="21">
        <f>EXP(-LN(2)/2)*AB103+(1-EXP(-LN(2)/2))/(LN(2)/2)*V104*Y104*VLOOKUP('Données projet'!$B$9,Paramètres!$A$1:$I$89,3,0)*0.475*44/12</f>
        <v>8.0602811473669579E-3</v>
      </c>
      <c r="AC104" s="22">
        <f t="shared" si="57"/>
        <v>129.90707712201817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5.6546153846153828</v>
      </c>
      <c r="AI104" s="13">
        <f>IF('Données projet'!$A$62&gt;35,AI103+AH104-AQ103,IF(A104&lt;'Données projet'!$A$62,$AF$205^A104,IF(A104='Données projet'!$A$62,'Données projet'!$B$62,AI103+AH104-AQ103)))</f>
        <v>210.85538461538505</v>
      </c>
      <c r="AJ104" s="13">
        <f>AI104*VLOOKUP('Données projet'!$B$10,Paramètres!$A$1:$I$89,3,0)*VLOOKUP('Données projet'!$B$10,Paramètres!$A$1:$I$89,5,0)</f>
        <v>98.680320000000208</v>
      </c>
      <c r="AK104" s="13">
        <f t="shared" si="89"/>
        <v>26.647359319385743</v>
      </c>
      <c r="AL104" s="20">
        <f t="shared" si="58"/>
        <v>218.27904148126387</v>
      </c>
      <c r="AM104" s="59">
        <f t="shared" si="59"/>
        <v>511.61237481459716</v>
      </c>
      <c r="AN104" s="59">
        <f ca="1">AVERAGE(OFFSET($AM$3,0,0,'Données projet'!$E$10+1,1))-AVERAGE(OFFSET($H$3,0,0,'Données projet'!$E$10+1,1))</f>
        <v>246.72166704460847</v>
      </c>
      <c r="AO104" s="59">
        <f t="shared" si="90"/>
        <v>145.54897745089966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84.950276509264583</v>
      </c>
      <c r="AV104" s="21">
        <f>EXP(-LN(2)/25)*AV103+(1-EXP(-LN(2)/25))/(LN(2)/25)*Calculateur!AQ104*Calculateur!AS104*VLOOKUP('Données projet'!$B$10,Paramètres!$A$1:$I$89,3,0)*0.475*44/12</f>
        <v>23.23692081496889</v>
      </c>
      <c r="AW104" s="21">
        <f>EXP(-LN(2)/2)*AW103+(1-EXP(-LN(2)/2))/(LN(2)/2)*AQ104*AT104*VLOOKUP('Données projet'!$B$10,Paramètres!$A$1:$I$89,3,0)*0.475*44/12</f>
        <v>6.9818973726275839</v>
      </c>
      <c r="AX104" s="21">
        <f t="shared" si="60"/>
        <v>115.16909469686105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88.478637356802039</v>
      </c>
      <c r="BJ104" s="59">
        <f t="shared" si="92"/>
        <v>239.55411297259155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9.0749473078379914</v>
      </c>
      <c r="BQ104" s="21">
        <f>EXP(-LN(2)/25)*BQ103+(1-EXP(-LN(2)/25))/(LN(2)/25)*Calculateur!BL104*Calculateur!BN104*VLOOKUP('Données projet'!$B$11,Paramètres!$A$1:$I$89,3,0)*0.475*44/12</f>
        <v>1.0196619316705506</v>
      </c>
      <c r="BR104" s="21">
        <f>EXP(-LN(2)/2)*BR103+(1-EXP(-LN(2)/2))/(LN(2)/2)*BL104*BO104*VLOOKUP('Données projet'!$B$11,Paramètres!$A$1:$I$89,3,0)*0.475*44/12</f>
        <v>8.8480558976627844E-12</v>
      </c>
      <c r="BS104" s="22">
        <f t="shared" si="63"/>
        <v>10.094609239517391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5.9871794871794863</v>
      </c>
      <c r="BY104" s="12">
        <f>IF('Données projet'!$A$114&gt;35,BY103+BX104-CG103,IF(A104&lt;'Données projet'!$A$114,$BV$205^A104,IF(A104='Données projet'!$A$114,'Données projet'!$B$114,BY103+BX104-CG103)))</f>
        <v>241.26282051282078</v>
      </c>
      <c r="BZ104" s="13">
        <f>BY104*VLOOKUP('Données projet'!$B$12,Paramètres!$A$1:$I$89,3,0)*VLOOKUP('Données projet'!$B$12,Paramètres!$A$1:$I$89,5,0)</f>
        <v>218.29460000000026</v>
      </c>
      <c r="CA104" s="13">
        <f t="shared" si="93"/>
        <v>53.74405774672632</v>
      </c>
      <c r="CB104" s="20">
        <f t="shared" si="64"/>
        <v>473.80066224221554</v>
      </c>
      <c r="CC104" s="59">
        <f t="shared" si="65"/>
        <v>767.13399557554885</v>
      </c>
      <c r="CD104" s="59">
        <f ca="1">AVERAGE(OFFSET($CC$3,0,0,'Données projet'!$E$12+1,1))-AVERAGE(OFFSET($H$3,0,0,'Données projet'!$E$12+1,1))</f>
        <v>437.94387006020412</v>
      </c>
      <c r="CE104" s="59">
        <f t="shared" si="94"/>
        <v>213.95083535531376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18.896824841611224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18.896824841611224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4.6992307692307689</v>
      </c>
      <c r="CT104" s="12">
        <f>IF('Données projet'!$A$140&gt;35,CT103+CS104-DB103,IF(A104&lt;'Données projet'!$A$140,$CQ$205^A104,IF(A104='Données projet'!$A$140,'Données projet'!$B$140,CT103+CS104-DB103)))</f>
        <v>224.78384615384647</v>
      </c>
      <c r="CU104" s="17">
        <f>CT104*VLOOKUP('Données projet'!$B$13,Paramètres!$A$1:$I$89,3,0)*VLOOKUP('Données projet'!$B$13,Paramètres!$A$1:$I$89,5,0)</f>
        <v>108.12103000000015</v>
      </c>
      <c r="CV104" s="13">
        <f t="shared" si="95"/>
        <v>28.887841653581606</v>
      </c>
      <c r="CW104" s="20">
        <f t="shared" si="67"/>
        <v>238.62378479665486</v>
      </c>
      <c r="CX104" s="59">
        <f t="shared" si="68"/>
        <v>531.9571181299882</v>
      </c>
      <c r="CY104" s="59">
        <f ca="1">AVERAGE(OFFSET($CX$3,0,0,'Données projet'!$E$13+1,1))-AVERAGE(OFFSET($H$3,0,0,'Données projet'!$E$13+1,1))</f>
        <v>258.42493116335032</v>
      </c>
      <c r="CZ104" s="59">
        <f t="shared" si="96"/>
        <v>102.46122697336466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96.148975927357995</v>
      </c>
      <c r="DG104" s="21">
        <f>EXP(-LN(2)/25)*DG103+(1-EXP(-LN(2)/25))/(LN(2)/25)*Calculateur!DB104*Calculateur!DD104*VLOOKUP('Données projet'!$B$13,Paramètres!$A$1:$I$89,3,0)*0.475*44/12</f>
        <v>25.475484628406889</v>
      </c>
      <c r="DH104" s="21">
        <f>EXP(-LN(2)/2)*DH103+(1-EXP(-LN(2)/2))/(LN(2)/2)*DB104*DE104*VLOOKUP('Données projet'!$B$13,Paramètres!$A$1:$I$89,3,0)*0.475*44/12</f>
        <v>9.1468864099061236</v>
      </c>
      <c r="DI104" s="22">
        <f t="shared" si="69"/>
        <v>130.771346965671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243</v>
      </c>
      <c r="DP104" s="17">
        <f>DO104*VLOOKUP('Données projet'!$B$14,Paramètres!$A$1:$I$89,3,0)*VLOOKUP('Données projet'!$B$14,Paramètres!$A$1:$I$89,5,0)</f>
        <v>212.28480000000002</v>
      </c>
      <c r="DQ104" s="13">
        <f t="shared" si="97"/>
        <v>52.434557099704193</v>
      </c>
      <c r="DR104" s="20">
        <f t="shared" si="70"/>
        <v>461.05288028198476</v>
      </c>
      <c r="DS104" s="59">
        <f t="shared" si="71"/>
        <v>754.38621361531807</v>
      </c>
      <c r="DT104" s="59">
        <f ca="1">AVERAGE(OFFSET($DS$3,0,0,'Données projet'!$E$14+1,1))-AVERAGE(OFFSET($H$3,0,0,'Données projet'!$E$14+1,1))</f>
        <v>354.24684313982857</v>
      </c>
      <c r="DU104" s="59">
        <f t="shared" si="98"/>
        <v>322.65043486962185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26.718042724367987</v>
      </c>
      <c r="EB104" s="21">
        <f>EXP(-LN(2)/25)*EB103+(1-EXP(-LN(2)/25))/(LN(2)/25)*Calculateur!DW104*Calculateur!DY104*VLOOKUP('Données projet'!$B$14,Paramètres!$A$1:$I$89,3,0)*0.475*44/12</f>
        <v>14.483349624564509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41.201392348932494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-6.7984728957526396E-14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355.09162485318728</v>
      </c>
      <c r="T105" s="59">
        <f t="shared" si="88"/>
        <v>320.06572891923685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106.56517164228094</v>
      </c>
      <c r="AA105" s="21">
        <f>EXP(-LN(2)/25)*AA104+(1-EXP(-LN(2)/25))/(LN(2)/25)*Calculateur!V105*Calculateur!X105*VLOOKUP('Données projet'!$B$9,Paramètres!$A$1:$I$89,3,0)*0.475*44/12</f>
        <v>20.622590327822429</v>
      </c>
      <c r="AB105" s="21">
        <f>EXP(-LN(2)/2)*AB104+(1-EXP(-LN(2)/2))/(LN(2)/2)*V105*Y105*VLOOKUP('Données projet'!$B$9,Paramètres!$A$1:$I$89,3,0)*0.475*44/12</f>
        <v>5.6994794575732617E-3</v>
      </c>
      <c r="AC105" s="22">
        <f t="shared" si="57"/>
        <v>127.19346144956094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5.6546153846153828</v>
      </c>
      <c r="AI105" s="13">
        <f>IF('Données projet'!$A$62&gt;35,AI104+AH105-AQ104,IF(A105&lt;'Données projet'!$A$62,$AF$205^A105,IF(A105='Données projet'!$A$62,'Données projet'!$B$62,AI104+AH105-AQ104)))</f>
        <v>216.51000000000045</v>
      </c>
      <c r="AJ105" s="13">
        <f>AI105*VLOOKUP('Données projet'!$B$10,Paramètres!$A$1:$I$89,3,0)*VLOOKUP('Données projet'!$B$10,Paramètres!$A$1:$I$89,5,0)</f>
        <v>101.32668000000021</v>
      </c>
      <c r="AK105" s="13">
        <f t="shared" si="89"/>
        <v>27.277817919146429</v>
      </c>
      <c r="AL105" s="20">
        <f t="shared" si="58"/>
        <v>223.98616720918039</v>
      </c>
      <c r="AM105" s="59">
        <f t="shared" si="59"/>
        <v>517.31950054251365</v>
      </c>
      <c r="AN105" s="59">
        <f ca="1">AVERAGE(OFFSET($AM$3,0,0,'Données projet'!$E$10+1,1))-AVERAGE(OFFSET($H$3,0,0,'Données projet'!$E$10+1,1))</f>
        <v>246.72166704460847</v>
      </c>
      <c r="AO105" s="59">
        <f t="shared" si="90"/>
        <v>145.54897745089966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83.284453401470316</v>
      </c>
      <c r="AV105" s="21">
        <f>EXP(-LN(2)/25)*AV104+(1-EXP(-LN(2)/25))/(LN(2)/25)*Calculateur!AQ105*Calculateur!AS105*VLOOKUP('Données projet'!$B$10,Paramètres!$A$1:$I$89,3,0)*0.475*44/12</f>
        <v>22.601505993307008</v>
      </c>
      <c r="AW105" s="21">
        <f>EXP(-LN(2)/2)*AW104+(1-EXP(-LN(2)/2))/(LN(2)/2)*AQ105*AT105*VLOOKUP('Données projet'!$B$10,Paramètres!$A$1:$I$89,3,0)*0.475*44/12</f>
        <v>4.9369469777335047</v>
      </c>
      <c r="AX105" s="21">
        <f t="shared" si="60"/>
        <v>110.82290637251083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88.478637356802039</v>
      </c>
      <c r="BJ105" s="59">
        <f t="shared" si="92"/>
        <v>239.55411297259155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8.8969931263025934</v>
      </c>
      <c r="BQ105" s="21">
        <f>EXP(-LN(2)/25)*BQ104+(1-EXP(-LN(2)/25))/(LN(2)/25)*Calculateur!BL105*Calculateur!BN105*VLOOKUP('Données projet'!$B$11,Paramètres!$A$1:$I$89,3,0)*0.475*44/12</f>
        <v>0.99177922252732886</v>
      </c>
      <c r="BR105" s="21">
        <f>EXP(-LN(2)/2)*BR104+(1-EXP(-LN(2)/2))/(LN(2)/2)*BL105*BO105*VLOOKUP('Données projet'!$B$11,Paramètres!$A$1:$I$89,3,0)*0.475*44/12</f>
        <v>6.2565203255549799E-12</v>
      </c>
      <c r="BS105" s="22">
        <f t="shared" si="63"/>
        <v>9.8887723488361789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5.9871794871794863</v>
      </c>
      <c r="BY105" s="12">
        <f>IF('Données projet'!$A$114&gt;35,BY104+BX105-CG104,IF(A105&lt;'Données projet'!$A$114,$BV$205^A105,IF(A105='Données projet'!$A$114,'Données projet'!$B$114,BY104+BX105-CG104)))</f>
        <v>247.25000000000026</v>
      </c>
      <c r="BZ105" s="13">
        <f>BY105*VLOOKUP('Données projet'!$B$12,Paramètres!$A$1:$I$89,3,0)*VLOOKUP('Données projet'!$B$12,Paramètres!$A$1:$I$89,5,0)</f>
        <v>223.71180000000024</v>
      </c>
      <c r="CA105" s="13">
        <f t="shared" si="93"/>
        <v>54.920839869581386</v>
      </c>
      <c r="CB105" s="20">
        <f t="shared" si="64"/>
        <v>485.28518110618802</v>
      </c>
      <c r="CC105" s="59">
        <f t="shared" si="65"/>
        <v>778.61851443952128</v>
      </c>
      <c r="CD105" s="59">
        <f ca="1">AVERAGE(OFFSET($CC$3,0,0,'Données projet'!$E$12+1,1))-AVERAGE(OFFSET($H$3,0,0,'Données projet'!$E$12+1,1))</f>
        <v>437.94387006020412</v>
      </c>
      <c r="CE105" s="59">
        <f t="shared" si="94"/>
        <v>213.95083535531376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18.526269632392289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18.526269632392289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4.6992307692307689</v>
      </c>
      <c r="CT105" s="12">
        <f>IF('Données projet'!$A$140&gt;35,CT104+CS105-DB104,IF(A105&lt;'Données projet'!$A$140,$CQ$205^A105,IF(A105='Données projet'!$A$140,'Données projet'!$B$140,CT104+CS105-DB104)))</f>
        <v>229.48307692307725</v>
      </c>
      <c r="CU105" s="17">
        <f>CT105*VLOOKUP('Données projet'!$B$13,Paramètres!$A$1:$I$89,3,0)*VLOOKUP('Données projet'!$B$13,Paramètres!$A$1:$I$89,5,0)</f>
        <v>110.38136000000016</v>
      </c>
      <c r="CV105" s="13">
        <f t="shared" si="95"/>
        <v>29.420817856720205</v>
      </c>
      <c r="CW105" s="20">
        <f t="shared" si="67"/>
        <v>243.48879310045461</v>
      </c>
      <c r="CX105" s="59">
        <f t="shared" si="68"/>
        <v>536.82212643378796</v>
      </c>
      <c r="CY105" s="59">
        <f ca="1">AVERAGE(OFFSET($CX$3,0,0,'Données projet'!$E$13+1,1))-AVERAGE(OFFSET($H$3,0,0,'Données projet'!$E$13+1,1))</f>
        <v>258.42493116335032</v>
      </c>
      <c r="CZ105" s="59">
        <f t="shared" si="96"/>
        <v>102.46122697336466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94.263553154507093</v>
      </c>
      <c r="DG105" s="21">
        <f>EXP(-LN(2)/25)*DG104+(1-EXP(-LN(2)/25))/(LN(2)/25)*Calculateur!DB105*Calculateur!DD105*VLOOKUP('Données projet'!$B$13,Paramètres!$A$1:$I$89,3,0)*0.475*44/12</f>
        <v>24.77885616154559</v>
      </c>
      <c r="DH105" s="21">
        <f>EXP(-LN(2)/2)*DH104+(1-EXP(-LN(2)/2))/(LN(2)/2)*DB105*DE105*VLOOKUP('Données projet'!$B$13,Paramètres!$A$1:$I$89,3,0)*0.475*44/12</f>
        <v>6.4678254071876946</v>
      </c>
      <c r="DI105" s="22">
        <f t="shared" si="69"/>
        <v>125.51023472324037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243</v>
      </c>
      <c r="DP105" s="17">
        <f>DO105*VLOOKUP('Données projet'!$B$14,Paramètres!$A$1:$I$89,3,0)*VLOOKUP('Données projet'!$B$14,Paramètres!$A$1:$I$89,5,0)</f>
        <v>212.28480000000002</v>
      </c>
      <c r="DQ105" s="13">
        <f t="shared" si="97"/>
        <v>52.434557099704193</v>
      </c>
      <c r="DR105" s="20">
        <f t="shared" si="70"/>
        <v>461.05288028198476</v>
      </c>
      <c r="DS105" s="59">
        <f t="shared" si="71"/>
        <v>754.38621361531807</v>
      </c>
      <c r="DT105" s="59">
        <f ca="1">AVERAGE(OFFSET($DS$3,0,0,'Données projet'!$E$14+1,1))-AVERAGE(OFFSET($H$3,0,0,'Données projet'!$E$14+1,1))</f>
        <v>354.24684313982857</v>
      </c>
      <c r="DU105" s="59">
        <f t="shared" si="98"/>
        <v>322.65043486962185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26.194118202940057</v>
      </c>
      <c r="EB105" s="21">
        <f>EXP(-LN(2)/25)*EB104+(1-EXP(-LN(2)/25))/(LN(2)/25)*Calculateur!DW105*Calculateur!DY105*VLOOKUP('Données projet'!$B$14,Paramètres!$A$1:$I$89,3,0)*0.475*44/12</f>
        <v>14.087301667434538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40.281419870374592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-6.7984728957526396E-14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355.09162485318728</v>
      </c>
      <c r="T106" s="59">
        <f t="shared" si="88"/>
        <v>320.06572891923685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104.47549362471247</v>
      </c>
      <c r="AA106" s="21">
        <f>EXP(-LN(2)/25)*AA105+(1-EXP(-LN(2)/25))/(LN(2)/25)*Calculateur!V106*Calculateur!X106*VLOOKUP('Données projet'!$B$9,Paramètres!$A$1:$I$89,3,0)*0.475*44/12</f>
        <v>20.058664510813234</v>
      </c>
      <c r="AB106" s="21">
        <f>EXP(-LN(2)/2)*AB105+(1-EXP(-LN(2)/2))/(LN(2)/2)*V106*Y106*VLOOKUP('Données projet'!$B$9,Paramètres!$A$1:$I$89,3,0)*0.475*44/12</f>
        <v>4.030140573683479E-3</v>
      </c>
      <c r="AC106" s="22">
        <f t="shared" si="57"/>
        <v>124.53818827609939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5.6546153846153828</v>
      </c>
      <c r="AI106" s="13">
        <f>IF('Données projet'!$A$62&gt;35,AI105+AH106-AQ105,IF(A106&lt;'Données projet'!$A$62,$AF$205^A106,IF(A106='Données projet'!$A$62,'Données projet'!$B$62,AI105+AH106-AQ105)))</f>
        <v>222.16461538461584</v>
      </c>
      <c r="AJ106" s="13">
        <f>AI106*VLOOKUP('Données projet'!$B$10,Paramètres!$A$1:$I$89,3,0)*VLOOKUP('Données projet'!$B$10,Paramètres!$A$1:$I$89,5,0)</f>
        <v>103.97304000000021</v>
      </c>
      <c r="AK106" s="13">
        <f t="shared" si="89"/>
        <v>27.906362585271903</v>
      </c>
      <c r="AL106" s="20">
        <f t="shared" si="58"/>
        <v>229.68995950268229</v>
      </c>
      <c r="AM106" s="59">
        <f t="shared" si="59"/>
        <v>523.02329283601557</v>
      </c>
      <c r="AN106" s="59">
        <f ca="1">AVERAGE(OFFSET($AM$3,0,0,'Données projet'!$E$10+1,1))-AVERAGE(OFFSET($H$3,0,0,'Données projet'!$E$10+1,1))</f>
        <v>246.72166704460847</v>
      </c>
      <c r="AO106" s="59">
        <f t="shared" si="90"/>
        <v>145.54897745089966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81.651296068768119</v>
      </c>
      <c r="AV106" s="21">
        <f>EXP(-LN(2)/25)*AV105+(1-EXP(-LN(2)/25))/(LN(2)/25)*Calculateur!AQ106*Calculateur!AS106*VLOOKUP('Données projet'!$B$10,Paramètres!$A$1:$I$89,3,0)*0.475*44/12</f>
        <v>21.983466623358485</v>
      </c>
      <c r="AW106" s="21">
        <f>EXP(-LN(2)/2)*AW105+(1-EXP(-LN(2)/2))/(LN(2)/2)*AQ106*AT106*VLOOKUP('Données projet'!$B$10,Paramètres!$A$1:$I$89,3,0)*0.475*44/12</f>
        <v>3.4909486863137928</v>
      </c>
      <c r="AX106" s="21">
        <f t="shared" si="60"/>
        <v>107.1257113784404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88.478637356802039</v>
      </c>
      <c r="BJ106" s="59">
        <f t="shared" si="92"/>
        <v>239.55411297259155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8.7225285177257721</v>
      </c>
      <c r="BQ106" s="21">
        <f>EXP(-LN(2)/25)*BQ105+(1-EXP(-LN(2)/25))/(LN(2)/25)*Calculateur!BL106*Calculateur!BN106*VLOOKUP('Données projet'!$B$11,Paramètres!$A$1:$I$89,3,0)*0.475*44/12</f>
        <v>0.96465896753191649</v>
      </c>
      <c r="BR106" s="21">
        <f>EXP(-LN(2)/2)*BR105+(1-EXP(-LN(2)/2))/(LN(2)/2)*BL106*BO106*VLOOKUP('Données projet'!$B$11,Paramètres!$A$1:$I$89,3,0)*0.475*44/12</f>
        <v>4.4240279488313922E-12</v>
      </c>
      <c r="BS106" s="22">
        <f t="shared" si="63"/>
        <v>9.6871874852621129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5.9871794871794863</v>
      </c>
      <c r="BY106" s="12">
        <f>IF('Données projet'!$A$114&gt;35,BY105+BX106-CG105,IF(A106&lt;'Données projet'!$A$114,$BV$205^A106,IF(A106='Données projet'!$A$114,'Données projet'!$B$114,BY105+BX106-CG105)))</f>
        <v>253.23717948717973</v>
      </c>
      <c r="BZ106" s="13">
        <f>BY106*VLOOKUP('Données projet'!$B$12,Paramètres!$A$1:$I$89,3,0)*VLOOKUP('Données projet'!$B$12,Paramètres!$A$1:$I$89,5,0)</f>
        <v>229.12900000000022</v>
      </c>
      <c r="CA106" s="13">
        <f t="shared" si="93"/>
        <v>56.094309400324434</v>
      </c>
      <c r="CB106" s="20">
        <f t="shared" si="64"/>
        <v>496.76393053889871</v>
      </c>
      <c r="CC106" s="59">
        <f t="shared" si="65"/>
        <v>790.09726387223202</v>
      </c>
      <c r="CD106" s="59">
        <f ca="1">AVERAGE(OFFSET($CC$3,0,0,'Données projet'!$E$12+1,1))-AVERAGE(OFFSET($H$3,0,0,'Données projet'!$E$12+1,1))</f>
        <v>437.94387006020412</v>
      </c>
      <c r="CE106" s="59">
        <f t="shared" si="94"/>
        <v>213.95083535531376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18.162980784809779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18.162980784809779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4.6992307692307689</v>
      </c>
      <c r="CT106" s="12">
        <f>IF('Données projet'!$A$140&gt;35,CT105+CS106-DB105,IF(A106&lt;'Données projet'!$A$140,$CQ$205^A106,IF(A106='Données projet'!$A$140,'Données projet'!$B$140,CT105+CS106-DB105)))</f>
        <v>234.18230769230803</v>
      </c>
      <c r="CU106" s="17">
        <f>CT106*VLOOKUP('Données projet'!$B$13,Paramètres!$A$1:$I$89,3,0)*VLOOKUP('Données projet'!$B$13,Paramètres!$A$1:$I$89,5,0)</f>
        <v>112.64169000000015</v>
      </c>
      <c r="CV106" s="13">
        <f t="shared" si="95"/>
        <v>29.952525089412308</v>
      </c>
      <c r="CW106" s="20">
        <f t="shared" si="67"/>
        <v>248.35159128072669</v>
      </c>
      <c r="CX106" s="59">
        <f t="shared" si="68"/>
        <v>541.68492461406004</v>
      </c>
      <c r="CY106" s="59">
        <f ca="1">AVERAGE(OFFSET($CX$3,0,0,'Données projet'!$E$13+1,1))-AVERAGE(OFFSET($H$3,0,0,'Données projet'!$E$13+1,1))</f>
        <v>258.42493116335032</v>
      </c>
      <c r="CZ106" s="59">
        <f t="shared" si="96"/>
        <v>102.46122697336466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92.41510237223747</v>
      </c>
      <c r="DG106" s="21">
        <f>EXP(-LN(2)/25)*DG105+(1-EXP(-LN(2)/25))/(LN(2)/25)*Calculateur!DB106*Calculateur!DD106*VLOOKUP('Données projet'!$B$13,Paramètres!$A$1:$I$89,3,0)*0.475*44/12</f>
        <v>24.101277036744715</v>
      </c>
      <c r="DH106" s="21">
        <f>EXP(-LN(2)/2)*DH105+(1-EXP(-LN(2)/2))/(LN(2)/2)*DB106*DE106*VLOOKUP('Données projet'!$B$13,Paramètres!$A$1:$I$89,3,0)*0.475*44/12</f>
        <v>4.5734432049530618</v>
      </c>
      <c r="DI106" s="22">
        <f t="shared" si="69"/>
        <v>121.08982261393525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243</v>
      </c>
      <c r="DP106" s="17">
        <f>DO106*VLOOKUP('Données projet'!$B$14,Paramètres!$A$1:$I$89,3,0)*VLOOKUP('Données projet'!$B$14,Paramètres!$A$1:$I$89,5,0)</f>
        <v>212.28480000000002</v>
      </c>
      <c r="DQ106" s="13">
        <f t="shared" si="97"/>
        <v>52.434557099704193</v>
      </c>
      <c r="DR106" s="20">
        <f t="shared" si="70"/>
        <v>461.05288028198476</v>
      </c>
      <c r="DS106" s="59">
        <f t="shared" si="71"/>
        <v>754.38621361531807</v>
      </c>
      <c r="DT106" s="59">
        <f ca="1">AVERAGE(OFFSET($DS$3,0,0,'Données projet'!$E$14+1,1))-AVERAGE(OFFSET($H$3,0,0,'Données projet'!$E$14+1,1))</f>
        <v>354.24684313982857</v>
      </c>
      <c r="DU106" s="59">
        <f t="shared" si="98"/>
        <v>322.65043486962185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25.680467521814926</v>
      </c>
      <c r="EB106" s="21">
        <f>EXP(-LN(2)/25)*EB105+(1-EXP(-LN(2)/25))/(LN(2)/25)*Calculateur!DW106*Calculateur!DY106*VLOOKUP('Données projet'!$B$14,Paramètres!$A$1:$I$89,3,0)*0.475*44/12</f>
        <v>13.702083662519543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39.382551184334467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-6.7984728957526396E-14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355.09162485318728</v>
      </c>
      <c r="T107" s="59">
        <f t="shared" si="88"/>
        <v>320.06572891923685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102.42679291849078</v>
      </c>
      <c r="AA107" s="21">
        <f>EXP(-LN(2)/25)*AA106+(1-EXP(-LN(2)/25))/(LN(2)/25)*Calculateur!V107*Calculateur!X107*VLOOKUP('Données projet'!$B$9,Paramètres!$A$1:$I$89,3,0)*0.475*44/12</f>
        <v>19.510159274925723</v>
      </c>
      <c r="AB107" s="21">
        <f>EXP(-LN(2)/2)*AB106+(1-EXP(-LN(2)/2))/(LN(2)/2)*V107*Y107*VLOOKUP('Données projet'!$B$9,Paramètres!$A$1:$I$89,3,0)*0.475*44/12</f>
        <v>2.8497397287866309E-3</v>
      </c>
      <c r="AC107" s="22">
        <f t="shared" si="57"/>
        <v>121.93980193314529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5.6546153846153828</v>
      </c>
      <c r="AI107" s="13">
        <f>IF('Données projet'!$A$62&gt;35,AI106+AH107-AQ106,IF(A107&lt;'Données projet'!$A$62,$AF$205^A107,IF(A107='Données projet'!$A$62,'Données projet'!$B$62,AI106+AH107-AQ106)))</f>
        <v>227.81923076923124</v>
      </c>
      <c r="AJ107" s="13">
        <f>AI107*VLOOKUP('Données projet'!$B$10,Paramètres!$A$1:$I$89,3,0)*VLOOKUP('Données projet'!$B$10,Paramètres!$A$1:$I$89,5,0)</f>
        <v>106.61940000000021</v>
      </c>
      <c r="AK107" s="13">
        <f t="shared" si="89"/>
        <v>28.533047633614832</v>
      </c>
      <c r="AL107" s="20">
        <f t="shared" si="58"/>
        <v>235.39051296187952</v>
      </c>
      <c r="AM107" s="59">
        <f t="shared" si="59"/>
        <v>528.72384629521287</v>
      </c>
      <c r="AN107" s="59">
        <f ca="1">AVERAGE(OFFSET($AM$3,0,0,'Données projet'!$E$10+1,1))-AVERAGE(OFFSET($H$3,0,0,'Données projet'!$E$10+1,1))</f>
        <v>246.72166704460847</v>
      </c>
      <c r="AO107" s="59">
        <f t="shared" si="90"/>
        <v>145.54897745089966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80.050163955232605</v>
      </c>
      <c r="AV107" s="21">
        <f>EXP(-LN(2)/25)*AV106+(1-EXP(-LN(2)/25))/(LN(2)/25)*Calculateur!AQ107*Calculateur!AS107*VLOOKUP('Données projet'!$B$10,Paramètres!$A$1:$I$89,3,0)*0.475*44/12</f>
        <v>21.382327572482481</v>
      </c>
      <c r="AW107" s="21">
        <f>EXP(-LN(2)/2)*AW106+(1-EXP(-LN(2)/2))/(LN(2)/2)*AQ107*AT107*VLOOKUP('Données projet'!$B$10,Paramètres!$A$1:$I$89,3,0)*0.475*44/12</f>
        <v>2.4684734888667528</v>
      </c>
      <c r="AX107" s="21">
        <f t="shared" si="60"/>
        <v>103.90096501658184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88.478637356802039</v>
      </c>
      <c r="BJ107" s="59">
        <f t="shared" si="92"/>
        <v>239.55411297259155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8.5514850537102376</v>
      </c>
      <c r="BQ107" s="21">
        <f>EXP(-LN(2)/25)*BQ106+(1-EXP(-LN(2)/25))/(LN(2)/25)*Calculateur!BL107*Calculateur!BN107*VLOOKUP('Données projet'!$B$11,Paramètres!$A$1:$I$89,3,0)*0.475*44/12</f>
        <v>0.93828031733554584</v>
      </c>
      <c r="BR107" s="21">
        <f>EXP(-LN(2)/2)*BR106+(1-EXP(-LN(2)/2))/(LN(2)/2)*BL107*BO107*VLOOKUP('Données projet'!$B$11,Paramètres!$A$1:$I$89,3,0)*0.475*44/12</f>
        <v>3.1282601627774899E-12</v>
      </c>
      <c r="BS107" s="22">
        <f t="shared" si="63"/>
        <v>9.4897653710489109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5.9871794871794863</v>
      </c>
      <c r="BY107" s="12">
        <f>IF('Données projet'!$A$114&gt;35,BY106+BX107-CG106,IF(A107&lt;'Données projet'!$A$114,$BV$205^A107,IF(A107='Données projet'!$A$114,'Données projet'!$B$114,BY106+BX107-CG106)))</f>
        <v>259.22435897435923</v>
      </c>
      <c r="BZ107" s="13">
        <f>BY107*VLOOKUP('Données projet'!$B$12,Paramètres!$A$1:$I$89,3,0)*VLOOKUP('Données projet'!$B$12,Paramètres!$A$1:$I$89,5,0)</f>
        <v>234.54620000000025</v>
      </c>
      <c r="CA107" s="13">
        <f t="shared" si="93"/>
        <v>57.264553669658525</v>
      </c>
      <c r="CB107" s="20">
        <f t="shared" si="64"/>
        <v>508.23706264132232</v>
      </c>
      <c r="CC107" s="59">
        <f t="shared" si="65"/>
        <v>801.57039597465564</v>
      </c>
      <c r="CD107" s="59">
        <f ca="1">AVERAGE(OFFSET($CC$3,0,0,'Données projet'!$E$12+1,1))-AVERAGE(OFFSET($H$3,0,0,'Données projet'!$E$12+1,1))</f>
        <v>437.94387006020412</v>
      </c>
      <c r="CE107" s="59">
        <f t="shared" si="94"/>
        <v>213.95083535531376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17.806815809944045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17.806815809944045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4.6992307692307689</v>
      </c>
      <c r="CT107" s="12">
        <f>IF('Données projet'!$A$140&gt;35,CT106+CS107-DB106,IF(A107&lt;'Données projet'!$A$140,$CQ$205^A107,IF(A107='Données projet'!$A$140,'Données projet'!$B$140,CT106+CS107-DB106)))</f>
        <v>238.88153846153881</v>
      </c>
      <c r="CU107" s="17">
        <f>CT107*VLOOKUP('Données projet'!$B$13,Paramètres!$A$1:$I$89,3,0)*VLOOKUP('Données projet'!$B$13,Paramètres!$A$1:$I$89,5,0)</f>
        <v>114.90202000000016</v>
      </c>
      <c r="CV107" s="13">
        <f t="shared" si="95"/>
        <v>30.48299175018111</v>
      </c>
      <c r="CW107" s="20">
        <f t="shared" si="67"/>
        <v>253.21222879823233</v>
      </c>
      <c r="CX107" s="59">
        <f t="shared" si="68"/>
        <v>546.5455621315657</v>
      </c>
      <c r="CY107" s="59">
        <f ca="1">AVERAGE(OFFSET($CX$3,0,0,'Données projet'!$E$13+1,1))-AVERAGE(OFFSET($H$3,0,0,'Données projet'!$E$13+1,1))</f>
        <v>258.42493116335032</v>
      </c>
      <c r="CZ107" s="59">
        <f t="shared" si="96"/>
        <v>102.46122697336466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90.602898582364503</v>
      </c>
      <c r="DG107" s="21">
        <f>EXP(-LN(2)/25)*DG106+(1-EXP(-LN(2)/25))/(LN(2)/25)*Calculateur!DB107*Calculateur!DD107*VLOOKUP('Données projet'!$B$13,Paramètres!$A$1:$I$89,3,0)*0.475*44/12</f>
        <v>23.442226348743855</v>
      </c>
      <c r="DH107" s="21">
        <f>EXP(-LN(2)/2)*DH106+(1-EXP(-LN(2)/2))/(LN(2)/2)*DB107*DE107*VLOOKUP('Données projet'!$B$13,Paramètres!$A$1:$I$89,3,0)*0.475*44/12</f>
        <v>3.2339127035938473</v>
      </c>
      <c r="DI107" s="22">
        <f t="shared" si="69"/>
        <v>117.27903763470221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243</v>
      </c>
      <c r="DP107" s="17">
        <f>DO107*VLOOKUP('Données projet'!$B$14,Paramètres!$A$1:$I$89,3,0)*VLOOKUP('Données projet'!$B$14,Paramètres!$A$1:$I$89,5,0)</f>
        <v>212.28480000000002</v>
      </c>
      <c r="DQ107" s="13">
        <f t="shared" si="97"/>
        <v>52.434557099704193</v>
      </c>
      <c r="DR107" s="20">
        <f t="shared" si="70"/>
        <v>461.05288028198476</v>
      </c>
      <c r="DS107" s="59">
        <f t="shared" si="71"/>
        <v>754.38621361531807</v>
      </c>
      <c r="DT107" s="59">
        <f ca="1">AVERAGE(OFFSET($DS$3,0,0,'Données projet'!$E$14+1,1))-AVERAGE(OFFSET($H$3,0,0,'Données projet'!$E$14+1,1))</f>
        <v>354.24684313982857</v>
      </c>
      <c r="DU107" s="59">
        <f t="shared" si="98"/>
        <v>322.65043486962185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25.176889217250679</v>
      </c>
      <c r="EB107" s="21">
        <f>EXP(-LN(2)/25)*EB106+(1-EXP(-LN(2)/25))/(LN(2)/25)*Calculateur!DW107*Calculateur!DY107*VLOOKUP('Données projet'!$B$14,Paramètres!$A$1:$I$89,3,0)*0.475*44/12</f>
        <v>13.327399464206684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38.504288681457361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-6.7984728957526396E-14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355.09162485318728</v>
      </c>
      <c r="T108" s="59">
        <f t="shared" si="88"/>
        <v>320.06572891923685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100.41826598353404</v>
      </c>
      <c r="AA108" s="21">
        <f>EXP(-LN(2)/25)*AA107+(1-EXP(-LN(2)/25))/(LN(2)/25)*Calculateur!V108*Calculateur!X108*VLOOKUP('Données projet'!$B$9,Paramètres!$A$1:$I$89,3,0)*0.475*44/12</f>
        <v>18.976652943558193</v>
      </c>
      <c r="AB108" s="21">
        <f>EXP(-LN(2)/2)*AB107+(1-EXP(-LN(2)/2))/(LN(2)/2)*V108*Y108*VLOOKUP('Données projet'!$B$9,Paramètres!$A$1:$I$89,3,0)*0.475*44/12</f>
        <v>2.0150702868417395E-3</v>
      </c>
      <c r="AC108" s="22">
        <f t="shared" si="57"/>
        <v>119.39693399737908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5.6546153846153828</v>
      </c>
      <c r="AI108" s="13">
        <f>IF('Données projet'!$A$62&gt;35,AI107+AH108-AQ107,IF(A108&lt;'Données projet'!$A$62,$AF$205^A108,IF(A108='Données projet'!$A$62,'Données projet'!$B$62,AI107+AH108-AQ107)))</f>
        <v>233.47384615384664</v>
      </c>
      <c r="AJ108" s="13">
        <f>AI108*VLOOKUP('Données projet'!$B$10,Paramètres!$A$1:$I$89,3,0)*VLOOKUP('Données projet'!$B$10,Paramètres!$A$1:$I$89,5,0)</f>
        <v>109.26576000000023</v>
      </c>
      <c r="AK108" s="13">
        <f t="shared" si="89"/>
        <v>29.15792453003198</v>
      </c>
      <c r="AL108" s="20">
        <f t="shared" si="58"/>
        <v>241.08791722313939</v>
      </c>
      <c r="AM108" s="59">
        <f t="shared" si="59"/>
        <v>534.42125055647273</v>
      </c>
      <c r="AN108" s="59">
        <f ca="1">AVERAGE(OFFSET($AM$3,0,0,'Données projet'!$E$10+1,1))-AVERAGE(OFFSET($H$3,0,0,'Données projet'!$E$10+1,1))</f>
        <v>246.72166704460847</v>
      </c>
      <c r="AO108" s="59">
        <f t="shared" si="90"/>
        <v>145.54897745089966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78.480429065849364</v>
      </c>
      <c r="AV108" s="21">
        <f>EXP(-LN(2)/25)*AV107+(1-EXP(-LN(2)/25))/(LN(2)/25)*Calculateur!AQ108*Calculateur!AS108*VLOOKUP('Données projet'!$B$10,Paramètres!$A$1:$I$89,3,0)*0.475*44/12</f>
        <v>20.79762670056521</v>
      </c>
      <c r="AW108" s="21">
        <f>EXP(-LN(2)/2)*AW107+(1-EXP(-LN(2)/2))/(LN(2)/2)*AQ108*AT108*VLOOKUP('Données projet'!$B$10,Paramètres!$A$1:$I$89,3,0)*0.475*44/12</f>
        <v>1.7454743431568966</v>
      </c>
      <c r="AX108" s="21">
        <f t="shared" si="60"/>
        <v>101.02353010957148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88.478637356802039</v>
      </c>
      <c r="BJ108" s="59">
        <f t="shared" si="92"/>
        <v>239.55411297259155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8.3837956476978359</v>
      </c>
      <c r="BQ108" s="21">
        <f>EXP(-LN(2)/25)*BQ107+(1-EXP(-LN(2)/25))/(LN(2)/25)*Calculateur!BL108*Calculateur!BN108*VLOOKUP('Données projet'!$B$11,Paramètres!$A$1:$I$89,3,0)*0.475*44/12</f>
        <v>0.9126229927159879</v>
      </c>
      <c r="BR108" s="21">
        <f>EXP(-LN(2)/2)*BR107+(1-EXP(-LN(2)/2))/(LN(2)/2)*BL108*BO108*VLOOKUP('Données projet'!$B$11,Paramètres!$A$1:$I$89,3,0)*0.475*44/12</f>
        <v>2.2120139744156961E-12</v>
      </c>
      <c r="BS108" s="22">
        <f t="shared" si="63"/>
        <v>9.2964186404160358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5.9871794871794863</v>
      </c>
      <c r="BY108" s="12">
        <f>IF('Données projet'!$A$114&gt;35,BY107+BX108-CG107,IF(A108&lt;'Données projet'!$A$114,$BV$205^A108,IF(A108='Données projet'!$A$114,'Données projet'!$B$114,BY107+BX108-CG107)))</f>
        <v>265.21153846153874</v>
      </c>
      <c r="BZ108" s="13">
        <f>BY108*VLOOKUP('Données projet'!$B$12,Paramètres!$A$1:$I$89,3,0)*VLOOKUP('Données projet'!$B$12,Paramètres!$A$1:$I$89,5,0)</f>
        <v>239.96340000000023</v>
      </c>
      <c r="CA108" s="13">
        <f t="shared" si="93"/>
        <v>58.431655744026038</v>
      </c>
      <c r="CB108" s="20">
        <f t="shared" si="64"/>
        <v>519.70472208751232</v>
      </c>
      <c r="CC108" s="59">
        <f t="shared" si="65"/>
        <v>813.03805542084569</v>
      </c>
      <c r="CD108" s="59">
        <f ca="1">AVERAGE(OFFSET($CC$3,0,0,'Données projet'!$E$12+1,1))-AVERAGE(OFFSET($H$3,0,0,'Données projet'!$E$12+1,1))</f>
        <v>437.94387006020412</v>
      </c>
      <c r="CE108" s="59">
        <f t="shared" si="94"/>
        <v>213.95083535531376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17.457635012996242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17.457635012996242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4.6992307692307689</v>
      </c>
      <c r="CT108" s="12">
        <f>IF('Données projet'!$A$140&gt;35,CT107+CS108-DB107,IF(A108&lt;'Données projet'!$A$140,$CQ$205^A108,IF(A108='Données projet'!$A$140,'Données projet'!$B$140,CT107+CS108-DB107)))</f>
        <v>243.58076923076959</v>
      </c>
      <c r="CU108" s="17">
        <f>CT108*VLOOKUP('Données projet'!$B$13,Paramètres!$A$1:$I$89,3,0)*VLOOKUP('Données projet'!$B$13,Paramètres!$A$1:$I$89,5,0)</f>
        <v>117.16235000000017</v>
      </c>
      <c r="CV108" s="13">
        <f t="shared" si="95"/>
        <v>31.012245056346568</v>
      </c>
      <c r="CW108" s="20">
        <f t="shared" si="67"/>
        <v>258.07075305647055</v>
      </c>
      <c r="CX108" s="59">
        <f t="shared" si="68"/>
        <v>551.40408638980387</v>
      </c>
      <c r="CY108" s="59">
        <f ca="1">AVERAGE(OFFSET($CX$3,0,0,'Données projet'!$E$13+1,1))-AVERAGE(OFFSET($H$3,0,0,'Données projet'!$E$13+1,1))</f>
        <v>258.42493116335032</v>
      </c>
      <c r="CZ108" s="59">
        <f t="shared" si="96"/>
        <v>102.46122697336466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88.826231003475769</v>
      </c>
      <c r="DG108" s="21">
        <f>EXP(-LN(2)/25)*DG107+(1-EXP(-LN(2)/25))/(LN(2)/25)*Calculateur!DB108*Calculateur!DD108*VLOOKUP('Données projet'!$B$13,Paramètres!$A$1:$I$89,3,0)*0.475*44/12</f>
        <v>22.801197436464349</v>
      </c>
      <c r="DH108" s="21">
        <f>EXP(-LN(2)/2)*DH107+(1-EXP(-LN(2)/2))/(LN(2)/2)*DB108*DE108*VLOOKUP('Données projet'!$B$13,Paramètres!$A$1:$I$89,3,0)*0.475*44/12</f>
        <v>2.2867216024765309</v>
      </c>
      <c r="DI108" s="22">
        <f t="shared" si="69"/>
        <v>113.91415004241665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243</v>
      </c>
      <c r="DP108" s="17">
        <f>DO108*VLOOKUP('Données projet'!$B$14,Paramètres!$A$1:$I$89,3,0)*VLOOKUP('Données projet'!$B$14,Paramètres!$A$1:$I$89,5,0)</f>
        <v>212.28480000000002</v>
      </c>
      <c r="DQ108" s="13">
        <f t="shared" si="97"/>
        <v>52.434557099704193</v>
      </c>
      <c r="DR108" s="20">
        <f t="shared" si="70"/>
        <v>461.05288028198476</v>
      </c>
      <c r="DS108" s="59">
        <f t="shared" si="71"/>
        <v>754.38621361531807</v>
      </c>
      <c r="DT108" s="59">
        <f ca="1">AVERAGE(OFFSET($DS$3,0,0,'Données projet'!$E$14+1,1))-AVERAGE(OFFSET($H$3,0,0,'Données projet'!$E$14+1,1))</f>
        <v>354.24684313982857</v>
      </c>
      <c r="DU108" s="59">
        <f t="shared" si="98"/>
        <v>322.65043486962185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24.6831857760865</v>
      </c>
      <c r="EB108" s="21">
        <f>EXP(-LN(2)/25)*EB107+(1-EXP(-LN(2)/25))/(LN(2)/25)*Calculateur!DW108*Calculateur!DY108*VLOOKUP('Données projet'!$B$14,Paramètres!$A$1:$I$89,3,0)*0.475*44/12</f>
        <v>12.962961025000475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37.646146801086971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-6.7984728957526396E-14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355.09162485318728</v>
      </c>
      <c r="T109" s="59">
        <f t="shared" si="88"/>
        <v>320.06572891923685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98.449125036691342</v>
      </c>
      <c r="AA109" s="21">
        <f>EXP(-LN(2)/25)*AA108+(1-EXP(-LN(2)/25))/(LN(2)/25)*Calculateur!V109*Calculateur!X109*VLOOKUP('Données projet'!$B$9,Paramètres!$A$1:$I$89,3,0)*0.475*44/12</f>
        <v>18.457735370877788</v>
      </c>
      <c r="AB109" s="21">
        <f>EXP(-LN(2)/2)*AB108+(1-EXP(-LN(2)/2))/(LN(2)/2)*V109*Y109*VLOOKUP('Données projet'!$B$9,Paramètres!$A$1:$I$89,3,0)*0.475*44/12</f>
        <v>1.4248698643933154E-3</v>
      </c>
      <c r="AC109" s="22">
        <f t="shared" si="57"/>
        <v>116.90828527743352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5.6546153846153828</v>
      </c>
      <c r="AI109" s="13">
        <f>IF('Données projet'!$A$62&gt;35,AI108+AH109-AQ108,IF(A109&lt;'Données projet'!$A$62,$AF$205^A109,IF(A109='Données projet'!$A$62,'Données projet'!$B$62,AI108+AH109-AQ108)))</f>
        <v>239.12846153846203</v>
      </c>
      <c r="AJ109" s="13">
        <f>AI109*VLOOKUP('Données projet'!$B$10,Paramètres!$A$1:$I$89,3,0)*VLOOKUP('Données projet'!$B$10,Paramètres!$A$1:$I$89,5,0)</f>
        <v>111.91212000000023</v>
      </c>
      <c r="AK109" s="13">
        <f t="shared" si="89"/>
        <v>29.781042105276512</v>
      </c>
      <c r="AL109" s="20">
        <f t="shared" si="58"/>
        <v>246.78225733335694</v>
      </c>
      <c r="AM109" s="59">
        <f t="shared" si="59"/>
        <v>540.1155906666902</v>
      </c>
      <c r="AN109" s="59">
        <f ca="1">AVERAGE(OFFSET($AM$3,0,0,'Données projet'!$E$10+1,1))-AVERAGE(OFFSET($H$3,0,0,'Données projet'!$E$10+1,1))</f>
        <v>246.72166704460847</v>
      </c>
      <c r="AO109" s="59">
        <f t="shared" si="90"/>
        <v>145.54897745089966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76.941475720203186</v>
      </c>
      <c r="AV109" s="21">
        <f>EXP(-LN(2)/25)*AV108+(1-EXP(-LN(2)/25))/(LN(2)/25)*Calculateur!AQ109*Calculateur!AS109*VLOOKUP('Données projet'!$B$10,Paramètres!$A$1:$I$89,3,0)*0.475*44/12</f>
        <v>20.228914504738601</v>
      </c>
      <c r="AW109" s="21">
        <f>EXP(-LN(2)/2)*AW108+(1-EXP(-LN(2)/2))/(LN(2)/2)*AQ109*AT109*VLOOKUP('Données projet'!$B$10,Paramètres!$A$1:$I$89,3,0)*0.475*44/12</f>
        <v>1.2342367444333766</v>
      </c>
      <c r="AX109" s="21">
        <f t="shared" si="60"/>
        <v>98.404626969375158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88.478637356802039</v>
      </c>
      <c r="BJ109" s="59">
        <f t="shared" si="92"/>
        <v>239.55411297259155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8.219394528656899</v>
      </c>
      <c r="BQ109" s="21">
        <f>EXP(-LN(2)/25)*BQ108+(1-EXP(-LN(2)/25))/(LN(2)/25)*Calculateur!BL109*Calculateur!BN109*VLOOKUP('Données projet'!$B$11,Paramètres!$A$1:$I$89,3,0)*0.475*44/12</f>
        <v>0.88766726898741188</v>
      </c>
      <c r="BR109" s="21">
        <f>EXP(-LN(2)/2)*BR108+(1-EXP(-LN(2)/2))/(LN(2)/2)*BL109*BO109*VLOOKUP('Données projet'!$B$11,Paramètres!$A$1:$I$89,3,0)*0.475*44/12</f>
        <v>1.564130081388745E-12</v>
      </c>
      <c r="BS109" s="22">
        <f t="shared" si="63"/>
        <v>9.1070617976458763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5.9871794871794863</v>
      </c>
      <c r="BY109" s="12">
        <f>IF('Données projet'!$A$114&gt;35,BY108+BX109-CG108,IF(A109&lt;'Données projet'!$A$114,$BV$205^A109,IF(A109='Données projet'!$A$114,'Données projet'!$B$114,BY108+BX109-CG108)))</f>
        <v>271.19871794871824</v>
      </c>
      <c r="BZ109" s="13">
        <f>BY109*VLOOKUP('Données projet'!$B$12,Paramètres!$A$1:$I$89,3,0)*VLOOKUP('Données projet'!$B$12,Paramètres!$A$1:$I$89,5,0)</f>
        <v>245.38060000000027</v>
      </c>
      <c r="CA109" s="13">
        <f t="shared" si="93"/>
        <v>59.595694725321401</v>
      </c>
      <c r="CB109" s="20">
        <f t="shared" si="64"/>
        <v>531.16704664660199</v>
      </c>
      <c r="CC109" s="59">
        <f t="shared" si="65"/>
        <v>824.50037997993536</v>
      </c>
      <c r="CD109" s="59">
        <f ca="1">AVERAGE(OFFSET($CC$3,0,0,'Données projet'!$E$12+1,1))-AVERAGE(OFFSET($H$3,0,0,'Données projet'!$E$12+1,1))</f>
        <v>437.94387006020412</v>
      </c>
      <c r="CE109" s="59">
        <f t="shared" si="94"/>
        <v>213.95083535531376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17.11530143849733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17.11530143849733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4.6992307692307689</v>
      </c>
      <c r="CT109" s="12">
        <f>IF('Données projet'!$A$140&gt;35,CT108+CS109-DB108,IF(A109&lt;'Données projet'!$A$140,$CQ$205^A109,IF(A109='Données projet'!$A$140,'Données projet'!$B$140,CT108+CS109-DB108)))</f>
        <v>248.28000000000037</v>
      </c>
      <c r="CU109" s="17">
        <f>CT109*VLOOKUP('Données projet'!$B$13,Paramètres!$A$1:$I$89,3,0)*VLOOKUP('Données projet'!$B$13,Paramètres!$A$1:$I$89,5,0)</f>
        <v>119.42268000000017</v>
      </c>
      <c r="CV109" s="13">
        <f t="shared" si="95"/>
        <v>31.540311114980504</v>
      </c>
      <c r="CW109" s="20">
        <f t="shared" si="67"/>
        <v>262.92720952525798</v>
      </c>
      <c r="CX109" s="59">
        <f t="shared" si="68"/>
        <v>556.26054285859129</v>
      </c>
      <c r="CY109" s="59">
        <f ca="1">AVERAGE(OFFSET($CX$3,0,0,'Données projet'!$E$13+1,1))-AVERAGE(OFFSET($H$3,0,0,'Données projet'!$E$13+1,1))</f>
        <v>258.42493116335032</v>
      </c>
      <c r="CZ109" s="59">
        <f t="shared" si="96"/>
        <v>102.46122697336466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87.084402792148822</v>
      </c>
      <c r="DG109" s="21">
        <f>EXP(-LN(2)/25)*DG108+(1-EXP(-LN(2)/25))/(LN(2)/25)*Calculateur!DB109*Calculateur!DD109*VLOOKUP('Données projet'!$B$13,Paramètres!$A$1:$I$89,3,0)*0.475*44/12</f>
        <v>22.17769749350137</v>
      </c>
      <c r="DH109" s="21">
        <f>EXP(-LN(2)/2)*DH108+(1-EXP(-LN(2)/2))/(LN(2)/2)*DB109*DE109*VLOOKUP('Données projet'!$B$13,Paramètres!$A$1:$I$89,3,0)*0.475*44/12</f>
        <v>1.6169563517969237</v>
      </c>
      <c r="DI109" s="22">
        <f t="shared" si="69"/>
        <v>110.87905663744712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243</v>
      </c>
      <c r="DP109" s="17">
        <f>DO109*VLOOKUP('Données projet'!$B$14,Paramètres!$A$1:$I$89,3,0)*VLOOKUP('Données projet'!$B$14,Paramètres!$A$1:$I$89,5,0)</f>
        <v>212.28480000000002</v>
      </c>
      <c r="DQ109" s="13">
        <f t="shared" si="97"/>
        <v>52.434557099704193</v>
      </c>
      <c r="DR109" s="20">
        <f t="shared" si="70"/>
        <v>461.05288028198476</v>
      </c>
      <c r="DS109" s="59">
        <f t="shared" si="71"/>
        <v>754.38621361531807</v>
      </c>
      <c r="DT109" s="59">
        <f ca="1">AVERAGE(OFFSET($DS$3,0,0,'Données projet'!$E$14+1,1))-AVERAGE(OFFSET($H$3,0,0,'Données projet'!$E$14+1,1))</f>
        <v>354.24684313982857</v>
      </c>
      <c r="DU109" s="59">
        <f t="shared" si="98"/>
        <v>322.65043486962185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24.199163558274183</v>
      </c>
      <c r="EB109" s="21">
        <f>EXP(-LN(2)/25)*EB108+(1-EXP(-LN(2)/25))/(LN(2)/25)*Calculateur!DW109*Calculateur!DY109*VLOOKUP('Données projet'!$B$14,Paramètres!$A$1:$I$89,3,0)*0.475*44/12</f>
        <v>12.608488174079344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36.807651732353527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-6.7984728957526396E-14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355.09162485318728</v>
      </c>
      <c r="T110" s="59">
        <f t="shared" si="88"/>
        <v>320.06572891923685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96.518597742758843</v>
      </c>
      <c r="AA110" s="21">
        <f>EXP(-LN(2)/25)*AA109+(1-EXP(-LN(2)/25))/(LN(2)/25)*Calculateur!V110*Calculateur!X110*VLOOKUP('Données projet'!$B$9,Paramètres!$A$1:$I$89,3,0)*0.475*44/12</f>
        <v>17.953007626511017</v>
      </c>
      <c r="AB110" s="21">
        <f>EXP(-LN(2)/2)*AB109+(1-EXP(-LN(2)/2))/(LN(2)/2)*V110*Y110*VLOOKUP('Données projet'!$B$9,Paramètres!$A$1:$I$89,3,0)*0.475*44/12</f>
        <v>1.0075351434208697E-3</v>
      </c>
      <c r="AC110" s="22">
        <f t="shared" si="57"/>
        <v>114.47261290441328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5.6546153846153828</v>
      </c>
      <c r="AI110" s="13">
        <f>IF('Données projet'!$A$62&gt;35,AI109+AH110-AQ109,IF(A110&lt;'Données projet'!$A$62,$AF$205^A110,IF(A110='Données projet'!$A$62,'Données projet'!$B$62,AI109+AH110-AQ109)))</f>
        <v>244.78307692307743</v>
      </c>
      <c r="AJ110" s="13">
        <f>AI110*VLOOKUP('Données projet'!$B$10,Paramètres!$A$1:$I$89,3,0)*VLOOKUP('Données projet'!$B$10,Paramètres!$A$1:$I$89,5,0)</f>
        <v>114.55848000000023</v>
      </c>
      <c r="AK110" s="13">
        <f t="shared" si="89"/>
        <v>30.402446748991956</v>
      </c>
      <c r="AL110" s="20">
        <f t="shared" si="58"/>
        <v>252.47361408782808</v>
      </c>
      <c r="AM110" s="59">
        <f t="shared" si="59"/>
        <v>545.80694742116134</v>
      </c>
      <c r="AN110" s="59">
        <f ca="1">AVERAGE(OFFSET($AM$3,0,0,'Données projet'!$E$10+1,1))-AVERAGE(OFFSET($H$3,0,0,'Données projet'!$E$10+1,1))</f>
        <v>246.72166704460847</v>
      </c>
      <c r="AO110" s="59">
        <f t="shared" si="90"/>
        <v>145.54897745089966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75.432700310996267</v>
      </c>
      <c r="AV110" s="21">
        <f>EXP(-LN(2)/25)*AV109+(1-EXP(-LN(2)/25))/(LN(2)/25)*Calculateur!AQ110*Calculateur!AS110*VLOOKUP('Données projet'!$B$10,Paramètres!$A$1:$I$89,3,0)*0.475*44/12</f>
        <v>19.675753773814144</v>
      </c>
      <c r="AW110" s="21">
        <f>EXP(-LN(2)/2)*AW109+(1-EXP(-LN(2)/2))/(LN(2)/2)*AQ110*AT110*VLOOKUP('Données projet'!$B$10,Paramètres!$A$1:$I$89,3,0)*0.475*44/12</f>
        <v>0.87273717157844843</v>
      </c>
      <c r="AX110" s="21">
        <f t="shared" si="60"/>
        <v>95.981191256388854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88.478637356802039</v>
      </c>
      <c r="BJ110" s="59">
        <f t="shared" si="92"/>
        <v>239.55411297259155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8.0582172152855733</v>
      </c>
      <c r="BQ110" s="21">
        <f>EXP(-LN(2)/25)*BQ109+(1-EXP(-LN(2)/25))/(LN(2)/25)*Calculateur!BL110*Calculateur!BN110*VLOOKUP('Données projet'!$B$11,Paramètres!$A$1:$I$89,3,0)*0.475*44/12</f>
        <v>0.86339396083655817</v>
      </c>
      <c r="BR110" s="21">
        <f>EXP(-LN(2)/2)*BR109+(1-EXP(-LN(2)/2))/(LN(2)/2)*BL110*BO110*VLOOKUP('Données projet'!$B$11,Paramètres!$A$1:$I$89,3,0)*0.475*44/12</f>
        <v>1.1060069872078481E-12</v>
      </c>
      <c r="BS110" s="22">
        <f t="shared" si="63"/>
        <v>8.9216111761232373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5.9871794871794863</v>
      </c>
      <c r="BY110" s="12">
        <f>IF('Données projet'!$A$114&gt;35,BY109+BX110-CG109,IF(A110&lt;'Données projet'!$A$114,$BV$205^A110,IF(A110='Données projet'!$A$114,'Données projet'!$B$114,BY109+BX110-CG109)))</f>
        <v>277.18589743589774</v>
      </c>
      <c r="BZ110" s="13">
        <f>BY110*VLOOKUP('Données projet'!$B$12,Paramètres!$A$1:$I$89,3,0)*VLOOKUP('Données projet'!$B$12,Paramètres!$A$1:$I$89,5,0)</f>
        <v>250.79780000000028</v>
      </c>
      <c r="CA110" s="13">
        <f t="shared" si="93"/>
        <v>60.756746023390114</v>
      </c>
      <c r="CB110" s="20">
        <f t="shared" si="64"/>
        <v>542.62416765740488</v>
      </c>
      <c r="CC110" s="59">
        <f t="shared" si="65"/>
        <v>835.95750099073825</v>
      </c>
      <c r="CD110" s="59">
        <f ca="1">AVERAGE(OFFSET($CC$3,0,0,'Données projet'!$E$12+1,1))-AVERAGE(OFFSET($H$3,0,0,'Données projet'!$E$12+1,1))</f>
        <v>437.94387006020412</v>
      </c>
      <c r="CE110" s="59">
        <f t="shared" si="94"/>
        <v>213.95083535531376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16.77968081659148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16.77968081659148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4.6992307692307689</v>
      </c>
      <c r="CT110" s="12">
        <f>IF('Données projet'!$A$140&gt;35,CT109+CS110-DB109,IF(A110&lt;'Données projet'!$A$140,$CQ$205^A110,IF(A110='Données projet'!$A$140,'Données projet'!$B$140,CT109+CS110-DB109)))</f>
        <v>252.97923076923115</v>
      </c>
      <c r="CU110" s="17">
        <f>CT110*VLOOKUP('Données projet'!$B$13,Paramètres!$A$1:$I$89,3,0)*VLOOKUP('Données projet'!$B$13,Paramètres!$A$1:$I$89,5,0)</f>
        <v>121.68301000000018</v>
      </c>
      <c r="CV110" s="13">
        <f t="shared" si="95"/>
        <v>32.06721498833739</v>
      </c>
      <c r="CW110" s="20">
        <f t="shared" si="67"/>
        <v>267.78164185468796</v>
      </c>
      <c r="CX110" s="59">
        <f t="shared" si="68"/>
        <v>561.11497518802128</v>
      </c>
      <c r="CY110" s="59">
        <f ca="1">AVERAGE(OFFSET($CX$3,0,0,'Données projet'!$E$13+1,1))-AVERAGE(OFFSET($H$3,0,0,'Données projet'!$E$13+1,1))</f>
        <v>258.42493116335032</v>
      </c>
      <c r="CZ110" s="59">
        <f t="shared" si="96"/>
        <v>102.46122697336466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85.376730769635699</v>
      </c>
      <c r="DG110" s="21">
        <f>EXP(-LN(2)/25)*DG109+(1-EXP(-LN(2)/25))/(LN(2)/25)*Calculateur!DB110*Calculateur!DD110*VLOOKUP('Données projet'!$B$13,Paramètres!$A$1:$I$89,3,0)*0.475*44/12</f>
        <v>21.571247189267151</v>
      </c>
      <c r="DH110" s="21">
        <f>EXP(-LN(2)/2)*DH109+(1-EXP(-LN(2)/2))/(LN(2)/2)*DB110*DE110*VLOOKUP('Données projet'!$B$13,Paramètres!$A$1:$I$89,3,0)*0.475*44/12</f>
        <v>1.1433608012382654</v>
      </c>
      <c r="DI110" s="22">
        <f t="shared" si="69"/>
        <v>108.09133876014111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243</v>
      </c>
      <c r="DP110" s="17">
        <f>DO110*VLOOKUP('Données projet'!$B$14,Paramètres!$A$1:$I$89,3,0)*VLOOKUP('Données projet'!$B$14,Paramètres!$A$1:$I$89,5,0)</f>
        <v>212.28480000000002</v>
      </c>
      <c r="DQ110" s="13">
        <f t="shared" si="97"/>
        <v>52.434557099704193</v>
      </c>
      <c r="DR110" s="20">
        <f t="shared" si="70"/>
        <v>461.05288028198476</v>
      </c>
      <c r="DS110" s="59">
        <f t="shared" si="71"/>
        <v>754.38621361531807</v>
      </c>
      <c r="DT110" s="59">
        <f ca="1">AVERAGE(OFFSET($DS$3,0,0,'Données projet'!$E$14+1,1))-AVERAGE(OFFSET($H$3,0,0,'Données projet'!$E$14+1,1))</f>
        <v>354.24684313982857</v>
      </c>
      <c r="DU110" s="59">
        <f t="shared" si="98"/>
        <v>322.65043486962185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23.724632720928764</v>
      </c>
      <c r="EB110" s="21">
        <f>EXP(-LN(2)/25)*EB109+(1-EXP(-LN(2)/25))/(LN(2)/25)*Calculateur!DW110*Calculateur!DY110*VLOOKUP('Données projet'!$B$14,Paramètres!$A$1:$I$89,3,0)*0.475*44/12</f>
        <v>12.263708401907568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35.988341122836331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-6.7984728957526396E-14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355.09162485318728</v>
      </c>
      <c r="T111" s="59">
        <f t="shared" si="88"/>
        <v>320.06572891923685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94.625926911554984</v>
      </c>
      <c r="AA111" s="21">
        <f>EXP(-LN(2)/25)*AA110+(1-EXP(-LN(2)/25))/(LN(2)/25)*Calculateur!V111*Calculateur!X111*VLOOKUP('Données projet'!$B$9,Paramètres!$A$1:$I$89,3,0)*0.475*44/12</f>
        <v>17.462081688856433</v>
      </c>
      <c r="AB111" s="21">
        <f>EXP(-LN(2)/2)*AB110+(1-EXP(-LN(2)/2))/(LN(2)/2)*V111*Y111*VLOOKUP('Données projet'!$B$9,Paramètres!$A$1:$I$89,3,0)*0.475*44/12</f>
        <v>7.1243493219665772E-4</v>
      </c>
      <c r="AC111" s="22">
        <f t="shared" si="57"/>
        <v>112.08872103534361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5.6546153846153828</v>
      </c>
      <c r="AI111" s="13">
        <f>IF('Données projet'!$A$62&gt;35,AI110+AH111-AQ110,IF(A111&lt;'Données projet'!$A$62,$AF$205^A111,IF(A111='Données projet'!$A$62,'Données projet'!$B$62,AI110+AH111-AQ110)))</f>
        <v>250.43769230769283</v>
      </c>
      <c r="AJ111" s="13">
        <f>AI111*VLOOKUP('Données projet'!$B$10,Paramètres!$A$1:$I$89,3,0)*VLOOKUP('Données projet'!$B$10,Paramètres!$A$1:$I$89,5,0)</f>
        <v>117.20484000000023</v>
      </c>
      <c r="AK111" s="13">
        <f t="shared" si="89"/>
        <v>31.02218258527553</v>
      </c>
      <c r="AL111" s="20">
        <f t="shared" si="58"/>
        <v>258.16206433602196</v>
      </c>
      <c r="AM111" s="59">
        <f t="shared" si="59"/>
        <v>551.49539766935527</v>
      </c>
      <c r="AN111" s="59">
        <f ca="1">AVERAGE(OFFSET($AM$3,0,0,'Données projet'!$E$10+1,1))-AVERAGE(OFFSET($H$3,0,0,'Données projet'!$E$10+1,1))</f>
        <v>246.72166704460847</v>
      </c>
      <c r="AO111" s="59">
        <f t="shared" si="90"/>
        <v>145.54897745089966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73.953511067301775</v>
      </c>
      <c r="AV111" s="21">
        <f>EXP(-LN(2)/25)*AV110+(1-EXP(-LN(2)/25))/(LN(2)/25)*Calculateur!AQ111*Calculateur!AS111*VLOOKUP('Données projet'!$B$10,Paramètres!$A$1:$I$89,3,0)*0.475*44/12</f>
        <v>19.137719252166274</v>
      </c>
      <c r="AW111" s="21">
        <f>EXP(-LN(2)/2)*AW110+(1-EXP(-LN(2)/2))/(LN(2)/2)*AQ111*AT111*VLOOKUP('Données projet'!$B$10,Paramètres!$A$1:$I$89,3,0)*0.475*44/12</f>
        <v>0.61711837221668842</v>
      </c>
      <c r="AX111" s="21">
        <f t="shared" si="60"/>
        <v>93.708348691684748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88.478637356802039</v>
      </c>
      <c r="BJ111" s="59">
        <f t="shared" si="92"/>
        <v>239.55411297259155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7.9002004907210059</v>
      </c>
      <c r="BQ111" s="21">
        <f>EXP(-LN(2)/25)*BQ110+(1-EXP(-LN(2)/25))/(LN(2)/25)*Calculateur!BL111*Calculateur!BN111*VLOOKUP('Données projet'!$B$11,Paramètres!$A$1:$I$89,3,0)*0.475*44/12</f>
        <v>0.83978440757356743</v>
      </c>
      <c r="BR111" s="21">
        <f>EXP(-LN(2)/2)*BR110+(1-EXP(-LN(2)/2))/(LN(2)/2)*BL111*BO111*VLOOKUP('Données projet'!$B$11,Paramètres!$A$1:$I$89,3,0)*0.475*44/12</f>
        <v>7.8206504069437249E-13</v>
      </c>
      <c r="BS111" s="22">
        <f t="shared" si="63"/>
        <v>8.7399848982953543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>
        <f>VLOOKUP(A111,'Données projet'!$A$113:$I$133,2,0)</f>
        <v>283.17307692307691</v>
      </c>
      <c r="BW111" s="12">
        <f>VLOOKUP(A111,'Données projet'!$A$113:$I$133,9,0)</f>
        <v>5.9871794871794863</v>
      </c>
      <c r="BX111" s="12">
        <f t="array" ref="BX111">INDEX(BW:BW,MIN(IF(ISNUMBER(BW111:BW307),ROW(BW111:BW307),"")))</f>
        <v>5.9871794871794863</v>
      </c>
      <c r="BY111" s="12">
        <f>IF('Données projet'!$A$114&gt;35,BY110+BX111-CG110,IF(A111&lt;'Données projet'!$A$114,$BV$205^A111,IF(A111='Données projet'!$A$114,'Données projet'!$B$114,BY110+BX111-CG110)))</f>
        <v>283.17307692307725</v>
      </c>
      <c r="BZ111" s="13">
        <f>BY111*VLOOKUP('Données projet'!$B$12,Paramètres!$A$1:$I$89,3,0)*VLOOKUP('Données projet'!$B$12,Paramètres!$A$1:$I$89,5,0)</f>
        <v>256.21500000000026</v>
      </c>
      <c r="CA111" s="13">
        <f t="shared" si="93"/>
        <v>61.914881604320058</v>
      </c>
      <c r="CB111" s="20">
        <f t="shared" si="64"/>
        <v>554.07621046085785</v>
      </c>
      <c r="CC111" s="59">
        <f t="shared" si="65"/>
        <v>847.40954379419122</v>
      </c>
      <c r="CD111" s="59">
        <f ca="1">AVERAGE(OFFSET($CC$3,0,0,'Données projet'!$E$12+1,1))-AVERAGE(OFFSET($H$3,0,0,'Données projet'!$E$12+1,1))</f>
        <v>437.94387006020412</v>
      </c>
      <c r="CE111" s="59">
        <f t="shared" si="94"/>
        <v>213.95083535531376</v>
      </c>
      <c r="CF111" s="15">
        <f>IF(ISNA(VLOOKUP(A111,'Données projet'!$A$113:$I$133,3,0)),0,VLOOKUP(A111,'Données projet'!$A$113:$I$133,3,0))</f>
        <v>9</v>
      </c>
      <c r="CG111" s="15">
        <f>IF(ISNA(VLOOKUP(A111,'Données projet'!$A$113:$I$133,4,0)),0,VLOOKUP(A111,'Données projet'!$A$113:$I$133,4,0))</f>
        <v>42.352564102564095</v>
      </c>
      <c r="CH111" s="16">
        <f>IF(ISNA(VLOOKUP(A111,'Données projet'!$A$113:$I$133,5,0)),0%,VLOOKUP(A111,'Données projet'!$A$113:$I$133,5,0)*VLOOKUP('Données projet'!$B$12,Paramètres!$A$1:$I$89,7,0))</f>
        <v>0.30099999999999999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29.201690266377874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29.201690266377874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4.6992307692307689</v>
      </c>
      <c r="CT111" s="12">
        <f>IF('Données projet'!$A$140&gt;35,CT110+CS111-DB110,IF(A111&lt;'Données projet'!$A$140,$CQ$205^A111,IF(A111='Données projet'!$A$140,'Données projet'!$B$140,CT110+CS111-DB110)))</f>
        <v>257.67846153846193</v>
      </c>
      <c r="CU111" s="17">
        <f>CT111*VLOOKUP('Données projet'!$B$13,Paramètres!$A$1:$I$89,3,0)*VLOOKUP('Données projet'!$B$13,Paramètres!$A$1:$I$89,5,0)</f>
        <v>123.94334000000019</v>
      </c>
      <c r="CV111" s="13">
        <f t="shared" si="95"/>
        <v>32.592980754286302</v>
      </c>
      <c r="CW111" s="20">
        <f t="shared" si="67"/>
        <v>272.63409198038227</v>
      </c>
      <c r="CX111" s="59">
        <f t="shared" si="68"/>
        <v>565.96742531371558</v>
      </c>
      <c r="CY111" s="59">
        <f ca="1">AVERAGE(OFFSET($CX$3,0,0,'Données projet'!$E$13+1,1))-AVERAGE(OFFSET($H$3,0,0,'Données projet'!$E$13+1,1))</f>
        <v>258.42493116335032</v>
      </c>
      <c r="CZ111" s="59">
        <f t="shared" si="96"/>
        <v>102.46122697336466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83.702545153906968</v>
      </c>
      <c r="DG111" s="21">
        <f>EXP(-LN(2)/25)*DG110+(1-EXP(-LN(2)/25))/(LN(2)/25)*Calculateur!DB111*Calculateur!DD111*VLOOKUP('Données projet'!$B$13,Paramètres!$A$1:$I$89,3,0)*0.475*44/12</f>
        <v>20.981380300494052</v>
      </c>
      <c r="DH111" s="21">
        <f>EXP(-LN(2)/2)*DH110+(1-EXP(-LN(2)/2))/(LN(2)/2)*DB111*DE111*VLOOKUP('Données projet'!$B$13,Paramètres!$A$1:$I$89,3,0)*0.475*44/12</f>
        <v>0.80847817589846183</v>
      </c>
      <c r="DI111" s="22">
        <f t="shared" si="69"/>
        <v>105.49240363029948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243</v>
      </c>
      <c r="DP111" s="17">
        <f>DO111*VLOOKUP('Données projet'!$B$14,Paramètres!$A$1:$I$89,3,0)*VLOOKUP('Données projet'!$B$14,Paramètres!$A$1:$I$89,5,0)</f>
        <v>212.28480000000002</v>
      </c>
      <c r="DQ111" s="13">
        <f t="shared" si="97"/>
        <v>52.434557099704193</v>
      </c>
      <c r="DR111" s="20">
        <f t="shared" si="70"/>
        <v>461.05288028198476</v>
      </c>
      <c r="DS111" s="59">
        <f t="shared" si="71"/>
        <v>754.38621361531807</v>
      </c>
      <c r="DT111" s="59">
        <f ca="1">AVERAGE(OFFSET($DS$3,0,0,'Données projet'!$E$14+1,1))-AVERAGE(OFFSET($H$3,0,0,'Données projet'!$E$14+1,1))</f>
        <v>354.24684313982857</v>
      </c>
      <c r="DU111" s="59">
        <f t="shared" si="98"/>
        <v>322.65043486962185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23.259407143868458</v>
      </c>
      <c r="EB111" s="21">
        <f>EXP(-LN(2)/25)*EB110+(1-EXP(-LN(2)/25))/(LN(2)/25)*Calculateur!DW111*Calculateur!DY111*VLOOKUP('Données projet'!$B$14,Paramètres!$A$1:$I$89,3,0)*0.475*44/12</f>
        <v>11.92835665073701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35.187763794605466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-6.7984728957526396E-14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355.09162485318728</v>
      </c>
      <c r="T112" s="59">
        <f t="shared" si="88"/>
        <v>320.06572891923685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92.770370200935815</v>
      </c>
      <c r="AA112" s="21">
        <f>EXP(-LN(2)/25)*AA111+(1-EXP(-LN(2)/25))/(LN(2)/25)*Calculateur!V112*Calculateur!X112*VLOOKUP('Données projet'!$B$9,Paramètres!$A$1:$I$89,3,0)*0.475*44/12</f>
        <v>16.984580146783689</v>
      </c>
      <c r="AB112" s="21">
        <f>EXP(-LN(2)/2)*AB111+(1-EXP(-LN(2)/2))/(LN(2)/2)*V112*Y112*VLOOKUP('Données projet'!$B$9,Paramètres!$A$1:$I$89,3,0)*0.475*44/12</f>
        <v>5.0376757171043487E-4</v>
      </c>
      <c r="AC112" s="22">
        <f t="shared" si="57"/>
        <v>109.75545411529122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>
        <f>VLOOKUP(A112,'Données projet'!$A$61:$I$81,2,0)</f>
        <v>256.09230769230771</v>
      </c>
      <c r="AG112" s="12">
        <f>VLOOKUP(A112,'Données projet'!$A$61:$I$81,9,0)</f>
        <v>5.6546153846153828</v>
      </c>
      <c r="AH112" s="12">
        <f t="array" ref="AH112">INDEX(AG:AG,MIN(IF(ISNUMBER(AG112:AG308),ROW(AG112:AG308),"")))</f>
        <v>5.6546153846153828</v>
      </c>
      <c r="AI112" s="13">
        <f>IF('Données projet'!$A$62&gt;35,AI111+AH112-AQ111,IF(A112&lt;'Données projet'!$A$62,$AF$205^A112,IF(A112='Données projet'!$A$62,'Données projet'!$B$62,AI111+AH112-AQ111)))</f>
        <v>256.09230769230822</v>
      </c>
      <c r="AJ112" s="13">
        <f>AI112*VLOOKUP('Données projet'!$B$10,Paramètres!$A$1:$I$89,3,0)*VLOOKUP('Données projet'!$B$10,Paramètres!$A$1:$I$89,5,0)</f>
        <v>119.85120000000023</v>
      </c>
      <c r="AK112" s="13">
        <f t="shared" si="89"/>
        <v>31.640291631938272</v>
      </c>
      <c r="AL112" s="20">
        <f t="shared" si="58"/>
        <v>263.8476812589596</v>
      </c>
      <c r="AM112" s="59">
        <f t="shared" si="59"/>
        <v>557.18101459229297</v>
      </c>
      <c r="AN112" s="59">
        <f ca="1">AVERAGE(OFFSET($AM$3,0,0,'Données projet'!$E$10+1,1))-AVERAGE(OFFSET($H$3,0,0,'Données projet'!$E$10+1,1))</f>
        <v>246.72166704460847</v>
      </c>
      <c r="AO112" s="59">
        <f t="shared" si="90"/>
        <v>145.54897745089966</v>
      </c>
      <c r="AP112" s="15">
        <f>IF(ISNA(VLOOKUP(A112,'Données projet'!$A$61:$I$81,3,0)),0,VLOOKUP(A112,'Données projet'!$A$61:$I$81,3,0))</f>
        <v>6</v>
      </c>
      <c r="AQ112" s="15">
        <f>IF(ISNA(VLOOKUP(A112,'Données projet'!$A$61:$I$81,4,0)),0,VLOOKUP(A112,'Données projet'!$A$61:$I$81,4,0))</f>
        <v>256.09230769230771</v>
      </c>
      <c r="AR112" s="16">
        <f>IF(ISNA(VLOOKUP(A112,'Données projet'!$A$61:$I$81,5,0)),0%,VLOOKUP(A112,'Données projet'!$A$61:$I$81,5,0)*VLOOKUP('Données projet'!$B$10,Paramètres!$A$1:$I$89,7,0))</f>
        <v>0.38500000000000001</v>
      </c>
      <c r="AS112" s="16">
        <f>IF(ISNA(VLOOKUP(A112,'Données projet'!$A$61:$I$81,6,0)),0%,VLOOKUP(A112,'Données projet'!$A$61:$I$81,6,0)*VLOOKUP('Données projet'!$B$10,Paramètres!$A$1:$I$89,7,0))</f>
        <v>9.240000000000001E-2</v>
      </c>
      <c r="AT112" s="16">
        <f>IF(ISNA(VLOOKUP(A112,'Données projet'!$A$61:$I$81,7,0)),0%,VLOOKUP(A112,'Données projet'!$A$61:$I$81,7,0))</f>
        <v>0.13200000000000001</v>
      </c>
      <c r="AU112" s="21">
        <f>EXP(-LN(2)/35)*AU111+(1-EXP(-LN(2)/35))/(LN(2)/35)*AQ112*AR112*VLOOKUP('Données projet'!$B$10,Paramètres!$A$1:$I$89,3,0)*0.475*44/12</f>
        <v>133.7146094392433</v>
      </c>
      <c r="AV112" s="21">
        <f>EXP(-LN(2)/25)*AV111+(1-EXP(-LN(2)/25))/(LN(2)/25)*Calculateur!AQ112*Calculateur!AS112*VLOOKUP('Données projet'!$B$10,Paramètres!$A$1:$I$89,3,0)*0.475*44/12</f>
        <v>33.247261987462423</v>
      </c>
      <c r="AW112" s="21">
        <f>EXP(-LN(2)/2)*AW111+(1-EXP(-LN(2)/2))/(LN(2)/2)*AQ112*AT112*VLOOKUP('Données projet'!$B$10,Paramètres!$A$1:$I$89,3,0)*0.475*44/12</f>
        <v>18.348689324713348</v>
      </c>
      <c r="AX112" s="21">
        <f t="shared" si="60"/>
        <v>185.31056075141908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88.478637356802039</v>
      </c>
      <c r="BJ112" s="59">
        <f t="shared" si="92"/>
        <v>239.55411297259155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7.7452823777444646</v>
      </c>
      <c r="BQ112" s="21">
        <f>EXP(-LN(2)/25)*BQ111+(1-EXP(-LN(2)/25))/(LN(2)/25)*Calculateur!BL112*Calculateur!BN112*VLOOKUP('Données projet'!$B$11,Paramètres!$A$1:$I$89,3,0)*0.475*44/12</f>
        <v>0.81682045878612564</v>
      </c>
      <c r="BR112" s="21">
        <f>EXP(-LN(2)/2)*BR111+(1-EXP(-LN(2)/2))/(LN(2)/2)*BL112*BO112*VLOOKUP('Données projet'!$B$11,Paramètres!$A$1:$I$89,3,0)*0.475*44/12</f>
        <v>5.5300349360392403E-13</v>
      </c>
      <c r="BS112" s="22">
        <f t="shared" si="63"/>
        <v>8.5621028365311425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5.9660256410256407</v>
      </c>
      <c r="BY112" s="12">
        <f>IF('Données projet'!$A$114&gt;35,BY111+BX112-CG111,IF(A112&lt;'Données projet'!$A$114,$BV$205^A112,IF(A112='Données projet'!$A$114,'Données projet'!$B$114,BY111+BX112-CG111)))</f>
        <v>246.78653846153878</v>
      </c>
      <c r="BZ112" s="13">
        <f>BY112*VLOOKUP('Données projet'!$B$12,Paramètres!$A$1:$I$89,3,0)*VLOOKUP('Données projet'!$B$12,Paramètres!$A$1:$I$89,5,0)</f>
        <v>223.29246000000029</v>
      </c>
      <c r="CA112" s="13">
        <f t="shared" si="93"/>
        <v>54.829865786883396</v>
      </c>
      <c r="CB112" s="20">
        <f t="shared" si="64"/>
        <v>484.39638407882239</v>
      </c>
      <c r="CC112" s="59">
        <f t="shared" si="65"/>
        <v>777.72971741215565</v>
      </c>
      <c r="CD112" s="59">
        <f ca="1">AVERAGE(OFFSET($CC$3,0,0,'Données projet'!$E$12+1,1))-AVERAGE(OFFSET($H$3,0,0,'Données projet'!$E$12+1,1))</f>
        <v>437.94387006020412</v>
      </c>
      <c r="CE112" s="59">
        <f t="shared" si="94"/>
        <v>213.95083535531376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28.629062931526548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28.629062931526548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4.6992307692307689</v>
      </c>
      <c r="CT112" s="12">
        <f>IF('Données projet'!$A$140&gt;35,CT111+CS112-DB111,IF(A112&lt;'Données projet'!$A$140,$CQ$205^A112,IF(A112='Données projet'!$A$140,'Données projet'!$B$140,CT111+CS112-DB111)))</f>
        <v>262.37769230769271</v>
      </c>
      <c r="CU112" s="17">
        <f>CT112*VLOOKUP('Données projet'!$B$13,Paramètres!$A$1:$I$89,3,0)*VLOOKUP('Données projet'!$B$13,Paramètres!$A$1:$I$89,5,0)</f>
        <v>126.2036700000002</v>
      </c>
      <c r="CV112" s="13">
        <f t="shared" si="95"/>
        <v>33.117631562209624</v>
      </c>
      <c r="CW112" s="20">
        <f t="shared" si="67"/>
        <v>277.48460022084879</v>
      </c>
      <c r="CX112" s="59">
        <f t="shared" si="68"/>
        <v>570.8179335541821</v>
      </c>
      <c r="CY112" s="59">
        <f ca="1">AVERAGE(OFFSET($CX$3,0,0,'Données projet'!$E$13+1,1))-AVERAGE(OFFSET($H$3,0,0,'Données projet'!$E$13+1,1))</f>
        <v>258.42493116335032</v>
      </c>
      <c r="CZ112" s="59">
        <f t="shared" si="96"/>
        <v>102.46122697336466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82.061189296950275</v>
      </c>
      <c r="DG112" s="21">
        <f>EXP(-LN(2)/25)*DG111+(1-EXP(-LN(2)/25))/(LN(2)/25)*Calculateur!DB112*Calculateur!DD112*VLOOKUP('Données projet'!$B$13,Paramètres!$A$1:$I$89,3,0)*0.475*44/12</f>
        <v>20.407643352814205</v>
      </c>
      <c r="DH112" s="21">
        <f>EXP(-LN(2)/2)*DH111+(1-EXP(-LN(2)/2))/(LN(2)/2)*DB112*DE112*VLOOKUP('Données projet'!$B$13,Paramètres!$A$1:$I$89,3,0)*0.475*44/12</f>
        <v>0.57168040061913272</v>
      </c>
      <c r="DI112" s="22">
        <f t="shared" si="69"/>
        <v>103.04051305038361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243</v>
      </c>
      <c r="DP112" s="17">
        <f>DO112*VLOOKUP('Données projet'!$B$14,Paramètres!$A$1:$I$89,3,0)*VLOOKUP('Données projet'!$B$14,Paramètres!$A$1:$I$89,5,0)</f>
        <v>212.28480000000002</v>
      </c>
      <c r="DQ112" s="13">
        <f t="shared" si="97"/>
        <v>52.434557099704193</v>
      </c>
      <c r="DR112" s="20">
        <f t="shared" si="70"/>
        <v>461.05288028198476</v>
      </c>
      <c r="DS112" s="59">
        <f t="shared" si="71"/>
        <v>754.38621361531807</v>
      </c>
      <c r="DT112" s="59">
        <f ca="1">AVERAGE(OFFSET($DS$3,0,0,'Données projet'!$E$14+1,1))-AVERAGE(OFFSET($H$3,0,0,'Données projet'!$E$14+1,1))</f>
        <v>354.24684313982857</v>
      </c>
      <c r="DU112" s="59">
        <f t="shared" si="98"/>
        <v>322.65043486962185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22.803304356614721</v>
      </c>
      <c r="EB112" s="21">
        <f>EXP(-LN(2)/25)*EB111+(1-EXP(-LN(2)/25))/(LN(2)/25)*Calculateur!DW112*Calculateur!DY112*VLOOKUP('Données projet'!$B$14,Paramètres!$A$1:$I$89,3,0)*0.475*44/12</f>
        <v>11.602175110837592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34.405479467452309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-6.7984728957526396E-14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355.09162485318728</v>
      </c>
      <c r="T113" s="59">
        <f t="shared" si="88"/>
        <v>320.06572891923685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90.951199825634049</v>
      </c>
      <c r="AA113" s="21">
        <f>EXP(-LN(2)/25)*AA112+(1-EXP(-LN(2)/25))/(LN(2)/25)*Calculateur!V113*Calculateur!X113*VLOOKUP('Données projet'!$B$9,Paramètres!$A$1:$I$89,3,0)*0.475*44/12</f>
        <v>16.520135909489639</v>
      </c>
      <c r="AB113" s="21">
        <f>EXP(-LN(2)/2)*AB112+(1-EXP(-LN(2)/2))/(LN(2)/2)*V113*Y113*VLOOKUP('Données projet'!$B$9,Paramètres!$A$1:$I$89,3,0)*0.475*44/12</f>
        <v>3.5621746609832886E-4</v>
      </c>
      <c r="AC113" s="22">
        <f t="shared" si="57"/>
        <v>107.47169195258978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5.1159076974727213E-13</v>
      </c>
      <c r="AJ113" s="13">
        <f>AI113*VLOOKUP('Données projet'!$B$10,Paramètres!$A$1:$I$89,3,0)*VLOOKUP('Données projet'!$B$10,Paramètres!$A$1:$I$89,5,0)</f>
        <v>2.3942448024172334E-13</v>
      </c>
      <c r="AK113" s="13">
        <f t="shared" si="89"/>
        <v>3.2492669905861755E-12</v>
      </c>
      <c r="AL113" s="20">
        <f t="shared" si="58"/>
        <v>6.0761376450252565E-12</v>
      </c>
      <c r="AM113" s="59">
        <f t="shared" si="59"/>
        <v>293.3333333333394</v>
      </c>
      <c r="AN113" s="59">
        <f ca="1">AVERAGE(OFFSET($AM$3,0,0,'Données projet'!$E$10+1,1))-AVERAGE(OFFSET($H$3,0,0,'Données projet'!$E$10+1,1))</f>
        <v>246.72166704460847</v>
      </c>
      <c r="AO113" s="59">
        <f t="shared" si="90"/>
        <v>145.54897745089966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131.09254750599834</v>
      </c>
      <c r="AV113" s="21">
        <f>EXP(-LN(2)/25)*AV112+(1-EXP(-LN(2)/25))/(LN(2)/25)*Calculateur!AQ113*Calculateur!AS113*VLOOKUP('Données projet'!$B$10,Paramètres!$A$1:$I$89,3,0)*0.475*44/12</f>
        <v>32.338113860017742</v>
      </c>
      <c r="AW113" s="21">
        <f>EXP(-LN(2)/2)*AW112+(1-EXP(-LN(2)/2))/(LN(2)/2)*AQ113*AT113*VLOOKUP('Données projet'!$B$10,Paramètres!$A$1:$I$89,3,0)*0.475*44/12</f>
        <v>12.974482647390023</v>
      </c>
      <c r="AX113" s="21">
        <f t="shared" si="60"/>
        <v>176.4051440134061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88.478637356802039</v>
      </c>
      <c r="BJ113" s="59">
        <f t="shared" si="92"/>
        <v>239.55411297259155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7.5934021144726742</v>
      </c>
      <c r="BQ113" s="21">
        <f>EXP(-LN(2)/25)*BQ112+(1-EXP(-LN(2)/25))/(LN(2)/25)*Calculateur!BL113*Calculateur!BN113*VLOOKUP('Données projet'!$B$11,Paramètres!$A$1:$I$89,3,0)*0.475*44/12</f>
        <v>0.79448446038589793</v>
      </c>
      <c r="BR113" s="21">
        <f>EXP(-LN(2)/2)*BR112+(1-EXP(-LN(2)/2))/(LN(2)/2)*BL113*BO113*VLOOKUP('Données projet'!$B$11,Paramètres!$A$1:$I$89,3,0)*0.475*44/12</f>
        <v>3.9103252034718624E-13</v>
      </c>
      <c r="BS113" s="22">
        <f t="shared" si="63"/>
        <v>8.3878865748589622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5.9660256410256407</v>
      </c>
      <c r="BY113" s="12">
        <f>IF('Données projet'!$A$114&gt;35,BY112+BX113-CG112,IF(A113&lt;'Données projet'!$A$114,$BV$205^A113,IF(A113='Données projet'!$A$114,'Données projet'!$B$114,BY112+BX113-CG112)))</f>
        <v>252.75256410256443</v>
      </c>
      <c r="BZ113" s="13">
        <f>BY113*VLOOKUP('Données projet'!$B$12,Paramètres!$A$1:$I$89,3,0)*VLOOKUP('Données projet'!$B$12,Paramètres!$A$1:$I$89,5,0)</f>
        <v>228.69052000000028</v>
      </c>
      <c r="CA113" s="13">
        <f t="shared" si="93"/>
        <v>55.999447320091917</v>
      </c>
      <c r="CB113" s="20">
        <f t="shared" si="64"/>
        <v>495.83502641582726</v>
      </c>
      <c r="CC113" s="59">
        <f t="shared" si="65"/>
        <v>789.16835974916057</v>
      </c>
      <c r="CD113" s="59">
        <f ca="1">AVERAGE(OFFSET($CC$3,0,0,'Données projet'!$E$12+1,1))-AVERAGE(OFFSET($H$3,0,0,'Données projet'!$E$12+1,1))</f>
        <v>437.94387006020412</v>
      </c>
      <c r="CE113" s="59">
        <f t="shared" si="94"/>
        <v>213.95083535531376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28.067664469443471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28.067664469443471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267.07692307692304</v>
      </c>
      <c r="CR113" s="12">
        <f>VLOOKUP(A113,'Données projet'!$A$139:$I$159,9,0)</f>
        <v>4.6992307692307689</v>
      </c>
      <c r="CS113" s="12">
        <f t="array" ref="CS113">INDEX(CR:CR,MIN(IF(ISNUMBER(CR113:CR309),ROW(CR113:CR309),"")))</f>
        <v>4.6992307692307689</v>
      </c>
      <c r="CT113" s="12">
        <f>IF('Données projet'!$A$140&gt;35,CT112+CS113-DB112,IF(A113&lt;'Données projet'!$A$140,$CQ$205^A113,IF(A113='Données projet'!$A$140,'Données projet'!$B$140,CT112+CS113-DB112)))</f>
        <v>267.07692307692349</v>
      </c>
      <c r="CU113" s="17">
        <f>CT113*VLOOKUP('Données projet'!$B$13,Paramètres!$A$1:$I$89,3,0)*VLOOKUP('Données projet'!$B$13,Paramètres!$A$1:$I$89,5,0)</f>
        <v>128.4640000000002</v>
      </c>
      <c r="CV113" s="13">
        <f t="shared" si="95"/>
        <v>33.641189684783981</v>
      </c>
      <c r="CW113" s="20">
        <f t="shared" si="67"/>
        <v>282.33320536766581</v>
      </c>
      <c r="CX113" s="59">
        <f t="shared" si="68"/>
        <v>575.66653870099913</v>
      </c>
      <c r="CY113" s="59">
        <f ca="1">AVERAGE(OFFSET($CX$3,0,0,'Données projet'!$E$13+1,1))-AVERAGE(OFFSET($H$3,0,0,'Données projet'!$E$13+1,1))</f>
        <v>258.42493116335032</v>
      </c>
      <c r="CZ113" s="59">
        <f t="shared" si="96"/>
        <v>102.46122697336466</v>
      </c>
      <c r="DA113" s="15">
        <f>IF(ISNA(VLOOKUP(A113,'Données projet'!$A$139:$I$159,3,0)),0,VLOOKUP(A113,'Données projet'!$A$139:$I$159,3,0))</f>
        <v>7</v>
      </c>
      <c r="DB113" s="15">
        <f>IF(ISNA(VLOOKUP(A113,'Données projet'!$A$139:$I$159,4,0)),0,VLOOKUP(A113,'Données projet'!$A$139:$I$159,4,0))</f>
        <v>129.43076923076922</v>
      </c>
      <c r="DC113" s="16">
        <f>IF(ISNA(VLOOKUP(A113,'Données projet'!$A$139:$I$159,5,0)),0%,VLOOKUP(A113,'Données projet'!$A$139:$I$159,5,0)*VLOOKUP('Données projet'!$B$13,Paramètres!$A$1:$I$89,7,0))</f>
        <v>0.38500000000000001</v>
      </c>
      <c r="DD113" s="16">
        <f>IF(ISNA(VLOOKUP(A113,'Données projet'!$A$139:$I$159,6,0)),0%,VLOOKUP(A113,'Données projet'!$A$139:$I$159,6,0)*VLOOKUP('Données projet'!$B$13,Paramètres!$A$1:$I$89,7,0))</f>
        <v>9.240000000000001E-2</v>
      </c>
      <c r="DE113" s="16">
        <f>IF(ISNA(VLOOKUP(A113,'Données projet'!$A$139:$I$159,7,0)),0%,VLOOKUP(A113,'Données projet'!$A$139:$I$159,7,0))</f>
        <v>0.13200000000000001</v>
      </c>
      <c r="DF113" s="21">
        <f>EXP(-LN(2)/35)*DF112+(1-EXP(-LN(2)/35))/(LN(2)/35)*DB113*DC113*VLOOKUP('Données projet'!$B$13,Paramètres!$A$1:$I$89,3,0)*0.475*44/12</f>
        <v>112.2479613167533</v>
      </c>
      <c r="DG113" s="21">
        <f>EXP(-LN(2)/25)*DG112+(1-EXP(-LN(2)/25))/(LN(2)/25)*Calculateur!DB113*Calculateur!DD113*VLOOKUP('Données projet'!$B$13,Paramètres!$A$1:$I$89,3,0)*0.475*44/12</f>
        <v>27.450575068406636</v>
      </c>
      <c r="DH113" s="21">
        <f>EXP(-LN(2)/2)*DH112+(1-EXP(-LN(2)/2))/(LN(2)/2)*DB113*DE113*VLOOKUP('Données projet'!$B$13,Paramètres!$A$1:$I$89,3,0)*0.475*44/12</f>
        <v>9.7087184956364947</v>
      </c>
      <c r="DI113" s="22">
        <f t="shared" si="69"/>
        <v>149.40725488079644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243</v>
      </c>
      <c r="DP113" s="17">
        <f>DO113*VLOOKUP('Données projet'!$B$14,Paramètres!$A$1:$I$89,3,0)*VLOOKUP('Données projet'!$B$14,Paramètres!$A$1:$I$89,5,0)</f>
        <v>212.28480000000002</v>
      </c>
      <c r="DQ113" s="13">
        <f t="shared" si="97"/>
        <v>52.434557099704193</v>
      </c>
      <c r="DR113" s="20">
        <f t="shared" si="70"/>
        <v>461.05288028198476</v>
      </c>
      <c r="DS113" s="59">
        <f t="shared" si="71"/>
        <v>754.38621361531807</v>
      </c>
      <c r="DT113" s="59">
        <f ca="1">AVERAGE(OFFSET($DS$3,0,0,'Données projet'!$E$14+1,1))-AVERAGE(OFFSET($H$3,0,0,'Données projet'!$E$14+1,1))</f>
        <v>354.24684313982857</v>
      </c>
      <c r="DU113" s="59">
        <f t="shared" si="98"/>
        <v>322.65043486962185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22.356145466823801</v>
      </c>
      <c r="EB113" s="21">
        <f>EXP(-LN(2)/25)*EB112+(1-EXP(-LN(2)/25))/(LN(2)/25)*Calculateur!DW113*Calculateur!DY113*VLOOKUP('Données projet'!$B$14,Paramètres!$A$1:$I$89,3,0)*0.475*44/12</f>
        <v>11.284913022299866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33.641058489123665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-6.7984728957526396E-14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355.09162485318728</v>
      </c>
      <c r="T114" s="59">
        <f t="shared" si="88"/>
        <v>320.06572891923685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89.167702271807585</v>
      </c>
      <c r="AA114" s="21">
        <f>EXP(-LN(2)/25)*AA113+(1-EXP(-LN(2)/25))/(LN(2)/25)*Calculateur!V114*Calculateur!X114*VLOOKUP('Données projet'!$B$9,Paramètres!$A$1:$I$89,3,0)*0.475*44/12</f>
        <v>16.068391924288456</v>
      </c>
      <c r="AB114" s="21">
        <f>EXP(-LN(2)/2)*AB113+(1-EXP(-LN(2)/2))/(LN(2)/2)*V114*Y114*VLOOKUP('Données projet'!$B$9,Paramètres!$A$1:$I$89,3,0)*0.475*44/12</f>
        <v>2.5188378585521743E-4</v>
      </c>
      <c r="AC114" s="22">
        <f t="shared" si="57"/>
        <v>105.2363460798819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5.1159076974727213E-13</v>
      </c>
      <c r="AJ114" s="13">
        <f>AI114*VLOOKUP('Données projet'!$B$10,Paramètres!$A$1:$I$89,3,0)*VLOOKUP('Données projet'!$B$10,Paramètres!$A$1:$I$89,5,0)</f>
        <v>2.3942448024172334E-13</v>
      </c>
      <c r="AK114" s="13">
        <f t="shared" si="89"/>
        <v>3.2492669905861755E-12</v>
      </c>
      <c r="AL114" s="20">
        <f t="shared" si="58"/>
        <v>6.0761376450252565E-12</v>
      </c>
      <c r="AM114" s="59">
        <f t="shared" si="59"/>
        <v>293.3333333333394</v>
      </c>
      <c r="AN114" s="59">
        <f ca="1">AVERAGE(OFFSET($AM$3,0,0,'Données projet'!$E$10+1,1))-AVERAGE(OFFSET($H$3,0,0,'Données projet'!$E$10+1,1))</f>
        <v>246.72166704460847</v>
      </c>
      <c r="AO114" s="59">
        <f t="shared" si="90"/>
        <v>145.54897745089966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128.52190260796445</v>
      </c>
      <c r="AV114" s="21">
        <f>EXP(-LN(2)/25)*AV113+(1-EXP(-LN(2)/25))/(LN(2)/25)*Calculateur!AQ114*Calculateur!AS114*VLOOKUP('Données projet'!$B$10,Paramètres!$A$1:$I$89,3,0)*0.475*44/12</f>
        <v>31.453826435928057</v>
      </c>
      <c r="AW114" s="21">
        <f>EXP(-LN(2)/2)*AW113+(1-EXP(-LN(2)/2))/(LN(2)/2)*AQ114*AT114*VLOOKUP('Données projet'!$B$10,Paramètres!$A$1:$I$89,3,0)*0.475*44/12</f>
        <v>9.1743446623566758</v>
      </c>
      <c r="AX114" s="21">
        <f t="shared" si="60"/>
        <v>169.15007370624917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88.478637356802039</v>
      </c>
      <c r="BJ114" s="59">
        <f t="shared" si="92"/>
        <v>239.55411297259155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7.4445001305258307</v>
      </c>
      <c r="BQ114" s="21">
        <f>EXP(-LN(2)/25)*BQ113+(1-EXP(-LN(2)/25))/(LN(2)/25)*Calculateur!BL114*Calculateur!BN114*VLOOKUP('Données projet'!$B$11,Paramètres!$A$1:$I$89,3,0)*0.475*44/12</f>
        <v>0.7727592410365236</v>
      </c>
      <c r="BR114" s="21">
        <f>EXP(-LN(2)/2)*BR113+(1-EXP(-LN(2)/2))/(LN(2)/2)*BL114*BO114*VLOOKUP('Données projet'!$B$11,Paramètres!$A$1:$I$89,3,0)*0.475*44/12</f>
        <v>2.7650174680196201E-13</v>
      </c>
      <c r="BS114" s="22">
        <f t="shared" si="63"/>
        <v>8.2172593715626316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5.9660256410256407</v>
      </c>
      <c r="BY114" s="12">
        <f>IF('Données projet'!$A$114&gt;35,BY113+BX114-CG113,IF(A114&lt;'Données projet'!$A$114,$BV$205^A114,IF(A114='Données projet'!$A$114,'Données projet'!$B$114,BY113+BX114-CG113)))</f>
        <v>258.71858974359009</v>
      </c>
      <c r="BZ114" s="13">
        <f>BY114*VLOOKUP('Données projet'!$B$12,Paramètres!$A$1:$I$89,3,0)*VLOOKUP('Données projet'!$B$12,Paramètres!$A$1:$I$89,5,0)</f>
        <v>234.08858000000029</v>
      </c>
      <c r="CA114" s="13">
        <f t="shared" si="93"/>
        <v>57.165819487864248</v>
      </c>
      <c r="CB114" s="20">
        <f t="shared" si="64"/>
        <v>507.26807910803069</v>
      </c>
      <c r="CC114" s="59">
        <f t="shared" si="65"/>
        <v>800.601412441364</v>
      </c>
      <c r="CD114" s="59">
        <f ca="1">AVERAGE(OFFSET($CC$3,0,0,'Données projet'!$E$12+1,1))-AVERAGE(OFFSET($H$3,0,0,'Données projet'!$E$12+1,1))</f>
        <v>437.94387006020412</v>
      </c>
      <c r="CE114" s="59">
        <f t="shared" si="94"/>
        <v>213.95083535531376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27.517274688782592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27.517274688782592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3.098461538461541</v>
      </c>
      <c r="CT114" s="12">
        <f>IF('Données projet'!$A$140&gt;35,CT113+CS114-DB113,IF(A114&lt;'Données projet'!$A$140,$CQ$205^A114,IF(A114='Données projet'!$A$140,'Données projet'!$B$140,CT113+CS114-DB113)))</f>
        <v>140.74461538461583</v>
      </c>
      <c r="CU114" s="17">
        <f>CT114*VLOOKUP('Données projet'!$B$13,Paramètres!$A$1:$I$89,3,0)*VLOOKUP('Données projet'!$B$13,Paramètres!$A$1:$I$89,5,0)</f>
        <v>67.698160000000215</v>
      </c>
      <c r="CV114" s="13">
        <f t="shared" si="95"/>
        <v>19.100721956805195</v>
      </c>
      <c r="CW114" s="20">
        <f t="shared" si="67"/>
        <v>151.17471940810276</v>
      </c>
      <c r="CX114" s="59">
        <f t="shared" si="68"/>
        <v>444.50805274143607</v>
      </c>
      <c r="CY114" s="59">
        <f ca="1">AVERAGE(OFFSET($CX$3,0,0,'Données projet'!$E$13+1,1))-AVERAGE(OFFSET($H$3,0,0,'Données projet'!$E$13+1,1))</f>
        <v>258.42493116335032</v>
      </c>
      <c r="CZ114" s="59">
        <f t="shared" si="96"/>
        <v>102.46122697336466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110.04684725982787</v>
      </c>
      <c r="DG114" s="21">
        <f>EXP(-LN(2)/25)*DG113+(1-EXP(-LN(2)/25))/(LN(2)/25)*Calculateur!DB114*Calculateur!DD114*VLOOKUP('Données projet'!$B$13,Paramètres!$A$1:$I$89,3,0)*0.475*44/12</f>
        <v>26.699937649598052</v>
      </c>
      <c r="DH114" s="21">
        <f>EXP(-LN(2)/2)*DH113+(1-EXP(-LN(2)/2))/(LN(2)/2)*DB114*DE114*VLOOKUP('Données projet'!$B$13,Paramètres!$A$1:$I$89,3,0)*0.475*44/12</f>
        <v>6.8651006848958218</v>
      </c>
      <c r="DI114" s="22">
        <f t="shared" si="69"/>
        <v>143.61188559432173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243</v>
      </c>
      <c r="DP114" s="17">
        <f>DO114*VLOOKUP('Données projet'!$B$14,Paramètres!$A$1:$I$89,3,0)*VLOOKUP('Données projet'!$B$14,Paramètres!$A$1:$I$89,5,0)</f>
        <v>212.28480000000002</v>
      </c>
      <c r="DQ114" s="13">
        <f t="shared" si="97"/>
        <v>52.434557099704193</v>
      </c>
      <c r="DR114" s="20">
        <f t="shared" si="70"/>
        <v>461.05288028198476</v>
      </c>
      <c r="DS114" s="59">
        <f t="shared" si="71"/>
        <v>754.38621361531807</v>
      </c>
      <c r="DT114" s="59">
        <f ca="1">AVERAGE(OFFSET($DS$3,0,0,'Données projet'!$E$14+1,1))-AVERAGE(OFFSET($H$3,0,0,'Données projet'!$E$14+1,1))</f>
        <v>354.24684313982857</v>
      </c>
      <c r="DU114" s="59">
        <f t="shared" si="98"/>
        <v>322.65043486962185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21.917755090121688</v>
      </c>
      <c r="EB114" s="21">
        <f>EXP(-LN(2)/25)*EB113+(1-EXP(-LN(2)/25))/(LN(2)/25)*Calculateur!DW114*Calculateur!DY114*VLOOKUP('Données projet'!$B$14,Paramètres!$A$1:$I$89,3,0)*0.475*44/12</f>
        <v>10.976326482257292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32.89408157237898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-6.7984728957526396E-14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355.09162485318728</v>
      </c>
      <c r="T115" s="59">
        <f t="shared" si="88"/>
        <v>320.06572891923685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87.419178017185558</v>
      </c>
      <c r="AA115" s="21">
        <f>EXP(-LN(2)/25)*AA114+(1-EXP(-LN(2)/25))/(LN(2)/25)*Calculateur!V115*Calculateur!X115*VLOOKUP('Données projet'!$B$9,Paramètres!$A$1:$I$89,3,0)*0.475*44/12</f>
        <v>15.629000902118781</v>
      </c>
      <c r="AB115" s="21">
        <f>EXP(-LN(2)/2)*AB114+(1-EXP(-LN(2)/2))/(LN(2)/2)*V115*Y115*VLOOKUP('Données projet'!$B$9,Paramètres!$A$1:$I$89,3,0)*0.475*44/12</f>
        <v>1.7810873304916443E-4</v>
      </c>
      <c r="AC115" s="22">
        <f t="shared" si="57"/>
        <v>103.04835702803739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5.1159076974727213E-13</v>
      </c>
      <c r="AJ115" s="13">
        <f>AI115*VLOOKUP('Données projet'!$B$10,Paramètres!$A$1:$I$89,3,0)*VLOOKUP('Données projet'!$B$10,Paramètres!$A$1:$I$89,5,0)</f>
        <v>2.3942448024172334E-13</v>
      </c>
      <c r="AK115" s="13">
        <f t="shared" si="89"/>
        <v>3.2492669905861755E-12</v>
      </c>
      <c r="AL115" s="20">
        <f t="shared" si="58"/>
        <v>6.0761376450252565E-12</v>
      </c>
      <c r="AM115" s="59">
        <f t="shared" si="59"/>
        <v>293.3333333333394</v>
      </c>
      <c r="AN115" s="59">
        <f ca="1">AVERAGE(OFFSET($AM$3,0,0,'Données projet'!$E$10+1,1))-AVERAGE(OFFSET($H$3,0,0,'Données projet'!$E$10+1,1))</f>
        <v>246.72166704460847</v>
      </c>
      <c r="AO115" s="59">
        <f t="shared" si="90"/>
        <v>145.54897745089966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126.00166648844242</v>
      </c>
      <c r="AV115" s="21">
        <f>EXP(-LN(2)/25)*AV114+(1-EXP(-LN(2)/25))/(LN(2)/25)*Calculateur!AQ115*Calculateur!AS115*VLOOKUP('Données projet'!$B$10,Paramètres!$A$1:$I$89,3,0)*0.475*44/12</f>
        <v>30.593719897952763</v>
      </c>
      <c r="AW115" s="21">
        <f>EXP(-LN(2)/2)*AW114+(1-EXP(-LN(2)/2))/(LN(2)/2)*AQ115*AT115*VLOOKUP('Données projet'!$B$10,Paramètres!$A$1:$I$89,3,0)*0.475*44/12</f>
        <v>6.4872413236950131</v>
      </c>
      <c r="AX115" s="21">
        <f t="shared" si="60"/>
        <v>163.08262771009018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88.478637356802039</v>
      </c>
      <c r="BJ115" s="59">
        <f t="shared" si="92"/>
        <v>239.55411297259155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7.2985180236629423</v>
      </c>
      <c r="BQ115" s="21">
        <f>EXP(-LN(2)/25)*BQ114+(1-EXP(-LN(2)/25))/(LN(2)/25)*Calculateur!BL115*Calculateur!BN115*VLOOKUP('Données projet'!$B$11,Paramètres!$A$1:$I$89,3,0)*0.475*44/12</f>
        <v>0.75162809895273752</v>
      </c>
      <c r="BR115" s="21">
        <f>EXP(-LN(2)/2)*BR114+(1-EXP(-LN(2)/2))/(LN(2)/2)*BL115*BO115*VLOOKUP('Données projet'!$B$11,Paramètres!$A$1:$I$89,3,0)*0.475*44/12</f>
        <v>1.9551626017359312E-13</v>
      </c>
      <c r="BS115" s="22">
        <f t="shared" si="63"/>
        <v>8.0501461226158746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5.9660256410256407</v>
      </c>
      <c r="BY115" s="12">
        <f>IF('Données projet'!$A$114&gt;35,BY114+BX115-CG114,IF(A115&lt;'Données projet'!$A$114,$BV$205^A115,IF(A115='Données projet'!$A$114,'Données projet'!$B$114,BY114+BX115-CG114)))</f>
        <v>264.68461538461571</v>
      </c>
      <c r="BZ115" s="13">
        <f>BY115*VLOOKUP('Données projet'!$B$12,Paramètres!$A$1:$I$89,3,0)*VLOOKUP('Données projet'!$B$12,Paramètres!$A$1:$I$89,5,0)</f>
        <v>239.48664000000028</v>
      </c>
      <c r="CA115" s="13">
        <f t="shared" si="93"/>
        <v>58.329064816343831</v>
      </c>
      <c r="CB115" s="20">
        <f t="shared" si="64"/>
        <v>518.69568588846607</v>
      </c>
      <c r="CC115" s="59">
        <f t="shared" si="65"/>
        <v>812.02901922179944</v>
      </c>
      <c r="CD115" s="59">
        <f ca="1">AVERAGE(OFFSET($CC$3,0,0,'Données projet'!$E$12+1,1))-AVERAGE(OFFSET($H$3,0,0,'Données projet'!$E$12+1,1))</f>
        <v>437.94387006020412</v>
      </c>
      <c r="CE115" s="59">
        <f t="shared" si="94"/>
        <v>213.95083535531376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26.977677716015855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26.977677716015855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3.098461538461541</v>
      </c>
      <c r="CT115" s="12">
        <f>IF('Données projet'!$A$140&gt;35,CT114+CS115-DB114,IF(A115&lt;'Données projet'!$A$140,$CQ$205^A115,IF(A115='Données projet'!$A$140,'Données projet'!$B$140,CT114+CS115-DB114)))</f>
        <v>143.84307692307738</v>
      </c>
      <c r="CU115" s="17">
        <f>CT115*VLOOKUP('Données projet'!$B$13,Paramètres!$A$1:$I$89,3,0)*VLOOKUP('Données projet'!$B$13,Paramètres!$A$1:$I$89,5,0)</f>
        <v>69.188520000000224</v>
      </c>
      <c r="CV115" s="13">
        <f t="shared" si="95"/>
        <v>19.471801934627248</v>
      </c>
      <c r="CW115" s="20">
        <f t="shared" si="67"/>
        <v>154.41672736947618</v>
      </c>
      <c r="CX115" s="59">
        <f t="shared" si="68"/>
        <v>447.75006070280949</v>
      </c>
      <c r="CY115" s="59">
        <f ca="1">AVERAGE(OFFSET($CX$3,0,0,'Données projet'!$E$13+1,1))-AVERAGE(OFFSET($H$3,0,0,'Données projet'!$E$13+1,1))</f>
        <v>258.42493116335032</v>
      </c>
      <c r="CZ115" s="59">
        <f t="shared" si="96"/>
        <v>102.46122697336466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107.88889570701173</v>
      </c>
      <c r="DG115" s="21">
        <f>EXP(-LN(2)/25)*DG114+(1-EXP(-LN(2)/25))/(LN(2)/25)*Calculateur!DB115*Calculateur!DD115*VLOOKUP('Données projet'!$B$13,Paramètres!$A$1:$I$89,3,0)*0.475*44/12</f>
        <v>25.969826450481097</v>
      </c>
      <c r="DH115" s="21">
        <f>EXP(-LN(2)/2)*DH114+(1-EXP(-LN(2)/2))/(LN(2)/2)*DB115*DE115*VLOOKUP('Données projet'!$B$13,Paramètres!$A$1:$I$89,3,0)*0.475*44/12</f>
        <v>4.8543592478182473</v>
      </c>
      <c r="DI115" s="22">
        <f t="shared" si="69"/>
        <v>138.71308140531107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243</v>
      </c>
      <c r="DP115" s="17">
        <f>DO115*VLOOKUP('Données projet'!$B$14,Paramètres!$A$1:$I$89,3,0)*VLOOKUP('Données projet'!$B$14,Paramètres!$A$1:$I$89,5,0)</f>
        <v>212.28480000000002</v>
      </c>
      <c r="DQ115" s="13">
        <f t="shared" si="97"/>
        <v>52.434557099704193</v>
      </c>
      <c r="DR115" s="20">
        <f t="shared" si="70"/>
        <v>461.05288028198476</v>
      </c>
      <c r="DS115" s="59">
        <f t="shared" si="71"/>
        <v>754.38621361531807</v>
      </c>
      <c r="DT115" s="59">
        <f ca="1">AVERAGE(OFFSET($DS$3,0,0,'Données projet'!$E$14+1,1))-AVERAGE(OFFSET($H$3,0,0,'Données projet'!$E$14+1,1))</f>
        <v>354.24684313982857</v>
      </c>
      <c r="DU115" s="59">
        <f t="shared" si="98"/>
        <v>322.65043486962185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21.487961281314977</v>
      </c>
      <c r="EB115" s="21">
        <f>EXP(-LN(2)/25)*EB114+(1-EXP(-LN(2)/25))/(LN(2)/25)*Calculateur!DW115*Calculateur!DY115*VLOOKUP('Données projet'!$B$14,Paramètres!$A$1:$I$89,3,0)*0.475*44/12</f>
        <v>10.676178257380043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32.164139538695018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-6.7984728957526396E-14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355.09162485318728</v>
      </c>
      <c r="T116" s="59">
        <f t="shared" si="88"/>
        <v>320.06572891923685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85.704941256702185</v>
      </c>
      <c r="AA116" s="21">
        <f>EXP(-LN(2)/25)*AA115+(1-EXP(-LN(2)/25))/(LN(2)/25)*Calculateur!V116*Calculateur!X116*VLOOKUP('Données projet'!$B$9,Paramètres!$A$1:$I$89,3,0)*0.475*44/12</f>
        <v>15.201625050556906</v>
      </c>
      <c r="AB116" s="21">
        <f>EXP(-LN(2)/2)*AB115+(1-EXP(-LN(2)/2))/(LN(2)/2)*V116*Y116*VLOOKUP('Données projet'!$B$9,Paramètres!$A$1:$I$89,3,0)*0.475*44/12</f>
        <v>1.2594189292760872E-4</v>
      </c>
      <c r="AC116" s="22">
        <f t="shared" si="57"/>
        <v>100.90669224915202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5.1159076974727213E-13</v>
      </c>
      <c r="AJ116" s="13">
        <f>AI116*VLOOKUP('Données projet'!$B$10,Paramètres!$A$1:$I$89,3,0)*VLOOKUP('Données projet'!$B$10,Paramètres!$A$1:$I$89,5,0)</f>
        <v>2.3942448024172334E-13</v>
      </c>
      <c r="AK116" s="13">
        <f t="shared" si="89"/>
        <v>3.2492669905861755E-12</v>
      </c>
      <c r="AL116" s="20">
        <f t="shared" si="58"/>
        <v>6.0761376450252565E-12</v>
      </c>
      <c r="AM116" s="59">
        <f t="shared" si="59"/>
        <v>293.3333333333394</v>
      </c>
      <c r="AN116" s="59">
        <f ca="1">AVERAGE(OFFSET($AM$3,0,0,'Données projet'!$E$10+1,1))-AVERAGE(OFFSET($H$3,0,0,'Données projet'!$E$10+1,1))</f>
        <v>246.72166704460847</v>
      </c>
      <c r="AO116" s="59">
        <f t="shared" si="90"/>
        <v>145.54897745089966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123.53085066203198</v>
      </c>
      <c r="AV116" s="21">
        <f>EXP(-LN(2)/25)*AV115+(1-EXP(-LN(2)/25))/(LN(2)/25)*Calculateur!AQ116*Calculateur!AS116*VLOOKUP('Données projet'!$B$10,Paramètres!$A$1:$I$89,3,0)*0.475*44/12</f>
        <v>29.757133018489437</v>
      </c>
      <c r="AW116" s="21">
        <f>EXP(-LN(2)/2)*AW115+(1-EXP(-LN(2)/2))/(LN(2)/2)*AQ116*AT116*VLOOKUP('Données projet'!$B$10,Paramètres!$A$1:$I$89,3,0)*0.475*44/12</f>
        <v>4.5871723311783388</v>
      </c>
      <c r="AX116" s="21">
        <f t="shared" si="60"/>
        <v>157.87515601169977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88.478637356802039</v>
      </c>
      <c r="BJ116" s="59">
        <f t="shared" si="92"/>
        <v>239.55411297259155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7.1553985368753423</v>
      </c>
      <c r="BQ116" s="21">
        <f>EXP(-LN(2)/25)*BQ115+(1-EXP(-LN(2)/25))/(LN(2)/25)*Calculateur!BL116*Calculateur!BN116*VLOOKUP('Données projet'!$B$11,Paramètres!$A$1:$I$89,3,0)*0.475*44/12</f>
        <v>0.73107478906047108</v>
      </c>
      <c r="BR116" s="21">
        <f>EXP(-LN(2)/2)*BR115+(1-EXP(-LN(2)/2))/(LN(2)/2)*BL116*BO116*VLOOKUP('Données projet'!$B$11,Paramètres!$A$1:$I$89,3,0)*0.475*44/12</f>
        <v>1.3825087340098101E-13</v>
      </c>
      <c r="BS116" s="22">
        <f t="shared" si="63"/>
        <v>7.8864733259359516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5.9660256410256407</v>
      </c>
      <c r="BY116" s="12">
        <f>IF('Données projet'!$A$114&gt;35,BY115+BX116-CG115,IF(A116&lt;'Données projet'!$A$114,$BV$205^A116,IF(A116='Données projet'!$A$114,'Données projet'!$B$114,BY115+BX116-CG115)))</f>
        <v>270.65064102564133</v>
      </c>
      <c r="BZ116" s="13">
        <f>BY116*VLOOKUP('Données projet'!$B$12,Paramètres!$A$1:$I$89,3,0)*VLOOKUP('Données projet'!$B$12,Paramètres!$A$1:$I$89,5,0)</f>
        <v>244.88470000000029</v>
      </c>
      <c r="CA116" s="13">
        <f t="shared" si="93"/>
        <v>59.489261899011112</v>
      </c>
      <c r="CB116" s="20">
        <f t="shared" si="64"/>
        <v>530.11798364077822</v>
      </c>
      <c r="CC116" s="59">
        <f t="shared" si="65"/>
        <v>823.45131697411148</v>
      </c>
      <c r="CD116" s="59">
        <f ca="1">AVERAGE(OFFSET($CC$3,0,0,'Données projet'!$E$12+1,1))-AVERAGE(OFFSET($H$3,0,0,'Données projet'!$E$12+1,1))</f>
        <v>437.94387006020412</v>
      </c>
      <c r="CE116" s="59">
        <f t="shared" si="94"/>
        <v>213.95083535531376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26.448661910763416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26.448661910763416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3.098461538461541</v>
      </c>
      <c r="CT116" s="12">
        <f>IF('Données projet'!$A$140&gt;35,CT115+CS116-DB115,IF(A116&lt;'Données projet'!$A$140,$CQ$205^A116,IF(A116='Données projet'!$A$140,'Données projet'!$B$140,CT115+CS116-DB115)))</f>
        <v>146.94153846153893</v>
      </c>
      <c r="CU116" s="17">
        <f>CT116*VLOOKUP('Données projet'!$B$13,Paramètres!$A$1:$I$89,3,0)*VLOOKUP('Données projet'!$B$13,Paramètres!$A$1:$I$89,5,0)</f>
        <v>70.67888000000022</v>
      </c>
      <c r="CV116" s="13">
        <f t="shared" si="95"/>
        <v>19.841952584916807</v>
      </c>
      <c r="CW116" s="20">
        <f t="shared" si="67"/>
        <v>157.65711675206384</v>
      </c>
      <c r="CX116" s="59">
        <f t="shared" si="68"/>
        <v>450.99045008539713</v>
      </c>
      <c r="CY116" s="59">
        <f ca="1">AVERAGE(OFFSET($CX$3,0,0,'Données projet'!$E$13+1,1))-AVERAGE(OFFSET($H$3,0,0,'Données projet'!$E$13+1,1))</f>
        <v>258.42493116335032</v>
      </c>
      <c r="CZ116" s="59">
        <f t="shared" si="96"/>
        <v>102.46122697336466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105.77326026792583</v>
      </c>
      <c r="DG116" s="21">
        <f>EXP(-LN(2)/25)*DG115+(1-EXP(-LN(2)/25))/(LN(2)/25)*Calculateur!DB116*Calculateur!DD116*VLOOKUP('Données projet'!$B$13,Paramètres!$A$1:$I$89,3,0)*0.475*44/12</f>
        <v>25.259680180498872</v>
      </c>
      <c r="DH116" s="21">
        <f>EXP(-LN(2)/2)*DH115+(1-EXP(-LN(2)/2))/(LN(2)/2)*DB116*DE116*VLOOKUP('Données projet'!$B$13,Paramètres!$A$1:$I$89,3,0)*0.475*44/12</f>
        <v>3.4325503424479109</v>
      </c>
      <c r="DI116" s="22">
        <f t="shared" si="69"/>
        <v>134.46549079087262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243</v>
      </c>
      <c r="DP116" s="17">
        <f>DO116*VLOOKUP('Données projet'!$B$14,Paramètres!$A$1:$I$89,3,0)*VLOOKUP('Données projet'!$B$14,Paramètres!$A$1:$I$89,5,0)</f>
        <v>212.28480000000002</v>
      </c>
      <c r="DQ116" s="13">
        <f t="shared" si="97"/>
        <v>52.434557099704193</v>
      </c>
      <c r="DR116" s="20">
        <f t="shared" si="70"/>
        <v>461.05288028198476</v>
      </c>
      <c r="DS116" s="59">
        <f t="shared" si="71"/>
        <v>754.38621361531807</v>
      </c>
      <c r="DT116" s="59">
        <f ca="1">AVERAGE(OFFSET($DS$3,0,0,'Données projet'!$E$14+1,1))-AVERAGE(OFFSET($H$3,0,0,'Données projet'!$E$14+1,1))</f>
        <v>354.24684313982857</v>
      </c>
      <c r="DU116" s="59">
        <f t="shared" si="98"/>
        <v>322.65043486962185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21.066595466950627</v>
      </c>
      <c r="EB116" s="21">
        <f>EXP(-LN(2)/25)*EB115+(1-EXP(-LN(2)/25))/(LN(2)/25)*Calculateur!DW116*Calculateur!DY116*VLOOKUP('Données projet'!$B$14,Paramètres!$A$1:$I$89,3,0)*0.475*44/12</f>
        <v>10.384237601496171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31.450833068446798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-6.7984728957526396E-14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355.09162485318728</v>
      </c>
      <c r="T117" s="59">
        <f t="shared" si="88"/>
        <v>320.06572891923685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84.024319633510714</v>
      </c>
      <c r="AA117" s="21">
        <f>EXP(-LN(2)/25)*AA116+(1-EXP(-LN(2)/25))/(LN(2)/25)*Calculateur!V117*Calculateur!X117*VLOOKUP('Données projet'!$B$9,Paramètres!$A$1:$I$89,3,0)*0.475*44/12</f>
        <v>14.78593581413071</v>
      </c>
      <c r="AB117" s="21">
        <f>EXP(-LN(2)/2)*AB116+(1-EXP(-LN(2)/2))/(LN(2)/2)*V117*Y117*VLOOKUP('Données projet'!$B$9,Paramètres!$A$1:$I$89,3,0)*0.475*44/12</f>
        <v>8.9054366524582215E-5</v>
      </c>
      <c r="AC117" s="22">
        <f t="shared" si="57"/>
        <v>98.81034450200795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5.1159076974727213E-13</v>
      </c>
      <c r="AJ117" s="13">
        <f>AI117*VLOOKUP('Données projet'!$B$10,Paramètres!$A$1:$I$89,3,0)*VLOOKUP('Données projet'!$B$10,Paramètres!$A$1:$I$89,5,0)</f>
        <v>2.3942448024172334E-13</v>
      </c>
      <c r="AK117" s="13">
        <f t="shared" si="89"/>
        <v>3.2492669905861755E-12</v>
      </c>
      <c r="AL117" s="20">
        <f t="shared" si="58"/>
        <v>6.0761376450252565E-12</v>
      </c>
      <c r="AM117" s="59">
        <f t="shared" si="59"/>
        <v>293.3333333333394</v>
      </c>
      <c r="AN117" s="59">
        <f ca="1">AVERAGE(OFFSET($AM$3,0,0,'Données projet'!$E$10+1,1))-AVERAGE(OFFSET($H$3,0,0,'Données projet'!$E$10+1,1))</f>
        <v>246.72166704460847</v>
      </c>
      <c r="AO117" s="59">
        <f t="shared" si="90"/>
        <v>145.54897745089966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121.1084860269286</v>
      </c>
      <c r="AV117" s="21">
        <f>EXP(-LN(2)/25)*AV116+(1-EXP(-LN(2)/25))/(LN(2)/25)*Calculateur!AQ117*Calculateur!AS117*VLOOKUP('Données projet'!$B$10,Paramètres!$A$1:$I$89,3,0)*0.475*44/12</f>
        <v>28.943422651239228</v>
      </c>
      <c r="AW117" s="21">
        <f>EXP(-LN(2)/2)*AW116+(1-EXP(-LN(2)/2))/(LN(2)/2)*AQ117*AT117*VLOOKUP('Données projet'!$B$10,Paramètres!$A$1:$I$89,3,0)*0.475*44/12</f>
        <v>3.243620661847507</v>
      </c>
      <c r="AX117" s="21">
        <f t="shared" si="60"/>
        <v>153.29552934001532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88.478637356802039</v>
      </c>
      <c r="BJ117" s="59">
        <f t="shared" si="92"/>
        <v>239.55411297259155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7.0150855359293791</v>
      </c>
      <c r="BQ117" s="21">
        <f>EXP(-LN(2)/25)*BQ116+(1-EXP(-LN(2)/25))/(LN(2)/25)*Calculateur!BL117*Calculateur!BN117*VLOOKUP('Données projet'!$B$11,Paramètres!$A$1:$I$89,3,0)*0.475*44/12</f>
        <v>0.71108351050806018</v>
      </c>
      <c r="BR117" s="21">
        <f>EXP(-LN(2)/2)*BR116+(1-EXP(-LN(2)/2))/(LN(2)/2)*BL117*BO117*VLOOKUP('Données projet'!$B$11,Paramètres!$A$1:$I$89,3,0)*0.475*44/12</f>
        <v>9.7758130086796561E-14</v>
      </c>
      <c r="BS117" s="22">
        <f t="shared" si="63"/>
        <v>7.726169046437537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5.9660256410256407</v>
      </c>
      <c r="BY117" s="12">
        <f>IF('Données projet'!$A$114&gt;35,BY116+BX117-CG116,IF(A117&lt;'Données projet'!$A$114,$BV$205^A117,IF(A117='Données projet'!$A$114,'Données projet'!$B$114,BY116+BX117-CG116)))</f>
        <v>276.61666666666696</v>
      </c>
      <c r="BZ117" s="13">
        <f>BY117*VLOOKUP('Données projet'!$B$12,Paramètres!$A$1:$I$89,3,0)*VLOOKUP('Données projet'!$B$12,Paramètres!$A$1:$I$89,5,0)</f>
        <v>250.28276000000025</v>
      </c>
      <c r="CA117" s="13">
        <f t="shared" si="93"/>
        <v>60.646485666581974</v>
      </c>
      <c r="CB117" s="20">
        <f t="shared" si="64"/>
        <v>541.53510286929748</v>
      </c>
      <c r="CC117" s="59">
        <f t="shared" si="65"/>
        <v>834.86843620263085</v>
      </c>
      <c r="CD117" s="59">
        <f ca="1">AVERAGE(OFFSET($CC$3,0,0,'Données projet'!$E$12+1,1))-AVERAGE(OFFSET($H$3,0,0,'Données projet'!$E$12+1,1))</f>
        <v>437.94387006020412</v>
      </c>
      <c r="CE117" s="59">
        <f t="shared" si="94"/>
        <v>213.95083535531376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25.9300197827842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25.9300197827842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3.098461538461541</v>
      </c>
      <c r="CT117" s="12">
        <f>IF('Données projet'!$A$140&gt;35,CT116+CS117-DB116,IF(A117&lt;'Données projet'!$A$140,$CQ$205^A117,IF(A117='Données projet'!$A$140,'Données projet'!$B$140,CT116+CS117-DB116)))</f>
        <v>150.04000000000048</v>
      </c>
      <c r="CU117" s="17">
        <f>CT117*VLOOKUP('Données projet'!$B$13,Paramètres!$A$1:$I$89,3,0)*VLOOKUP('Données projet'!$B$13,Paramètres!$A$1:$I$89,5,0)</f>
        <v>72.169240000000229</v>
      </c>
      <c r="CV117" s="13">
        <f t="shared" si="95"/>
        <v>20.211195761238333</v>
      </c>
      <c r="CW117" s="20">
        <f t="shared" si="67"/>
        <v>160.89592561749049</v>
      </c>
      <c r="CX117" s="59">
        <f t="shared" si="68"/>
        <v>454.22925895082381</v>
      </c>
      <c r="CY117" s="59">
        <f ca="1">AVERAGE(OFFSET($CX$3,0,0,'Données projet'!$E$13+1,1))-AVERAGE(OFFSET($H$3,0,0,'Données projet'!$E$13+1,1))</f>
        <v>258.42493116335032</v>
      </c>
      <c r="CZ117" s="59">
        <f t="shared" si="96"/>
        <v>102.46122697336466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103.69911114939022</v>
      </c>
      <c r="DG117" s="21">
        <f>EXP(-LN(2)/25)*DG116+(1-EXP(-LN(2)/25))/(LN(2)/25)*Calculateur!DB117*Calculateur!DD117*VLOOKUP('Données projet'!$B$13,Paramètres!$A$1:$I$89,3,0)*0.475*44/12</f>
        <v>24.568952897614281</v>
      </c>
      <c r="DH117" s="21">
        <f>EXP(-LN(2)/2)*DH116+(1-EXP(-LN(2)/2))/(LN(2)/2)*DB117*DE117*VLOOKUP('Données projet'!$B$13,Paramètres!$A$1:$I$89,3,0)*0.475*44/12</f>
        <v>2.4271796239091237</v>
      </c>
      <c r="DI117" s="22">
        <f t="shared" si="69"/>
        <v>130.69524367091361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243</v>
      </c>
      <c r="DP117" s="17">
        <f>DO117*VLOOKUP('Données projet'!$B$14,Paramètres!$A$1:$I$89,3,0)*VLOOKUP('Données projet'!$B$14,Paramètres!$A$1:$I$89,5,0)</f>
        <v>212.28480000000002</v>
      </c>
      <c r="DQ117" s="13">
        <f t="shared" si="97"/>
        <v>52.434557099704193</v>
      </c>
      <c r="DR117" s="20">
        <f t="shared" si="70"/>
        <v>461.05288028198476</v>
      </c>
      <c r="DS117" s="59">
        <f t="shared" si="71"/>
        <v>754.38621361531807</v>
      </c>
      <c r="DT117" s="59">
        <f ca="1">AVERAGE(OFFSET($DS$3,0,0,'Données projet'!$E$14+1,1))-AVERAGE(OFFSET($H$3,0,0,'Données projet'!$E$14+1,1))</f>
        <v>354.24684313982857</v>
      </c>
      <c r="DU117" s="59">
        <f t="shared" si="98"/>
        <v>322.65043486962185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20.653492379198191</v>
      </c>
      <c r="EB117" s="21">
        <f>EXP(-LN(2)/25)*EB116+(1-EXP(-LN(2)/25))/(LN(2)/25)*Calculateur!DW117*Calculateur!DY117*VLOOKUP('Données projet'!$B$14,Paramètres!$A$1:$I$89,3,0)*0.475*44/12</f>
        <v>10.100280078199937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30.753772457398128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-6.7984728957526396E-14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355.09162485318728</v>
      </c>
      <c r="T118" s="59">
        <f t="shared" si="88"/>
        <v>320.06572891923685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82.376653975272049</v>
      </c>
      <c r="AA118" s="21">
        <f>EXP(-LN(2)/25)*AA117+(1-EXP(-LN(2)/25))/(LN(2)/25)*Calculateur!V118*Calculateur!X118*VLOOKUP('Données projet'!$B$9,Paramètres!$A$1:$I$89,3,0)*0.475*44/12</f>
        <v>14.381613621734735</v>
      </c>
      <c r="AB118" s="21">
        <f>EXP(-LN(2)/2)*AB117+(1-EXP(-LN(2)/2))/(LN(2)/2)*V118*Y118*VLOOKUP('Données projet'!$B$9,Paramètres!$A$1:$I$89,3,0)*0.475*44/12</f>
        <v>6.2970946463804359E-5</v>
      </c>
      <c r="AC118" s="22">
        <f t="shared" si="57"/>
        <v>96.758330567953237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5.1159076974727213E-13</v>
      </c>
      <c r="AJ118" s="13">
        <f>AI118*VLOOKUP('Données projet'!$B$10,Paramètres!$A$1:$I$89,3,0)*VLOOKUP('Données projet'!$B$10,Paramètres!$A$1:$I$89,5,0)</f>
        <v>2.3942448024172334E-13</v>
      </c>
      <c r="AK118" s="13">
        <f t="shared" si="89"/>
        <v>3.2492669905861755E-12</v>
      </c>
      <c r="AL118" s="20">
        <f t="shared" si="58"/>
        <v>6.0761376450252565E-12</v>
      </c>
      <c r="AM118" s="59">
        <f t="shared" si="59"/>
        <v>293.3333333333394</v>
      </c>
      <c r="AN118" s="59">
        <f ca="1">AVERAGE(OFFSET($AM$3,0,0,'Données projet'!$E$10+1,1))-AVERAGE(OFFSET($H$3,0,0,'Données projet'!$E$10+1,1))</f>
        <v>246.72166704460847</v>
      </c>
      <c r="AO118" s="59">
        <f t="shared" si="90"/>
        <v>145.54897745089966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118.73362248482306</v>
      </c>
      <c r="AV118" s="21">
        <f>EXP(-LN(2)/25)*AV117+(1-EXP(-LN(2)/25))/(LN(2)/25)*Calculateur!AQ118*Calculateur!AS118*VLOOKUP('Données projet'!$B$10,Paramètres!$A$1:$I$89,3,0)*0.475*44/12</f>
        <v>28.151963236772644</v>
      </c>
      <c r="AW118" s="21">
        <f>EXP(-LN(2)/2)*AW117+(1-EXP(-LN(2)/2))/(LN(2)/2)*AQ118*AT118*VLOOKUP('Données projet'!$B$10,Paramètres!$A$1:$I$89,3,0)*0.475*44/12</f>
        <v>2.2935861655891698</v>
      </c>
      <c r="AX118" s="21">
        <f t="shared" si="60"/>
        <v>149.17917188718488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88.478637356802039</v>
      </c>
      <c r="BJ118" s="59">
        <f t="shared" si="92"/>
        <v>239.55411297259155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6.8775239873494867</v>
      </c>
      <c r="BQ118" s="21">
        <f>EXP(-LN(2)/25)*BQ117+(1-EXP(-LN(2)/25))/(LN(2)/25)*Calculateur!BL118*Calculateur!BN118*VLOOKUP('Données projet'!$B$11,Paramètres!$A$1:$I$89,3,0)*0.475*44/12</f>
        <v>0.69163889451896066</v>
      </c>
      <c r="BR118" s="21">
        <f>EXP(-LN(2)/2)*BR117+(1-EXP(-LN(2)/2))/(LN(2)/2)*BL118*BO118*VLOOKUP('Données projet'!$B$11,Paramètres!$A$1:$I$89,3,0)*0.475*44/12</f>
        <v>6.9125436700490503E-14</v>
      </c>
      <c r="BS118" s="22">
        <f t="shared" si="63"/>
        <v>7.5691628818685164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5.9660256410256407</v>
      </c>
      <c r="BY118" s="12">
        <f>IF('Données projet'!$A$114&gt;35,BY117+BX118-CG117,IF(A118&lt;'Données projet'!$A$114,$BV$205^A118,IF(A118='Données projet'!$A$114,'Données projet'!$B$114,BY117+BX118-CG117)))</f>
        <v>282.58269230769258</v>
      </c>
      <c r="BZ118" s="13">
        <f>BY118*VLOOKUP('Données projet'!$B$12,Paramètres!$A$1:$I$89,3,0)*VLOOKUP('Données projet'!$B$12,Paramètres!$A$1:$I$89,5,0)</f>
        <v>255.68082000000024</v>
      </c>
      <c r="CA118" s="13">
        <f t="shared" si="93"/>
        <v>61.800807632964712</v>
      </c>
      <c r="CB118" s="20">
        <f t="shared" si="64"/>
        <v>552.94716812741399</v>
      </c>
      <c r="CC118" s="59">
        <f t="shared" si="65"/>
        <v>846.28050146074725</v>
      </c>
      <c r="CD118" s="59">
        <f ca="1">AVERAGE(OFFSET($CC$3,0,0,'Données projet'!$E$12+1,1))-AVERAGE(OFFSET($H$3,0,0,'Données projet'!$E$12+1,1))</f>
        <v>437.94387006020412</v>
      </c>
      <c r="CE118" s="59">
        <f t="shared" si="94"/>
        <v>213.95083535531376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25.421547910594192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25.421547910594192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3.098461538461541</v>
      </c>
      <c r="CT118" s="12">
        <f>IF('Données projet'!$A$140&gt;35,CT117+CS118-DB117,IF(A118&lt;'Données projet'!$A$140,$CQ$205^A118,IF(A118='Données projet'!$A$140,'Données projet'!$B$140,CT117+CS118-DB117)))</f>
        <v>153.13846153846202</v>
      </c>
      <c r="CU118" s="17">
        <f>CT118*VLOOKUP('Données projet'!$B$13,Paramètres!$A$1:$I$89,3,0)*VLOOKUP('Données projet'!$B$13,Paramètres!$A$1:$I$89,5,0)</f>
        <v>73.659600000000239</v>
      </c>
      <c r="CV118" s="13">
        <f t="shared" si="95"/>
        <v>20.579552362977193</v>
      </c>
      <c r="CW118" s="20">
        <f t="shared" si="67"/>
        <v>164.13319036551903</v>
      </c>
      <c r="CX118" s="59">
        <f t="shared" si="68"/>
        <v>457.46652369885237</v>
      </c>
      <c r="CY118" s="59">
        <f ca="1">AVERAGE(OFFSET($CX$3,0,0,'Données projet'!$E$13+1,1))-AVERAGE(OFFSET($H$3,0,0,'Données projet'!$E$13+1,1))</f>
        <v>258.42493116335032</v>
      </c>
      <c r="CZ118" s="59">
        <f t="shared" si="96"/>
        <v>102.46122697336466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101.66563482996304</v>
      </c>
      <c r="DG118" s="21">
        <f>EXP(-LN(2)/25)*DG117+(1-EXP(-LN(2)/25))/(LN(2)/25)*Calculateur!DB118*Calculateur!DD118*VLOOKUP('Données projet'!$B$13,Paramètres!$A$1:$I$89,3,0)*0.475*44/12</f>
        <v>23.89711358860394</v>
      </c>
      <c r="DH118" s="21">
        <f>EXP(-LN(2)/2)*DH117+(1-EXP(-LN(2)/2))/(LN(2)/2)*DB118*DE118*VLOOKUP('Données projet'!$B$13,Paramètres!$A$1:$I$89,3,0)*0.475*44/12</f>
        <v>1.7162751712239555</v>
      </c>
      <c r="DI118" s="22">
        <f t="shared" si="69"/>
        <v>127.27902358979094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243</v>
      </c>
      <c r="DP118" s="17">
        <f>DO118*VLOOKUP('Données projet'!$B$14,Paramètres!$A$1:$I$89,3,0)*VLOOKUP('Données projet'!$B$14,Paramètres!$A$1:$I$89,5,0)</f>
        <v>212.28480000000002</v>
      </c>
      <c r="DQ118" s="13">
        <f t="shared" si="97"/>
        <v>52.434557099704193</v>
      </c>
      <c r="DR118" s="20">
        <f t="shared" si="70"/>
        <v>461.05288028198476</v>
      </c>
      <c r="DS118" s="59">
        <f t="shared" si="71"/>
        <v>754.38621361531807</v>
      </c>
      <c r="DT118" s="59">
        <f ca="1">AVERAGE(OFFSET($DS$3,0,0,'Données projet'!$E$14+1,1))-AVERAGE(OFFSET($H$3,0,0,'Données projet'!$E$14+1,1))</f>
        <v>354.24684313982857</v>
      </c>
      <c r="DU118" s="59">
        <f t="shared" si="98"/>
        <v>322.65043486962185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20.248489991028578</v>
      </c>
      <c r="EB118" s="21">
        <f>EXP(-LN(2)/25)*EB117+(1-EXP(-LN(2)/25))/(LN(2)/25)*Calculateur!DW118*Calculateur!DY118*VLOOKUP('Données projet'!$B$14,Paramètres!$A$1:$I$89,3,0)*0.475*44/12</f>
        <v>9.8240873883109145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30.072577379339492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-6.7984728957526396E-14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355.09162485318728</v>
      </c>
      <c r="T119" s="59">
        <f t="shared" si="88"/>
        <v>320.06572891923685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80.761298035614629</v>
      </c>
      <c r="AA119" s="21">
        <f>EXP(-LN(2)/25)*AA118+(1-EXP(-LN(2)/25))/(LN(2)/25)*Calculateur!V119*Calculateur!X119*VLOOKUP('Données projet'!$B$9,Paramètres!$A$1:$I$89,3,0)*0.475*44/12</f>
        <v>13.988347640952208</v>
      </c>
      <c r="AB119" s="21">
        <f>EXP(-LN(2)/2)*AB118+(1-EXP(-LN(2)/2))/(LN(2)/2)*V119*Y119*VLOOKUP('Données projet'!$B$9,Paramètres!$A$1:$I$89,3,0)*0.475*44/12</f>
        <v>4.4527183262291107E-5</v>
      </c>
      <c r="AC119" s="22">
        <f t="shared" si="57"/>
        <v>94.749690203750106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5.1159076974727213E-13</v>
      </c>
      <c r="AJ119" s="13">
        <f>AI119*VLOOKUP('Données projet'!$B$10,Paramètres!$A$1:$I$89,3,0)*VLOOKUP('Données projet'!$B$10,Paramètres!$A$1:$I$89,5,0)</f>
        <v>2.3942448024172334E-13</v>
      </c>
      <c r="AK119" s="13">
        <f t="shared" si="89"/>
        <v>3.2492669905861755E-12</v>
      </c>
      <c r="AL119" s="20">
        <f t="shared" si="58"/>
        <v>6.0761376450252565E-12</v>
      </c>
      <c r="AM119" s="59">
        <f t="shared" si="59"/>
        <v>293.3333333333394</v>
      </c>
      <c r="AN119" s="59">
        <f ca="1">AVERAGE(OFFSET($AM$3,0,0,'Données projet'!$E$10+1,1))-AVERAGE(OFFSET($H$3,0,0,'Données projet'!$E$10+1,1))</f>
        <v>246.72166704460847</v>
      </c>
      <c r="AO119" s="59">
        <f t="shared" si="90"/>
        <v>145.54897745089966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116.40532856825448</v>
      </c>
      <c r="AV119" s="21">
        <f>EXP(-LN(2)/25)*AV118+(1-EXP(-LN(2)/25))/(LN(2)/25)*Calculateur!AQ119*Calculateur!AS119*VLOOKUP('Données projet'!$B$10,Paramètres!$A$1:$I$89,3,0)*0.475*44/12</f>
        <v>27.382146321615693</v>
      </c>
      <c r="AW119" s="21">
        <f>EXP(-LN(2)/2)*AW118+(1-EXP(-LN(2)/2))/(LN(2)/2)*AQ119*AT119*VLOOKUP('Données projet'!$B$10,Paramètres!$A$1:$I$89,3,0)*0.475*44/12</f>
        <v>1.6218103309237537</v>
      </c>
      <c r="AX119" s="21">
        <f t="shared" si="60"/>
        <v>145.40928522079392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88.478637356802039</v>
      </c>
      <c r="BJ119" s="59">
        <f t="shared" si="92"/>
        <v>239.55411297259155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6.742659936832986</v>
      </c>
      <c r="BQ119" s="21">
        <f>EXP(-LN(2)/25)*BQ118+(1-EXP(-LN(2)/25))/(LN(2)/25)*Calculateur!BL119*Calculateur!BN119*VLOOKUP('Données projet'!$B$11,Paramètres!$A$1:$I$89,3,0)*0.475*44/12</f>
        <v>0.67272599257663102</v>
      </c>
      <c r="BR119" s="21">
        <f>EXP(-LN(2)/2)*BR118+(1-EXP(-LN(2)/2))/(LN(2)/2)*BL119*BO119*VLOOKUP('Données projet'!$B$11,Paramètres!$A$1:$I$89,3,0)*0.475*44/12</f>
        <v>4.887906504339828E-14</v>
      </c>
      <c r="BS119" s="22">
        <f t="shared" si="63"/>
        <v>7.4153859294096662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5.9660256410256407</v>
      </c>
      <c r="BY119" s="12">
        <f>IF('Données projet'!$A$114&gt;35,BY118+BX119-CG118,IF(A119&lt;'Données projet'!$A$114,$BV$205^A119,IF(A119='Données projet'!$A$114,'Données projet'!$B$114,BY118+BX119-CG118)))</f>
        <v>288.54871794871821</v>
      </c>
      <c r="BZ119" s="13">
        <f>BY119*VLOOKUP('Données projet'!$B$12,Paramètres!$A$1:$I$89,3,0)*VLOOKUP('Données projet'!$B$12,Paramètres!$A$1:$I$89,5,0)</f>
        <v>261.07888000000025</v>
      </c>
      <c r="CA119" s="13">
        <f t="shared" si="93"/>
        <v>62.952296119859227</v>
      </c>
      <c r="CB119" s="20">
        <f t="shared" si="64"/>
        <v>564.3542984087552</v>
      </c>
      <c r="CC119" s="59">
        <f t="shared" si="65"/>
        <v>857.68763174208857</v>
      </c>
      <c r="CD119" s="59">
        <f ca="1">AVERAGE(OFFSET($CC$3,0,0,'Données projet'!$E$12+1,1))-AVERAGE(OFFSET($H$3,0,0,'Données projet'!$E$12+1,1))</f>
        <v>437.94387006020412</v>
      </c>
      <c r="CE119" s="59">
        <f t="shared" si="94"/>
        <v>213.95083535531376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24.923046861680614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24.923046861680614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3.098461538461541</v>
      </c>
      <c r="CT119" s="12">
        <f>IF('Données projet'!$A$140&gt;35,CT118+CS119-DB118,IF(A119&lt;'Données projet'!$A$140,$CQ$205^A119,IF(A119='Données projet'!$A$140,'Données projet'!$B$140,CT118+CS119-DB118)))</f>
        <v>156.23692307692357</v>
      </c>
      <c r="CU119" s="17">
        <f>CT119*VLOOKUP('Données projet'!$B$13,Paramètres!$A$1:$I$89,3,0)*VLOOKUP('Données projet'!$B$13,Paramètres!$A$1:$I$89,5,0)</f>
        <v>75.149960000000249</v>
      </c>
      <c r="CV119" s="13">
        <f t="shared" si="95"/>
        <v>20.94704239545046</v>
      </c>
      <c r="CW119" s="20">
        <f t="shared" si="67"/>
        <v>167.36894583874331</v>
      </c>
      <c r="CX119" s="59">
        <f t="shared" si="68"/>
        <v>460.7022791720766</v>
      </c>
      <c r="CY119" s="59">
        <f ca="1">AVERAGE(OFFSET($CX$3,0,0,'Données projet'!$E$13+1,1))-AVERAGE(OFFSET($H$3,0,0,'Données projet'!$E$13+1,1))</f>
        <v>258.42493116335032</v>
      </c>
      <c r="CZ119" s="59">
        <f t="shared" si="96"/>
        <v>102.46122697336466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99.672033740861735</v>
      </c>
      <c r="DG119" s="21">
        <f>EXP(-LN(2)/25)*DG118+(1-EXP(-LN(2)/25))/(LN(2)/25)*Calculateur!DB119*Calculateur!DD119*VLOOKUP('Données projet'!$B$13,Paramètres!$A$1:$I$89,3,0)*0.475*44/12</f>
        <v>23.243645760828979</v>
      </c>
      <c r="DH119" s="21">
        <f>EXP(-LN(2)/2)*DH118+(1-EXP(-LN(2)/2))/(LN(2)/2)*DB119*DE119*VLOOKUP('Données projet'!$B$13,Paramètres!$A$1:$I$89,3,0)*0.475*44/12</f>
        <v>1.2135898119545618</v>
      </c>
      <c r="DI119" s="22">
        <f t="shared" si="69"/>
        <v>124.12926931364528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243</v>
      </c>
      <c r="DP119" s="17">
        <f>DO119*VLOOKUP('Données projet'!$B$14,Paramètres!$A$1:$I$89,3,0)*VLOOKUP('Données projet'!$B$14,Paramètres!$A$1:$I$89,5,0)</f>
        <v>212.28480000000002</v>
      </c>
      <c r="DQ119" s="13">
        <f t="shared" si="97"/>
        <v>52.434557099704193</v>
      </c>
      <c r="DR119" s="20">
        <f t="shared" si="70"/>
        <v>461.05288028198476</v>
      </c>
      <c r="DS119" s="59">
        <f t="shared" si="71"/>
        <v>754.38621361531807</v>
      </c>
      <c r="DT119" s="59">
        <f ca="1">AVERAGE(OFFSET($DS$3,0,0,'Données projet'!$E$14+1,1))-AVERAGE(OFFSET($H$3,0,0,'Données projet'!$E$14+1,1))</f>
        <v>354.24684313982857</v>
      </c>
      <c r="DU119" s="59">
        <f t="shared" si="98"/>
        <v>322.65043486962185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19.851429452663904</v>
      </c>
      <c r="EB119" s="21">
        <f>EXP(-LN(2)/25)*EB118+(1-EXP(-LN(2)/25))/(LN(2)/25)*Calculateur!DW119*Calculateur!DY119*VLOOKUP('Données projet'!$B$14,Paramètres!$A$1:$I$89,3,0)*0.475*44/12</f>
        <v>9.5554472020512495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29.406876654715155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-6.7984728957526396E-14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355.09162485318728</v>
      </c>
      <c r="T120" s="59">
        <f t="shared" si="88"/>
        <v>320.06572891923685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79.17761824066406</v>
      </c>
      <c r="AA120" s="21">
        <f>EXP(-LN(2)/25)*AA119+(1-EXP(-LN(2)/25))/(LN(2)/25)*Calculateur!V120*Calculateur!X120*VLOOKUP('Données projet'!$B$9,Paramètres!$A$1:$I$89,3,0)*0.475*44/12</f>
        <v>13.605835539095137</v>
      </c>
      <c r="AB120" s="21">
        <f>EXP(-LN(2)/2)*AB119+(1-EXP(-LN(2)/2))/(LN(2)/2)*V120*Y120*VLOOKUP('Données projet'!$B$9,Paramètres!$A$1:$I$89,3,0)*0.475*44/12</f>
        <v>3.1485473231902179E-5</v>
      </c>
      <c r="AC120" s="22">
        <f t="shared" si="57"/>
        <v>92.783485265232429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5.1159076974727213E-13</v>
      </c>
      <c r="AJ120" s="13">
        <f>AI120*VLOOKUP('Données projet'!$B$10,Paramètres!$A$1:$I$89,3,0)*VLOOKUP('Données projet'!$B$10,Paramètres!$A$1:$I$89,5,0)</f>
        <v>2.3942448024172334E-13</v>
      </c>
      <c r="AK120" s="13">
        <f t="shared" si="89"/>
        <v>3.2492669905861755E-12</v>
      </c>
      <c r="AL120" s="20">
        <f t="shared" si="58"/>
        <v>6.0761376450252565E-12</v>
      </c>
      <c r="AM120" s="59">
        <f t="shared" si="59"/>
        <v>293.3333333333394</v>
      </c>
      <c r="AN120" s="59">
        <f ca="1">AVERAGE(OFFSET($AM$3,0,0,'Données projet'!$E$10+1,1))-AVERAGE(OFFSET($H$3,0,0,'Données projet'!$E$10+1,1))</f>
        <v>246.72166704460847</v>
      </c>
      <c r="AO120" s="59">
        <f t="shared" si="90"/>
        <v>145.54897745089966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114.12269107527074</v>
      </c>
      <c r="AV120" s="21">
        <f>EXP(-LN(2)/25)*AV119+(1-EXP(-LN(2)/25))/(LN(2)/25)*Calculateur!AQ120*Calculateur!AS120*VLOOKUP('Données projet'!$B$10,Paramètres!$A$1:$I$89,3,0)*0.475*44/12</f>
        <v>26.633380090486618</v>
      </c>
      <c r="AW120" s="21">
        <f>EXP(-LN(2)/2)*AW119+(1-EXP(-LN(2)/2))/(LN(2)/2)*AQ120*AT120*VLOOKUP('Données projet'!$B$10,Paramètres!$A$1:$I$89,3,0)*0.475*44/12</f>
        <v>1.1467930827945849</v>
      </c>
      <c r="AX120" s="21">
        <f t="shared" si="60"/>
        <v>141.90286424855194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88.478637356802039</v>
      </c>
      <c r="BJ120" s="59">
        <f t="shared" si="92"/>
        <v>239.55411297259155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6.6104404880881651</v>
      </c>
      <c r="BQ120" s="21">
        <f>EXP(-LN(2)/25)*BQ119+(1-EXP(-LN(2)/25))/(LN(2)/25)*Calculateur!BL120*Calculateur!BN120*VLOOKUP('Données projet'!$B$11,Paramètres!$A$1:$I$89,3,0)*0.475*44/12</f>
        <v>0.65433026493250057</v>
      </c>
      <c r="BR120" s="21">
        <f>EXP(-LN(2)/2)*BR119+(1-EXP(-LN(2)/2))/(LN(2)/2)*BL120*BO120*VLOOKUP('Données projet'!$B$11,Paramètres!$A$1:$I$89,3,0)*0.475*44/12</f>
        <v>3.4562718350245252E-14</v>
      </c>
      <c r="BS120" s="22">
        <f t="shared" si="63"/>
        <v>7.2647707530207004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5.9660256410256407</v>
      </c>
      <c r="BY120" s="12">
        <f>IF('Données projet'!$A$114&gt;35,BY119+BX120-CG119,IF(A120&lt;'Données projet'!$A$114,$BV$205^A120,IF(A120='Données projet'!$A$114,'Données projet'!$B$114,BY119+BX120-CG119)))</f>
        <v>294.51474358974383</v>
      </c>
      <c r="BZ120" s="13">
        <f>BY120*VLOOKUP('Données projet'!$B$12,Paramètres!$A$1:$I$89,3,0)*VLOOKUP('Données projet'!$B$12,Paramètres!$A$1:$I$89,5,0)</f>
        <v>266.47694000000018</v>
      </c>
      <c r="CA120" s="13">
        <f t="shared" si="93"/>
        <v>64.101016462257832</v>
      </c>
      <c r="CB120" s="20">
        <f t="shared" si="64"/>
        <v>575.7566075050994</v>
      </c>
      <c r="CC120" s="59">
        <f t="shared" si="65"/>
        <v>869.08994083843277</v>
      </c>
      <c r="CD120" s="59">
        <f ca="1">AVERAGE(OFFSET($CC$3,0,0,'Données projet'!$E$12+1,1))-AVERAGE(OFFSET($H$3,0,0,'Données projet'!$E$12+1,1))</f>
        <v>437.94387006020412</v>
      </c>
      <c r="CE120" s="59">
        <f t="shared" si="94"/>
        <v>213.95083535531376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24.434321114280614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24.434321114280614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3.098461538461541</v>
      </c>
      <c r="CT120" s="12">
        <f>IF('Données projet'!$A$140&gt;35,CT119+CS120-DB119,IF(A120&lt;'Données projet'!$A$140,$CQ$205^A120,IF(A120='Données projet'!$A$140,'Données projet'!$B$140,CT119+CS120-DB119)))</f>
        <v>159.33538461538512</v>
      </c>
      <c r="CU120" s="17">
        <f>CT120*VLOOKUP('Données projet'!$B$13,Paramètres!$A$1:$I$89,3,0)*VLOOKUP('Données projet'!$B$13,Paramètres!$A$1:$I$89,5,0)</f>
        <v>76.640320000000244</v>
      </c>
      <c r="CV120" s="13">
        <f t="shared" si="95"/>
        <v>21.313685025114523</v>
      </c>
      <c r="CW120" s="20">
        <f t="shared" si="67"/>
        <v>170.60322541874154</v>
      </c>
      <c r="CX120" s="59">
        <f t="shared" si="68"/>
        <v>463.93655875207486</v>
      </c>
      <c r="CY120" s="59">
        <f ca="1">AVERAGE(OFFSET($CX$3,0,0,'Données projet'!$E$13+1,1))-AVERAGE(OFFSET($H$3,0,0,'Données projet'!$E$13+1,1))</f>
        <v>258.42493116335032</v>
      </c>
      <c r="CZ120" s="59">
        <f t="shared" si="96"/>
        <v>102.46122697336466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97.71752595314112</v>
      </c>
      <c r="DG120" s="21">
        <f>EXP(-LN(2)/25)*DG119+(1-EXP(-LN(2)/25))/(LN(2)/25)*Calculateur!DB120*Calculateur!DD120*VLOOKUP('Données projet'!$B$13,Paramètres!$A$1:$I$89,3,0)*0.475*44/12</f>
        <v>22.608047045168906</v>
      </c>
      <c r="DH120" s="21">
        <f>EXP(-LN(2)/2)*DH119+(1-EXP(-LN(2)/2))/(LN(2)/2)*DB120*DE120*VLOOKUP('Données projet'!$B$13,Paramètres!$A$1:$I$89,3,0)*0.475*44/12</f>
        <v>0.85813758561197773</v>
      </c>
      <c r="DI120" s="22">
        <f t="shared" si="69"/>
        <v>121.18371058392199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243</v>
      </c>
      <c r="DP120" s="17">
        <f>DO120*VLOOKUP('Données projet'!$B$14,Paramètres!$A$1:$I$89,3,0)*VLOOKUP('Données projet'!$B$14,Paramètres!$A$1:$I$89,5,0)</f>
        <v>212.28480000000002</v>
      </c>
      <c r="DQ120" s="13">
        <f t="shared" si="97"/>
        <v>52.434557099704193</v>
      </c>
      <c r="DR120" s="20">
        <f t="shared" si="70"/>
        <v>461.05288028198476</v>
      </c>
      <c r="DS120" s="59">
        <f t="shared" si="71"/>
        <v>754.38621361531807</v>
      </c>
      <c r="DT120" s="59">
        <f ca="1">AVERAGE(OFFSET($DS$3,0,0,'Données projet'!$E$14+1,1))-AVERAGE(OFFSET($H$3,0,0,'Données projet'!$E$14+1,1))</f>
        <v>354.24684313982857</v>
      </c>
      <c r="DU120" s="59">
        <f t="shared" si="98"/>
        <v>322.65043486962185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19.462155029273546</v>
      </c>
      <c r="EB120" s="21">
        <f>EXP(-LN(2)/25)*EB119+(1-EXP(-LN(2)/25))/(LN(2)/25)*Calculateur!DW120*Calculateur!DY120*VLOOKUP('Données projet'!$B$14,Paramètres!$A$1:$I$89,3,0)*0.475*44/12</f>
        <v>9.2941529958120288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28.756308025085573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-6.7984728957526396E-14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355.09162485318728</v>
      </c>
      <c r="T121" s="59">
        <f t="shared" si="88"/>
        <v>320.06572891923685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77.624993440543165</v>
      </c>
      <c r="AA121" s="21">
        <f>EXP(-LN(2)/25)*AA120+(1-EXP(-LN(2)/25))/(LN(2)/25)*Calculateur!V121*Calculateur!X121*VLOOKUP('Données projet'!$B$9,Paramètres!$A$1:$I$89,3,0)*0.475*44/12</f>
        <v>13.233783250778787</v>
      </c>
      <c r="AB121" s="21">
        <f>EXP(-LN(2)/2)*AB120+(1-EXP(-LN(2)/2))/(LN(2)/2)*V121*Y121*VLOOKUP('Données projet'!$B$9,Paramètres!$A$1:$I$89,3,0)*0.475*44/12</f>
        <v>2.2263591631145554E-5</v>
      </c>
      <c r="AC121" s="22">
        <f t="shared" si="57"/>
        <v>90.858798954913581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5.1159076974727213E-13</v>
      </c>
      <c r="AJ121" s="13">
        <f>AI121*VLOOKUP('Données projet'!$B$10,Paramètres!$A$1:$I$89,3,0)*VLOOKUP('Données projet'!$B$10,Paramètres!$A$1:$I$89,5,0)</f>
        <v>2.3942448024172334E-13</v>
      </c>
      <c r="AK121" s="13">
        <f t="shared" si="89"/>
        <v>3.2492669905861755E-12</v>
      </c>
      <c r="AL121" s="20">
        <f t="shared" si="58"/>
        <v>6.0761376450252565E-12</v>
      </c>
      <c r="AM121" s="59">
        <f t="shared" si="59"/>
        <v>293.3333333333394</v>
      </c>
      <c r="AN121" s="59">
        <f ca="1">AVERAGE(OFFSET($AM$3,0,0,'Données projet'!$E$10+1,1))-AVERAGE(OFFSET($H$3,0,0,'Données projet'!$E$10+1,1))</f>
        <v>246.72166704460847</v>
      </c>
      <c r="AO121" s="59">
        <f t="shared" si="90"/>
        <v>145.54897745089966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111.88481471125301</v>
      </c>
      <c r="AV121" s="21">
        <f>EXP(-LN(2)/25)*AV120+(1-EXP(-LN(2)/25))/(LN(2)/25)*Calculateur!AQ121*Calculateur!AS121*VLOOKUP('Données projet'!$B$10,Paramètres!$A$1:$I$89,3,0)*0.475*44/12</f>
        <v>25.905088911323674</v>
      </c>
      <c r="AW121" s="21">
        <f>EXP(-LN(2)/2)*AW120+(1-EXP(-LN(2)/2))/(LN(2)/2)*AQ121*AT121*VLOOKUP('Données projet'!$B$10,Paramètres!$A$1:$I$89,3,0)*0.475*44/12</f>
        <v>0.81090516546187685</v>
      </c>
      <c r="AX121" s="21">
        <f t="shared" si="60"/>
        <v>138.60080878803856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88.478637356802039</v>
      </c>
      <c r="BJ121" s="59">
        <f t="shared" si="92"/>
        <v>239.55411297259155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6.4808137820873295</v>
      </c>
      <c r="BQ121" s="21">
        <f>EXP(-LN(2)/25)*BQ120+(1-EXP(-LN(2)/25))/(LN(2)/25)*Calculateur!BL121*Calculateur!BN121*VLOOKUP('Données projet'!$B$11,Paramètres!$A$1:$I$89,3,0)*0.475*44/12</f>
        <v>0.63643756942818819</v>
      </c>
      <c r="BR121" s="21">
        <f>EXP(-LN(2)/2)*BR120+(1-EXP(-LN(2)/2))/(LN(2)/2)*BL121*BO121*VLOOKUP('Données projet'!$B$11,Paramètres!$A$1:$I$89,3,0)*0.475*44/12</f>
        <v>2.443953252169914E-14</v>
      </c>
      <c r="BS121" s="22">
        <f t="shared" si="63"/>
        <v>7.1172513515155424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>
        <f>VLOOKUP(A121,'Données projet'!$A$113:$I$133,2,0)</f>
        <v>300.48076923076923</v>
      </c>
      <c r="BW121" s="12">
        <f>VLOOKUP(A121,'Données projet'!$A$113:$I$133,9,0)</f>
        <v>5.9660256410256407</v>
      </c>
      <c r="BX121" s="12">
        <f t="array" ref="BX121">INDEX(BW:BW,MIN(IF(ISNUMBER(BW121:BW317),ROW(BW121:BW317),"")))</f>
        <v>5.9660256410256407</v>
      </c>
      <c r="BY121" s="12">
        <f>IF('Données projet'!$A$114&gt;35,BY120+BX121-CG120,IF(A121&lt;'Données projet'!$A$114,$BV$205^A121,IF(A121='Données projet'!$A$114,'Données projet'!$B$114,BY120+BX121-CG120)))</f>
        <v>300.48076923076945</v>
      </c>
      <c r="BZ121" s="13">
        <f>BY121*VLOOKUP('Données projet'!$B$12,Paramètres!$A$1:$I$89,3,0)*VLOOKUP('Données projet'!$B$12,Paramètres!$A$1:$I$89,5,0)</f>
        <v>271.87500000000017</v>
      </c>
      <c r="CA121" s="13">
        <f t="shared" si="93"/>
        <v>65.247031196822846</v>
      </c>
      <c r="CB121" s="20">
        <f t="shared" si="64"/>
        <v>587.15420433446661</v>
      </c>
      <c r="CC121" s="59">
        <f t="shared" si="65"/>
        <v>880.48753766779987</v>
      </c>
      <c r="CD121" s="59">
        <f ca="1">AVERAGE(OFFSET($CC$3,0,0,'Données projet'!$E$12+1,1))-AVERAGE(OFFSET($H$3,0,0,'Données projet'!$E$12+1,1))</f>
        <v>437.94387006020412</v>
      </c>
      <c r="CE121" s="59">
        <f t="shared" si="94"/>
        <v>213.95083535531376</v>
      </c>
      <c r="CF121" s="15">
        <f>IF(ISNA(VLOOKUP(A121,'Données projet'!$A$113:$I$133,3,0)),0,VLOOKUP(A121,'Données projet'!$A$113:$I$133,3,0))</f>
        <v>10</v>
      </c>
      <c r="CG121" s="15">
        <f>IF(ISNA(VLOOKUP(A121,'Données projet'!$A$113:$I$133,4,0)),0,VLOOKUP(A121,'Données projet'!$A$113:$I$133,4,0))</f>
        <v>42.685897435897438</v>
      </c>
      <c r="CH121" s="16">
        <f>IF(ISNA(VLOOKUP(A121,'Données projet'!$A$113:$I$133,5,0)),0%,VLOOKUP(A121,'Données projet'!$A$113:$I$133,5,0)*VLOOKUP('Données projet'!$B$12,Paramètres!$A$1:$I$89,7,0))</f>
        <v>0.30099999999999999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36.806584106505504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36.806584106505504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3.098461538461541</v>
      </c>
      <c r="CT121" s="12">
        <f>IF('Données projet'!$A$140&gt;35,CT120+CS121-DB120,IF(A121&lt;'Données projet'!$A$140,$CQ$205^A121,IF(A121='Données projet'!$A$140,'Données projet'!$B$140,CT120+CS121-DB120)))</f>
        <v>162.43384615384667</v>
      </c>
      <c r="CU121" s="17">
        <f>CT121*VLOOKUP('Données projet'!$B$13,Paramètres!$A$1:$I$89,3,0)*VLOOKUP('Données projet'!$B$13,Paramètres!$A$1:$I$89,5,0)</f>
        <v>78.130680000000254</v>
      </c>
      <c r="CV121" s="13">
        <f t="shared" si="95"/>
        <v>21.679498630357102</v>
      </c>
      <c r="CW121" s="20">
        <f t="shared" si="67"/>
        <v>173.83606111453909</v>
      </c>
      <c r="CX121" s="59">
        <f t="shared" si="68"/>
        <v>467.16939444787238</v>
      </c>
      <c r="CY121" s="59">
        <f ca="1">AVERAGE(OFFSET($CX$3,0,0,'Données projet'!$E$13+1,1))-AVERAGE(OFFSET($H$3,0,0,'Données projet'!$E$13+1,1))</f>
        <v>258.42493116335032</v>
      </c>
      <c r="CZ121" s="59">
        <f t="shared" si="96"/>
        <v>102.46122697336466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95.801344871005668</v>
      </c>
      <c r="DG121" s="21">
        <f>EXP(-LN(2)/25)*DG120+(1-EXP(-LN(2)/25))/(LN(2)/25)*Calculateur!DB121*Calculateur!DD121*VLOOKUP('Données projet'!$B$13,Paramètres!$A$1:$I$89,3,0)*0.475*44/12</f>
        <v>21.98982880981324</v>
      </c>
      <c r="DH121" s="21">
        <f>EXP(-LN(2)/2)*DH120+(1-EXP(-LN(2)/2))/(LN(2)/2)*DB121*DE121*VLOOKUP('Données projet'!$B$13,Paramètres!$A$1:$I$89,3,0)*0.475*44/12</f>
        <v>0.60679490597728092</v>
      </c>
      <c r="DI121" s="22">
        <f t="shared" si="69"/>
        <v>118.39796858679618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243</v>
      </c>
      <c r="DP121" s="17">
        <f>DO121*VLOOKUP('Données projet'!$B$14,Paramètres!$A$1:$I$89,3,0)*VLOOKUP('Données projet'!$B$14,Paramètres!$A$1:$I$89,5,0)</f>
        <v>212.28480000000002</v>
      </c>
      <c r="DQ121" s="13">
        <f t="shared" si="97"/>
        <v>52.434557099704193</v>
      </c>
      <c r="DR121" s="20">
        <f t="shared" si="70"/>
        <v>461.05288028198476</v>
      </c>
      <c r="DS121" s="59">
        <f t="shared" si="71"/>
        <v>754.38621361531807</v>
      </c>
      <c r="DT121" s="59">
        <f ca="1">AVERAGE(OFFSET($DS$3,0,0,'Données projet'!$E$14+1,1))-AVERAGE(OFFSET($H$3,0,0,'Données projet'!$E$14+1,1))</f>
        <v>354.24684313982857</v>
      </c>
      <c r="DU121" s="59">
        <f t="shared" si="98"/>
        <v>322.65043486962185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19.08051403989192</v>
      </c>
      <c r="EB121" s="21">
        <f>EXP(-LN(2)/25)*EB120+(1-EXP(-LN(2)/25))/(LN(2)/25)*Calculateur!DW121*Calculateur!DY121*VLOOKUP('Données projet'!$B$14,Paramètres!$A$1:$I$89,3,0)*0.475*44/12</f>
        <v>9.0400038933832843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28.120517933275202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-6.7984728957526396E-14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355.09162485318728</v>
      </c>
      <c r="T122" s="59">
        <f t="shared" si="88"/>
        <v>320.06572891923685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76.102814665745029</v>
      </c>
      <c r="AA122" s="21">
        <f>EXP(-LN(2)/25)*AA121+(1-EXP(-LN(2)/25))/(LN(2)/25)*Calculateur!V122*Calculateur!X122*VLOOKUP('Données projet'!$B$9,Paramètres!$A$1:$I$89,3,0)*0.475*44/12</f>
        <v>12.871904751851826</v>
      </c>
      <c r="AB122" s="21">
        <f>EXP(-LN(2)/2)*AB121+(1-EXP(-LN(2)/2))/(LN(2)/2)*V122*Y122*VLOOKUP('Données projet'!$B$9,Paramètres!$A$1:$I$89,3,0)*0.475*44/12</f>
        <v>1.574273661595109E-5</v>
      </c>
      <c r="AC122" s="22">
        <f t="shared" si="57"/>
        <v>88.974735160333481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5.1159076974727213E-13</v>
      </c>
      <c r="AJ122" s="13">
        <f>AI122*VLOOKUP('Données projet'!$B$10,Paramètres!$A$1:$I$89,3,0)*VLOOKUP('Données projet'!$B$10,Paramètres!$A$1:$I$89,5,0)</f>
        <v>2.3942448024172334E-13</v>
      </c>
      <c r="AK122" s="13">
        <f t="shared" si="89"/>
        <v>3.2492669905861755E-12</v>
      </c>
      <c r="AL122" s="20">
        <f t="shared" si="58"/>
        <v>6.0761376450252565E-12</v>
      </c>
      <c r="AM122" s="59">
        <f t="shared" si="59"/>
        <v>293.3333333333394</v>
      </c>
      <c r="AN122" s="59">
        <f ca="1">AVERAGE(OFFSET($AM$3,0,0,'Données projet'!$E$10+1,1))-AVERAGE(OFFSET($H$3,0,0,'Données projet'!$E$10+1,1))</f>
        <v>246.72166704460847</v>
      </c>
      <c r="AO122" s="59">
        <f t="shared" si="90"/>
        <v>145.54897745089966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109.69082173776388</v>
      </c>
      <c r="AV122" s="21">
        <f>EXP(-LN(2)/25)*AV121+(1-EXP(-LN(2)/25))/(LN(2)/25)*Calculateur!AQ122*Calculateur!AS122*VLOOKUP('Données projet'!$B$10,Paramètres!$A$1:$I$89,3,0)*0.475*44/12</f>
        <v>25.19671289275411</v>
      </c>
      <c r="AW122" s="21">
        <f>EXP(-LN(2)/2)*AW121+(1-EXP(-LN(2)/2))/(LN(2)/2)*AQ122*AT122*VLOOKUP('Données projet'!$B$10,Paramètres!$A$1:$I$89,3,0)*0.475*44/12</f>
        <v>0.57339654139729246</v>
      </c>
      <c r="AX122" s="21">
        <f t="shared" si="60"/>
        <v>135.46093117191529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88.478637356802039</v>
      </c>
      <c r="BJ122" s="59">
        <f t="shared" si="92"/>
        <v>239.55411297259155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6.3537289767266873</v>
      </c>
      <c r="BQ122" s="21">
        <f>EXP(-LN(2)/25)*BQ121+(1-EXP(-LN(2)/25))/(LN(2)/25)*Calculateur!BL122*Calculateur!BN122*VLOOKUP('Données projet'!$B$11,Paramètres!$A$1:$I$89,3,0)*0.475*44/12</f>
        <v>0.61903415062337719</v>
      </c>
      <c r="BR122" s="21">
        <f>EXP(-LN(2)/2)*BR121+(1-EXP(-LN(2)/2))/(LN(2)/2)*BL122*BO122*VLOOKUP('Données projet'!$B$11,Paramètres!$A$1:$I$89,3,0)*0.475*44/12</f>
        <v>1.7281359175122626E-14</v>
      </c>
      <c r="BS122" s="22">
        <f t="shared" si="63"/>
        <v>6.9727631273500812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5.9903846153846185</v>
      </c>
      <c r="BY122" s="12">
        <f>IF('Données projet'!$A$114&gt;35,BY121+BX122-CG121,IF(A122&lt;'Données projet'!$A$114,$BV$205^A122,IF(A122='Données projet'!$A$114,'Données projet'!$B$114,BY121+BX122-CG121)))</f>
        <v>263.78525641025664</v>
      </c>
      <c r="BZ122" s="13">
        <f>BY122*VLOOKUP('Données projet'!$B$12,Paramètres!$A$1:$I$89,3,0)*VLOOKUP('Données projet'!$B$12,Paramètres!$A$1:$I$89,5,0)</f>
        <v>238.6729000000002</v>
      </c>
      <c r="CA122" s="13">
        <f t="shared" si="93"/>
        <v>58.153906372330752</v>
      </c>
      <c r="CB122" s="20">
        <f t="shared" si="64"/>
        <v>516.97335443180975</v>
      </c>
      <c r="CC122" s="59">
        <f t="shared" si="65"/>
        <v>810.30668776514312</v>
      </c>
      <c r="CD122" s="59">
        <f ca="1">AVERAGE(OFFSET($CC$3,0,0,'Données projet'!$E$12+1,1))-AVERAGE(OFFSET($H$3,0,0,'Données projet'!$E$12+1,1))</f>
        <v>437.94387006020412</v>
      </c>
      <c r="CE122" s="59">
        <f t="shared" si="94"/>
        <v>213.95083535531376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36.084829441976503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36.084829441976503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3.098461538461541</v>
      </c>
      <c r="CT122" s="12">
        <f>IF('Données projet'!$A$140&gt;35,CT121+CS122-DB121,IF(A122&lt;'Données projet'!$A$140,$CQ$205^A122,IF(A122='Données projet'!$A$140,'Données projet'!$B$140,CT121+CS122-DB121)))</f>
        <v>165.53230769230822</v>
      </c>
      <c r="CU122" s="17">
        <f>CT122*VLOOKUP('Données projet'!$B$13,Paramètres!$A$1:$I$89,3,0)*VLOOKUP('Données projet'!$B$13,Paramètres!$A$1:$I$89,5,0)</f>
        <v>79.621040000000264</v>
      </c>
      <c r="CV122" s="13">
        <f t="shared" si="95"/>
        <v>22.044500848304018</v>
      </c>
      <c r="CW122" s="20">
        <f t="shared" si="67"/>
        <v>177.06748364412996</v>
      </c>
      <c r="CX122" s="59">
        <f t="shared" si="68"/>
        <v>470.40081697746325</v>
      </c>
      <c r="CY122" s="59">
        <f ca="1">AVERAGE(OFFSET($CX$3,0,0,'Données projet'!$E$13+1,1))-AVERAGE(OFFSET($H$3,0,0,'Données projet'!$E$13+1,1))</f>
        <v>258.42493116335032</v>
      </c>
      <c r="CZ122" s="59">
        <f t="shared" si="96"/>
        <v>102.46122697336466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93.922738931135839</v>
      </c>
      <c r="DG122" s="21">
        <f>EXP(-LN(2)/25)*DG121+(1-EXP(-LN(2)/25))/(LN(2)/25)*Calculateur!DB122*Calculateur!DD122*VLOOKUP('Données projet'!$B$13,Paramètres!$A$1:$I$89,3,0)*0.475*44/12</f>
        <v>21.388515784614057</v>
      </c>
      <c r="DH122" s="21">
        <f>EXP(-LN(2)/2)*DH121+(1-EXP(-LN(2)/2))/(LN(2)/2)*DB122*DE122*VLOOKUP('Données projet'!$B$13,Paramètres!$A$1:$I$89,3,0)*0.475*44/12</f>
        <v>0.42906879280598886</v>
      </c>
      <c r="DI122" s="22">
        <f t="shared" si="69"/>
        <v>115.74032350855589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243</v>
      </c>
      <c r="DP122" s="17">
        <f>DO122*VLOOKUP('Données projet'!$B$14,Paramètres!$A$1:$I$89,3,0)*VLOOKUP('Données projet'!$B$14,Paramètres!$A$1:$I$89,5,0)</f>
        <v>212.28480000000002</v>
      </c>
      <c r="DQ122" s="13">
        <f t="shared" si="97"/>
        <v>52.434557099704193</v>
      </c>
      <c r="DR122" s="20">
        <f t="shared" si="70"/>
        <v>461.05288028198476</v>
      </c>
      <c r="DS122" s="59">
        <f t="shared" si="71"/>
        <v>754.38621361531807</v>
      </c>
      <c r="DT122" s="59">
        <f ca="1">AVERAGE(OFFSET($DS$3,0,0,'Données projet'!$E$14+1,1))-AVERAGE(OFFSET($H$3,0,0,'Données projet'!$E$14+1,1))</f>
        <v>354.24684313982857</v>
      </c>
      <c r="DU122" s="59">
        <f t="shared" si="98"/>
        <v>322.65043486962185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18.706356797534049</v>
      </c>
      <c r="EB122" s="21">
        <f>EXP(-LN(2)/25)*EB121+(1-EXP(-LN(2)/25))/(LN(2)/25)*Calculateur!DW122*Calculateur!DY122*VLOOKUP('Données projet'!$B$14,Paramètres!$A$1:$I$89,3,0)*0.475*44/12</f>
        <v>8.7928045115255742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27.499161309059623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-6.7984728957526396E-14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355.09162485318728</v>
      </c>
      <c r="T123" s="59">
        <f t="shared" si="88"/>
        <v>320.06572891923685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74.61048488828331</v>
      </c>
      <c r="AA123" s="21">
        <f>EXP(-LN(2)/25)*AA122+(1-EXP(-LN(2)/25))/(LN(2)/25)*Calculateur!V123*Calculateur!X123*VLOOKUP('Données projet'!$B$9,Paramètres!$A$1:$I$89,3,0)*0.475*44/12</f>
        <v>12.519921839508386</v>
      </c>
      <c r="AB123" s="21">
        <f>EXP(-LN(2)/2)*AB122+(1-EXP(-LN(2)/2))/(LN(2)/2)*V123*Y123*VLOOKUP('Données projet'!$B$9,Paramètres!$A$1:$I$89,3,0)*0.475*44/12</f>
        <v>1.1131795815572777E-5</v>
      </c>
      <c r="AC123" s="22">
        <f t="shared" si="57"/>
        <v>87.13041785958751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5.1159076974727213E-13</v>
      </c>
      <c r="AJ123" s="13">
        <f>AI123*VLOOKUP('Données projet'!$B$10,Paramètres!$A$1:$I$89,3,0)*VLOOKUP('Données projet'!$B$10,Paramètres!$A$1:$I$89,5,0)</f>
        <v>2.3942448024172334E-13</v>
      </c>
      <c r="AK123" s="13">
        <f t="shared" si="89"/>
        <v>3.2492669905861755E-12</v>
      </c>
      <c r="AL123" s="20">
        <f t="shared" si="58"/>
        <v>6.0761376450252565E-12</v>
      </c>
      <c r="AM123" s="59">
        <f t="shared" si="59"/>
        <v>293.3333333333394</v>
      </c>
      <c r="AN123" s="59">
        <f ca="1">AVERAGE(OFFSET($AM$3,0,0,'Données projet'!$E$10+1,1))-AVERAGE(OFFSET($H$3,0,0,'Données projet'!$E$10+1,1))</f>
        <v>246.72166704460847</v>
      </c>
      <c r="AO123" s="59">
        <f t="shared" si="90"/>
        <v>145.54897745089966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107.5398516282813</v>
      </c>
      <c r="AV123" s="21">
        <f>EXP(-LN(2)/25)*AV122+(1-EXP(-LN(2)/25))/(LN(2)/25)*Calculateur!AQ123*Calculateur!AS123*VLOOKUP('Données projet'!$B$10,Paramètres!$A$1:$I$89,3,0)*0.475*44/12</f>
        <v>24.507707453664207</v>
      </c>
      <c r="AW123" s="21">
        <f>EXP(-LN(2)/2)*AW122+(1-EXP(-LN(2)/2))/(LN(2)/2)*AQ123*AT123*VLOOKUP('Données projet'!$B$10,Paramètres!$A$1:$I$89,3,0)*0.475*44/12</f>
        <v>0.40545258273093843</v>
      </c>
      <c r="AX123" s="21">
        <f t="shared" si="60"/>
        <v>132.45301166467644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88.478637356802039</v>
      </c>
      <c r="BJ123" s="59">
        <f t="shared" si="92"/>
        <v>239.55411297259155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6.2291362268850898</v>
      </c>
      <c r="BQ123" s="21">
        <f>EXP(-LN(2)/25)*BQ122+(1-EXP(-LN(2)/25))/(LN(2)/25)*Calculateur!BL123*Calculateur!BN123*VLOOKUP('Données projet'!$B$11,Paramètres!$A$1:$I$89,3,0)*0.475*44/12</f>
        <v>0.60210662922098979</v>
      </c>
      <c r="BR123" s="21">
        <f>EXP(-LN(2)/2)*BR122+(1-EXP(-LN(2)/2))/(LN(2)/2)*BL123*BO123*VLOOKUP('Données projet'!$B$11,Paramètres!$A$1:$I$89,3,0)*0.475*44/12</f>
        <v>1.221976626084957E-14</v>
      </c>
      <c r="BS123" s="22">
        <f t="shared" si="63"/>
        <v>6.8312428561060923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5.9903846153846185</v>
      </c>
      <c r="BY123" s="12">
        <f>IF('Données projet'!$A$114&gt;35,BY122+BX123-CG122,IF(A123&lt;'Données projet'!$A$114,$BV$205^A123,IF(A123='Données projet'!$A$114,'Données projet'!$B$114,BY122+BX123-CG122)))</f>
        <v>269.77564102564128</v>
      </c>
      <c r="BZ123" s="13">
        <f>BY123*VLOOKUP('Données projet'!$B$12,Paramètres!$A$1:$I$89,3,0)*VLOOKUP('Données projet'!$B$12,Paramètres!$A$1:$I$89,5,0)</f>
        <v>244.09300000000022</v>
      </c>
      <c r="CA123" s="13">
        <f t="shared" si="93"/>
        <v>59.319290798109783</v>
      </c>
      <c r="CB123" s="20">
        <f t="shared" si="64"/>
        <v>528.44307314004163</v>
      </c>
      <c r="CC123" s="59">
        <f t="shared" si="65"/>
        <v>821.77640647337489</v>
      </c>
      <c r="CD123" s="59">
        <f ca="1">AVERAGE(OFFSET($CC$3,0,0,'Données projet'!$E$12+1,1))-AVERAGE(OFFSET($H$3,0,0,'Données projet'!$E$12+1,1))</f>
        <v>437.94387006020412</v>
      </c>
      <c r="CE123" s="59">
        <f t="shared" si="94"/>
        <v>213.95083535531376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35.377227946192036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35.377227946192036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168.63076923076923</v>
      </c>
      <c r="CR123" s="12">
        <f>VLOOKUP(A123,'Données projet'!$A$139:$I$159,9,0)</f>
        <v>3.098461538461541</v>
      </c>
      <c r="CS123" s="12">
        <f t="array" ref="CS123">INDEX(CR:CR,MIN(IF(ISNUMBER(CR123:CR319),ROW(CR123:CR319),"")))</f>
        <v>3.098461538461541</v>
      </c>
      <c r="CT123" s="12">
        <f>IF('Données projet'!$A$140&gt;35,CT122+CS123-DB122,IF(A123&lt;'Données projet'!$A$140,$CQ$205^A123,IF(A123='Données projet'!$A$140,'Données projet'!$B$140,CT122+CS123-DB122)))</f>
        <v>168.63076923076977</v>
      </c>
      <c r="CU123" s="17">
        <f>CT123*VLOOKUP('Données projet'!$B$13,Paramètres!$A$1:$I$89,3,0)*VLOOKUP('Données projet'!$B$13,Paramètres!$A$1:$I$89,5,0)</f>
        <v>81.111400000000259</v>
      </c>
      <c r="CV123" s="13">
        <f t="shared" si="95"/>
        <v>22.408708618022644</v>
      </c>
      <c r="CW123" s="20">
        <f t="shared" si="67"/>
        <v>180.29752250972319</v>
      </c>
      <c r="CX123" s="59">
        <f t="shared" si="68"/>
        <v>473.63085584305651</v>
      </c>
      <c r="CY123" s="59">
        <f ca="1">AVERAGE(OFFSET($CX$3,0,0,'Données projet'!$E$13+1,1))-AVERAGE(OFFSET($H$3,0,0,'Données projet'!$E$13+1,1))</f>
        <v>258.42493116335032</v>
      </c>
      <c r="CZ123" s="59">
        <f t="shared" si="96"/>
        <v>102.46122697336466</v>
      </c>
      <c r="DA123" s="15">
        <f>IF(ISNA(VLOOKUP(A123,'Données projet'!$A$139:$I$159,3,0)),0,VLOOKUP(A123,'Données projet'!$A$139:$I$159,3,0))</f>
        <v>8</v>
      </c>
      <c r="DB123" s="15">
        <f>IF(ISNA(VLOOKUP(A123,'Données projet'!$A$139:$I$159,4,0)),0,VLOOKUP(A123,'Données projet'!$A$139:$I$159,4,0))</f>
        <v>168.63076923076923</v>
      </c>
      <c r="DC123" s="16">
        <f>IF(ISNA(VLOOKUP(A123,'Données projet'!$A$139:$I$159,5,0)),0%,VLOOKUP(A123,'Données projet'!$A$139:$I$159,5,0)*VLOOKUP('Données projet'!$B$13,Paramètres!$A$1:$I$89,7,0))</f>
        <v>0.38500000000000001</v>
      </c>
      <c r="DD123" s="16">
        <f>IF(ISNA(VLOOKUP(A123,'Données projet'!$A$139:$I$159,6,0)),0%,VLOOKUP(A123,'Données projet'!$A$139:$I$159,6,0)*VLOOKUP('Données projet'!$B$13,Paramètres!$A$1:$I$89,7,0))</f>
        <v>9.240000000000001E-2</v>
      </c>
      <c r="DE123" s="16">
        <f>IF(ISNA(VLOOKUP(A123,'Données projet'!$A$139:$I$159,7,0)),0%,VLOOKUP(A123,'Données projet'!$A$139:$I$159,7,0))</f>
        <v>0.13200000000000001</v>
      </c>
      <c r="DF123" s="21">
        <f>EXP(-LN(2)/35)*DF122+(1-EXP(-LN(2)/35))/(LN(2)/35)*DB123*DC123*VLOOKUP('Données projet'!$B$13,Paramètres!$A$1:$I$89,3,0)*0.475*44/12</f>
        <v>133.50677887372177</v>
      </c>
      <c r="DG123" s="21">
        <f>EXP(-LN(2)/25)*DG122+(1-EXP(-LN(2)/25))/(LN(2)/25)*Calculateur!DB123*Calculateur!DD123*VLOOKUP('Données projet'!$B$13,Paramètres!$A$1:$I$89,3,0)*0.475*44/12</f>
        <v>30.706693306179741</v>
      </c>
      <c r="DH123" s="21">
        <f>EXP(-LN(2)/2)*DH122+(1-EXP(-LN(2)/2))/(LN(2)/2)*DB123*DE123*VLOOKUP('Données projet'!$B$13,Paramètres!$A$1:$I$89,3,0)*0.475*44/12</f>
        <v>12.425874427630283</v>
      </c>
      <c r="DI123" s="22">
        <f t="shared" si="69"/>
        <v>176.63934660753179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243</v>
      </c>
      <c r="DP123" s="17">
        <f>DO123*VLOOKUP('Données projet'!$B$14,Paramètres!$A$1:$I$89,3,0)*VLOOKUP('Données projet'!$B$14,Paramètres!$A$1:$I$89,5,0)</f>
        <v>212.28480000000002</v>
      </c>
      <c r="DQ123" s="13">
        <f t="shared" si="97"/>
        <v>52.434557099704193</v>
      </c>
      <c r="DR123" s="20">
        <f t="shared" si="70"/>
        <v>461.05288028198476</v>
      </c>
      <c r="DS123" s="59">
        <f t="shared" si="71"/>
        <v>754.38621361531807</v>
      </c>
      <c r="DT123" s="59">
        <f ca="1">AVERAGE(OFFSET($DS$3,0,0,'Données projet'!$E$14+1,1))-AVERAGE(OFFSET($H$3,0,0,'Données projet'!$E$14+1,1))</f>
        <v>354.24684313982857</v>
      </c>
      <c r="DU123" s="59">
        <f t="shared" si="98"/>
        <v>322.65043486962185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18.339536550485434</v>
      </c>
      <c r="EB123" s="21">
        <f>EXP(-LN(2)/25)*EB122+(1-EXP(-LN(2)/25))/(LN(2)/25)*Calculateur!DW123*Calculateur!DY123*VLOOKUP('Données projet'!$B$14,Paramètres!$A$1:$I$89,3,0)*0.475*44/12</f>
        <v>8.5523648097644145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26.891901360249847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-6.7984728957526396E-14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355.09162485318728</v>
      </c>
      <c r="T124" s="59">
        <f t="shared" si="88"/>
        <v>320.06572891923685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73.14741878752632</v>
      </c>
      <c r="AA124" s="21">
        <f>EXP(-LN(2)/25)*AA123+(1-EXP(-LN(2)/25))/(LN(2)/25)*Calculateur!V124*Calculateur!X124*VLOOKUP('Données projet'!$B$9,Paramètres!$A$1:$I$89,3,0)*0.475*44/12</f>
        <v>12.177563918412956</v>
      </c>
      <c r="AB124" s="21">
        <f>EXP(-LN(2)/2)*AB123+(1-EXP(-LN(2)/2))/(LN(2)/2)*V124*Y124*VLOOKUP('Données projet'!$B$9,Paramètres!$A$1:$I$89,3,0)*0.475*44/12</f>
        <v>7.8713683079755448E-6</v>
      </c>
      <c r="AC124" s="22">
        <f t="shared" si="57"/>
        <v>85.324990577307588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5.1159076974727213E-13</v>
      </c>
      <c r="AJ124" s="13">
        <f>AI124*VLOOKUP('Données projet'!$B$10,Paramètres!$A$1:$I$89,3,0)*VLOOKUP('Données projet'!$B$10,Paramètres!$A$1:$I$89,5,0)</f>
        <v>2.3942448024172334E-13</v>
      </c>
      <c r="AK124" s="13">
        <f t="shared" si="89"/>
        <v>3.2492669905861755E-12</v>
      </c>
      <c r="AL124" s="20">
        <f t="shared" si="58"/>
        <v>6.0761376450252565E-12</v>
      </c>
      <c r="AM124" s="59">
        <f t="shared" si="59"/>
        <v>293.3333333333394</v>
      </c>
      <c r="AN124" s="59">
        <f ca="1">AVERAGE(OFFSET($AM$3,0,0,'Données projet'!$E$10+1,1))-AVERAGE(OFFSET($H$3,0,0,'Données projet'!$E$10+1,1))</f>
        <v>246.72166704460847</v>
      </c>
      <c r="AO124" s="59">
        <f t="shared" si="90"/>
        <v>145.54897745089966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105.43106073068344</v>
      </c>
      <c r="AV124" s="21">
        <f>EXP(-LN(2)/25)*AV123+(1-EXP(-LN(2)/25))/(LN(2)/25)*Calculateur!AQ124*Calculateur!AS124*VLOOKUP('Données projet'!$B$10,Paramètres!$A$1:$I$89,3,0)*0.475*44/12</f>
        <v>23.837542904539436</v>
      </c>
      <c r="AW124" s="21">
        <f>EXP(-LN(2)/2)*AW123+(1-EXP(-LN(2)/2))/(LN(2)/2)*AQ124*AT124*VLOOKUP('Données projet'!$B$10,Paramètres!$A$1:$I$89,3,0)*0.475*44/12</f>
        <v>0.28669827069864623</v>
      </c>
      <c r="AX124" s="21">
        <f t="shared" si="60"/>
        <v>129.55530190592154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88.478637356802039</v>
      </c>
      <c r="BJ124" s="59">
        <f t="shared" si="92"/>
        <v>239.55411297259155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6.106986664873812</v>
      </c>
      <c r="BQ124" s="21">
        <f>EXP(-LN(2)/25)*BQ123+(1-EXP(-LN(2)/25))/(LN(2)/25)*Calculateur!BL124*Calculateur!BN124*VLOOKUP('Données projet'!$B$11,Paramètres!$A$1:$I$89,3,0)*0.475*44/12</f>
        <v>0.58564199178153031</v>
      </c>
      <c r="BR124" s="21">
        <f>EXP(-LN(2)/2)*BR123+(1-EXP(-LN(2)/2))/(LN(2)/2)*BL124*BO124*VLOOKUP('Données projet'!$B$11,Paramètres!$A$1:$I$89,3,0)*0.475*44/12</f>
        <v>8.6406795875613129E-15</v>
      </c>
      <c r="BS124" s="22">
        <f t="shared" si="63"/>
        <v>6.6926286566553514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5.9903846153846185</v>
      </c>
      <c r="BY124" s="12">
        <f>IF('Données projet'!$A$114&gt;35,BY123+BX124-CG123,IF(A124&lt;'Données projet'!$A$114,$BV$205^A124,IF(A124='Données projet'!$A$114,'Données projet'!$B$114,BY123+BX124-CG123)))</f>
        <v>275.76602564102592</v>
      </c>
      <c r="BZ124" s="13">
        <f>BY124*VLOOKUP('Données projet'!$B$12,Paramètres!$A$1:$I$89,3,0)*VLOOKUP('Données projet'!$B$12,Paramètres!$A$1:$I$89,5,0)</f>
        <v>249.51310000000024</v>
      </c>
      <c r="CA124" s="13">
        <f t="shared" si="93"/>
        <v>60.481666718766945</v>
      </c>
      <c r="CB124" s="20">
        <f t="shared" si="64"/>
        <v>539.9075520351862</v>
      </c>
      <c r="CC124" s="59">
        <f t="shared" si="65"/>
        <v>833.24088536851946</v>
      </c>
      <c r="CD124" s="59">
        <f ca="1">AVERAGE(OFFSET($CC$3,0,0,'Données projet'!$E$12+1,1))-AVERAGE(OFFSET($H$3,0,0,'Données projet'!$E$12+1,1))</f>
        <v>437.94387006020412</v>
      </c>
      <c r="CE124" s="59">
        <f t="shared" si="94"/>
        <v>213.95083535531376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34.683502084145609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34.683502084145609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5.4001247917767614E-13</v>
      </c>
      <c r="CU124" s="17">
        <f>CT124*VLOOKUP('Données projet'!$B$13,Paramètres!$A$1:$I$89,3,0)*VLOOKUP('Données projet'!$B$13,Paramètres!$A$1:$I$89,5,0)</f>
        <v>2.5974600248446226E-13</v>
      </c>
      <c r="CV124" s="13">
        <f t="shared" si="95"/>
        <v>3.4917846266292826E-12</v>
      </c>
      <c r="CW124" s="20">
        <f t="shared" si="67"/>
        <v>6.5339158457064384E-12</v>
      </c>
      <c r="CX124" s="59">
        <f t="shared" si="68"/>
        <v>293.33333333333985</v>
      </c>
      <c r="CY124" s="59">
        <f ca="1">AVERAGE(OFFSET($CX$3,0,0,'Données projet'!$E$13+1,1))-AVERAGE(OFFSET($H$3,0,0,'Données projet'!$E$13+1,1))</f>
        <v>258.42493116335032</v>
      </c>
      <c r="CZ124" s="59">
        <f t="shared" si="96"/>
        <v>102.46122697336466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130.88879237110254</v>
      </c>
      <c r="DG124" s="21">
        <f>EXP(-LN(2)/25)*DG123+(1-EXP(-LN(2)/25))/(LN(2)/25)*Calculateur!DB124*Calculateur!DD124*VLOOKUP('Données projet'!$B$13,Paramètres!$A$1:$I$89,3,0)*0.475*44/12</f>
        <v>29.867017162927436</v>
      </c>
      <c r="DH124" s="21">
        <f>EXP(-LN(2)/2)*DH123+(1-EXP(-LN(2)/2))/(LN(2)/2)*DB124*DE124*VLOOKUP('Données projet'!$B$13,Paramètres!$A$1:$I$89,3,0)*0.475*44/12</f>
        <v>8.7864200699498838</v>
      </c>
      <c r="DI124" s="22">
        <f t="shared" si="69"/>
        <v>169.54222960397985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243</v>
      </c>
      <c r="DP124" s="17">
        <f>DO124*VLOOKUP('Données projet'!$B$14,Paramètres!$A$1:$I$89,3,0)*VLOOKUP('Données projet'!$B$14,Paramètres!$A$1:$I$89,5,0)</f>
        <v>212.28480000000002</v>
      </c>
      <c r="DQ124" s="13">
        <f t="shared" si="97"/>
        <v>52.434557099704193</v>
      </c>
      <c r="DR124" s="20">
        <f t="shared" si="70"/>
        <v>461.05288028198476</v>
      </c>
      <c r="DS124" s="59">
        <f t="shared" si="71"/>
        <v>754.38621361531807</v>
      </c>
      <c r="DT124" s="59">
        <f ca="1">AVERAGE(OFFSET($DS$3,0,0,'Données projet'!$E$14+1,1))-AVERAGE(OFFSET($H$3,0,0,'Données projet'!$E$14+1,1))</f>
        <v>354.24684313982857</v>
      </c>
      <c r="DU124" s="59">
        <f t="shared" si="98"/>
        <v>322.65043486962185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17.979909424743184</v>
      </c>
      <c r="EB124" s="21">
        <f>EXP(-LN(2)/25)*EB123+(1-EXP(-LN(2)/25))/(LN(2)/25)*Calculateur!DW124*Calculateur!DY124*VLOOKUP('Données projet'!$B$14,Paramètres!$A$1:$I$89,3,0)*0.475*44/12</f>
        <v>8.3184999442920873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26.298409369035269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-6.7984728957526396E-14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355.09162485318728</v>
      </c>
      <c r="T125" s="59">
        <f t="shared" si="88"/>
        <v>320.06572891923685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71.713042520622977</v>
      </c>
      <c r="AA125" s="21">
        <f>EXP(-LN(2)/25)*AA124+(1-EXP(-LN(2)/25))/(LN(2)/25)*Calculateur!V125*Calculateur!X125*VLOOKUP('Données projet'!$B$9,Paramètres!$A$1:$I$89,3,0)*0.475*44/12</f>
        <v>11.844567792673699</v>
      </c>
      <c r="AB125" s="21">
        <f>EXP(-LN(2)/2)*AB124+(1-EXP(-LN(2)/2))/(LN(2)/2)*V125*Y125*VLOOKUP('Données projet'!$B$9,Paramètres!$A$1:$I$89,3,0)*0.475*44/12</f>
        <v>5.5658979077863884E-6</v>
      </c>
      <c r="AC125" s="22">
        <f t="shared" si="57"/>
        <v>83.557615879194586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5.1159076974727213E-13</v>
      </c>
      <c r="AJ125" s="13">
        <f>AI125*VLOOKUP('Données projet'!$B$10,Paramètres!$A$1:$I$89,3,0)*VLOOKUP('Données projet'!$B$10,Paramètres!$A$1:$I$89,5,0)</f>
        <v>2.3942448024172334E-13</v>
      </c>
      <c r="AK125" s="13">
        <f t="shared" si="89"/>
        <v>3.2492669905861755E-12</v>
      </c>
      <c r="AL125" s="20">
        <f t="shared" si="58"/>
        <v>6.0761376450252565E-12</v>
      </c>
      <c r="AM125" s="59">
        <f t="shared" si="59"/>
        <v>293.3333333333394</v>
      </c>
      <c r="AN125" s="59">
        <f ca="1">AVERAGE(OFFSET($AM$3,0,0,'Données projet'!$E$10+1,1))-AVERAGE(OFFSET($H$3,0,0,'Données projet'!$E$10+1,1))</f>
        <v>246.72166704460847</v>
      </c>
      <c r="AO125" s="59">
        <f t="shared" si="90"/>
        <v>145.54897745089966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103.36362193635203</v>
      </c>
      <c r="AV125" s="21">
        <f>EXP(-LN(2)/25)*AV124+(1-EXP(-LN(2)/25))/(LN(2)/25)*Calculateur!AQ125*Calculateur!AS125*VLOOKUP('Données projet'!$B$10,Paramètres!$A$1:$I$89,3,0)*0.475*44/12</f>
        <v>23.185704040252904</v>
      </c>
      <c r="AW125" s="21">
        <f>EXP(-LN(2)/2)*AW124+(1-EXP(-LN(2)/2))/(LN(2)/2)*AQ125*AT125*VLOOKUP('Données projet'!$B$10,Paramètres!$A$1:$I$89,3,0)*0.475*44/12</f>
        <v>0.20272629136546921</v>
      </c>
      <c r="AX125" s="21">
        <f t="shared" si="60"/>
        <v>126.7520522679704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88.478637356802039</v>
      </c>
      <c r="BJ125" s="59">
        <f t="shared" si="92"/>
        <v>239.55411297259155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5.987232381269699</v>
      </c>
      <c r="BQ125" s="21">
        <f>EXP(-LN(2)/25)*BQ124+(1-EXP(-LN(2)/25))/(LN(2)/25)*Calculateur!BL125*Calculateur!BN125*VLOOKUP('Données projet'!$B$11,Paramètres!$A$1:$I$89,3,0)*0.475*44/12</f>
        <v>0.56962758071869057</v>
      </c>
      <c r="BR125" s="21">
        <f>EXP(-LN(2)/2)*BR124+(1-EXP(-LN(2)/2))/(LN(2)/2)*BL125*BO125*VLOOKUP('Données projet'!$B$11,Paramètres!$A$1:$I$89,3,0)*0.475*44/12</f>
        <v>6.1098831304247851E-15</v>
      </c>
      <c r="BS125" s="22">
        <f t="shared" si="63"/>
        <v>6.5568599619883958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5.9903846153846185</v>
      </c>
      <c r="BY125" s="12">
        <f>IF('Données projet'!$A$114&gt;35,BY124+BX125-CG124,IF(A125&lt;'Données projet'!$A$114,$BV$205^A125,IF(A125='Données projet'!$A$114,'Données projet'!$B$114,BY124+BX125-CG124)))</f>
        <v>281.75641025641056</v>
      </c>
      <c r="BZ125" s="13">
        <f>BY125*VLOOKUP('Données projet'!$B$12,Paramètres!$A$1:$I$89,3,0)*VLOOKUP('Données projet'!$B$12,Paramètres!$A$1:$I$89,5,0)</f>
        <v>254.93320000000028</v>
      </c>
      <c r="CA125" s="13">
        <f t="shared" si="93"/>
        <v>61.641107013667167</v>
      </c>
      <c r="CB125" s="20">
        <f t="shared" si="64"/>
        <v>551.36691804880411</v>
      </c>
      <c r="CC125" s="59">
        <f t="shared" si="65"/>
        <v>844.70025138213737</v>
      </c>
      <c r="CD125" s="59">
        <f ca="1">AVERAGE(OFFSET($CC$3,0,0,'Données projet'!$E$12+1,1))-AVERAGE(OFFSET($H$3,0,0,'Données projet'!$E$12+1,1))</f>
        <v>437.94387006020412</v>
      </c>
      <c r="CE125" s="59">
        <f t="shared" si="94"/>
        <v>213.95083535531376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34.003379763122915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34.003379763122915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5.4001247917767614E-13</v>
      </c>
      <c r="CU125" s="17">
        <f>CT125*VLOOKUP('Données projet'!$B$13,Paramètres!$A$1:$I$89,3,0)*VLOOKUP('Données projet'!$B$13,Paramètres!$A$1:$I$89,5,0)</f>
        <v>2.5974600248446226E-13</v>
      </c>
      <c r="CV125" s="13">
        <f t="shared" si="95"/>
        <v>3.4917846266292826E-12</v>
      </c>
      <c r="CW125" s="20">
        <f t="shared" si="67"/>
        <v>6.5339158457064384E-12</v>
      </c>
      <c r="CX125" s="59">
        <f t="shared" si="68"/>
        <v>293.33333333333985</v>
      </c>
      <c r="CY125" s="59">
        <f ca="1">AVERAGE(OFFSET($CX$3,0,0,'Données projet'!$E$13+1,1))-AVERAGE(OFFSET($H$3,0,0,'Données projet'!$E$13+1,1))</f>
        <v>258.42493116335032</v>
      </c>
      <c r="CZ125" s="59">
        <f t="shared" si="96"/>
        <v>102.46122697336466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128.3221429869856</v>
      </c>
      <c r="DG125" s="21">
        <f>EXP(-LN(2)/25)*DG124+(1-EXP(-LN(2)/25))/(LN(2)/25)*Calculateur!DB125*Calculateur!DD125*VLOOKUP('Données projet'!$B$13,Paramètres!$A$1:$I$89,3,0)*0.475*44/12</f>
        <v>29.050302007969016</v>
      </c>
      <c r="DH125" s="21">
        <f>EXP(-LN(2)/2)*DH124+(1-EXP(-LN(2)/2))/(LN(2)/2)*DB125*DE125*VLOOKUP('Données projet'!$B$13,Paramètres!$A$1:$I$89,3,0)*0.475*44/12</f>
        <v>6.2129372138151426</v>
      </c>
      <c r="DI125" s="22">
        <f t="shared" si="69"/>
        <v>163.58538220876974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243</v>
      </c>
      <c r="DP125" s="17">
        <f>DO125*VLOOKUP('Données projet'!$B$14,Paramètres!$A$1:$I$89,3,0)*VLOOKUP('Données projet'!$B$14,Paramètres!$A$1:$I$89,5,0)</f>
        <v>212.28480000000002</v>
      </c>
      <c r="DQ125" s="13">
        <f t="shared" si="97"/>
        <v>52.434557099704193</v>
      </c>
      <c r="DR125" s="20">
        <f t="shared" si="70"/>
        <v>461.05288028198476</v>
      </c>
      <c r="DS125" s="59">
        <f t="shared" si="71"/>
        <v>754.38621361531807</v>
      </c>
      <c r="DT125" s="59">
        <f ca="1">AVERAGE(OFFSET($DS$3,0,0,'Données projet'!$E$14+1,1))-AVERAGE(OFFSET($H$3,0,0,'Données projet'!$E$14+1,1))</f>
        <v>354.24684313982857</v>
      </c>
      <c r="DU125" s="59">
        <f t="shared" si="98"/>
        <v>322.65043486962185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17.627334367585853</v>
      </c>
      <c r="EB125" s="21">
        <f>EXP(-LN(2)/25)*EB124+(1-EXP(-LN(2)/25))/(LN(2)/25)*Calculateur!DW125*Calculateur!DY125*VLOOKUP('Données projet'!$B$14,Paramètres!$A$1:$I$89,3,0)*0.475*44/12</f>
        <v>8.0910301258645205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25.718364493450373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-6.7984728957526396E-14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355.09162485318728</v>
      </c>
      <c r="T126" s="59">
        <f t="shared" si="88"/>
        <v>320.06572891923685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70.306793497430476</v>
      </c>
      <c r="AA126" s="21">
        <f>EXP(-LN(2)/25)*AA125+(1-EXP(-LN(2)/25))/(LN(2)/25)*Calculateur!V126*Calculateur!X126*VLOOKUP('Données projet'!$B$9,Paramètres!$A$1:$I$89,3,0)*0.475*44/12</f>
        <v>11.520677463504287</v>
      </c>
      <c r="AB126" s="21">
        <f>EXP(-LN(2)/2)*AB125+(1-EXP(-LN(2)/2))/(LN(2)/2)*V126*Y126*VLOOKUP('Données projet'!$B$9,Paramètres!$A$1:$I$89,3,0)*0.475*44/12</f>
        <v>3.9356841539877724E-6</v>
      </c>
      <c r="AC126" s="22">
        <f t="shared" si="57"/>
        <v>81.827474896618909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5.1159076974727213E-13</v>
      </c>
      <c r="AJ126" s="13">
        <f>AI126*VLOOKUP('Données projet'!$B$10,Paramètres!$A$1:$I$89,3,0)*VLOOKUP('Données projet'!$B$10,Paramètres!$A$1:$I$89,5,0)</f>
        <v>2.3942448024172334E-13</v>
      </c>
      <c r="AK126" s="13">
        <f t="shared" si="89"/>
        <v>3.2492669905861755E-12</v>
      </c>
      <c r="AL126" s="20">
        <f t="shared" si="58"/>
        <v>6.0761376450252565E-12</v>
      </c>
      <c r="AM126" s="59">
        <f t="shared" si="59"/>
        <v>293.3333333333394</v>
      </c>
      <c r="AN126" s="59">
        <f ca="1">AVERAGE(OFFSET($AM$3,0,0,'Données projet'!$E$10+1,1))-AVERAGE(OFFSET($H$3,0,0,'Données projet'!$E$10+1,1))</f>
        <v>246.72166704460847</v>
      </c>
      <c r="AO126" s="59">
        <f t="shared" si="90"/>
        <v>145.54897745089966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101.33672435576432</v>
      </c>
      <c r="AV126" s="21">
        <f>EXP(-LN(2)/25)*AV125+(1-EXP(-LN(2)/25))/(LN(2)/25)*Calculateur!AQ126*Calculateur!AS126*VLOOKUP('Données projet'!$B$10,Paramètres!$A$1:$I$89,3,0)*0.475*44/12</f>
        <v>22.551689743989005</v>
      </c>
      <c r="AW126" s="21">
        <f>EXP(-LN(2)/2)*AW125+(1-EXP(-LN(2)/2))/(LN(2)/2)*AQ126*AT126*VLOOKUP('Données projet'!$B$10,Paramètres!$A$1:$I$89,3,0)*0.475*44/12</f>
        <v>0.14334913534932311</v>
      </c>
      <c r="AX126" s="21">
        <f t="shared" si="60"/>
        <v>124.03176323510264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88.478637356802039</v>
      </c>
      <c r="BJ126" s="59">
        <f t="shared" si="92"/>
        <v>239.55411297259155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5.8698264061241625</v>
      </c>
      <c r="BQ126" s="21">
        <f>EXP(-LN(2)/25)*BQ125+(1-EXP(-LN(2)/25))/(LN(2)/25)*Calculateur!BL126*Calculateur!BN126*VLOOKUP('Données projet'!$B$11,Paramètres!$A$1:$I$89,3,0)*0.475*44/12</f>
        <v>0.55405108456852536</v>
      </c>
      <c r="BR126" s="21">
        <f>EXP(-LN(2)/2)*BR125+(1-EXP(-LN(2)/2))/(LN(2)/2)*BL126*BO126*VLOOKUP('Données projet'!$B$11,Paramètres!$A$1:$I$89,3,0)*0.475*44/12</f>
        <v>4.3203397937806565E-15</v>
      </c>
      <c r="BS126" s="22">
        <f t="shared" si="63"/>
        <v>6.4238774906926919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5.9903846153846185</v>
      </c>
      <c r="BY126" s="12">
        <f>IF('Données projet'!$A$114&gt;35,BY125+BX126-CG125,IF(A126&lt;'Données projet'!$A$114,$BV$205^A126,IF(A126='Données projet'!$A$114,'Données projet'!$B$114,BY125+BX126-CG125)))</f>
        <v>287.7467948717952</v>
      </c>
      <c r="BZ126" s="13">
        <f>BY126*VLOOKUP('Données projet'!$B$12,Paramètres!$A$1:$I$89,3,0)*VLOOKUP('Données projet'!$B$12,Paramètres!$A$1:$I$89,5,0)</f>
        <v>260.35330000000027</v>
      </c>
      <c r="CA126" s="13">
        <f t="shared" si="93"/>
        <v>62.79768128617291</v>
      </c>
      <c r="CB126" s="20">
        <f t="shared" si="64"/>
        <v>562.82129240675158</v>
      </c>
      <c r="CC126" s="59">
        <f t="shared" si="65"/>
        <v>856.15462574008484</v>
      </c>
      <c r="CD126" s="59">
        <f ca="1">AVERAGE(OFFSET($CC$3,0,0,'Données projet'!$E$12+1,1))-AVERAGE(OFFSET($H$3,0,0,'Données projet'!$E$12+1,1))</f>
        <v>437.94387006020412</v>
      </c>
      <c r="CE126" s="59">
        <f t="shared" si="94"/>
        <v>213.95083535531376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33.336594225981827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33.336594225981827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5.4001247917767614E-13</v>
      </c>
      <c r="CU126" s="17">
        <f>CT126*VLOOKUP('Données projet'!$B$13,Paramètres!$A$1:$I$89,3,0)*VLOOKUP('Données projet'!$B$13,Paramètres!$A$1:$I$89,5,0)</f>
        <v>2.5974600248446226E-13</v>
      </c>
      <c r="CV126" s="13">
        <f t="shared" si="95"/>
        <v>3.4917846266292826E-12</v>
      </c>
      <c r="CW126" s="20">
        <f t="shared" si="67"/>
        <v>6.5339158457064384E-12</v>
      </c>
      <c r="CX126" s="59">
        <f t="shared" si="68"/>
        <v>293.33333333333985</v>
      </c>
      <c r="CY126" s="59">
        <f ca="1">AVERAGE(OFFSET($CX$3,0,0,'Données projet'!$E$13+1,1))-AVERAGE(OFFSET($H$3,0,0,'Données projet'!$E$13+1,1))</f>
        <v>258.42493116335032</v>
      </c>
      <c r="CZ126" s="59">
        <f t="shared" si="96"/>
        <v>102.46122697336466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125.80582403178963</v>
      </c>
      <c r="DG126" s="21">
        <f>EXP(-LN(2)/25)*DG125+(1-EXP(-LN(2)/25))/(LN(2)/25)*Calculateur!DB126*Calculateur!DD126*VLOOKUP('Données projet'!$B$13,Paramètres!$A$1:$I$89,3,0)*0.475*44/12</f>
        <v>28.255919971872117</v>
      </c>
      <c r="DH126" s="21">
        <f>EXP(-LN(2)/2)*DH125+(1-EXP(-LN(2)/2))/(LN(2)/2)*DB126*DE126*VLOOKUP('Données projet'!$B$13,Paramètres!$A$1:$I$89,3,0)*0.475*44/12</f>
        <v>4.3932100349749428</v>
      </c>
      <c r="DI126" s="22">
        <f t="shared" si="69"/>
        <v>158.45495403863669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243</v>
      </c>
      <c r="DP126" s="17">
        <f>DO126*VLOOKUP('Données projet'!$B$14,Paramètres!$A$1:$I$89,3,0)*VLOOKUP('Données projet'!$B$14,Paramètres!$A$1:$I$89,5,0)</f>
        <v>212.28480000000002</v>
      </c>
      <c r="DQ126" s="13">
        <f t="shared" si="97"/>
        <v>52.434557099704193</v>
      </c>
      <c r="DR126" s="20">
        <f t="shared" si="70"/>
        <v>461.05288028198476</v>
      </c>
      <c r="DS126" s="59">
        <f t="shared" si="71"/>
        <v>754.38621361531807</v>
      </c>
      <c r="DT126" s="59">
        <f ca="1">AVERAGE(OFFSET($DS$3,0,0,'Données projet'!$E$14+1,1))-AVERAGE(OFFSET($H$3,0,0,'Données projet'!$E$14+1,1))</f>
        <v>354.24684313982857</v>
      </c>
      <c r="DU126" s="59">
        <f t="shared" si="98"/>
        <v>322.65043486962185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17.281673092249825</v>
      </c>
      <c r="EB126" s="21">
        <f>EXP(-LN(2)/25)*EB125+(1-EXP(-LN(2)/25))/(LN(2)/25)*Calculateur!DW126*Calculateur!DY126*VLOOKUP('Données projet'!$B$14,Paramètres!$A$1:$I$89,3,0)*0.475*44/12</f>
        <v>7.8697804815839731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25.151453573833798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-6.7984728957526396E-14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355.09162485318728</v>
      </c>
      <c r="T127" s="59">
        <f t="shared" si="88"/>
        <v>320.06572891923685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68.928120159855567</v>
      </c>
      <c r="AA127" s="21">
        <f>EXP(-LN(2)/25)*AA126+(1-EXP(-LN(2)/25))/(LN(2)/25)*Calculateur!V127*Calculateur!X127*VLOOKUP('Données projet'!$B$9,Paramètres!$A$1:$I$89,3,0)*0.475*44/12</f>
        <v>11.205643932418665</v>
      </c>
      <c r="AB127" s="21">
        <f>EXP(-LN(2)/2)*AB126+(1-EXP(-LN(2)/2))/(LN(2)/2)*V127*Y127*VLOOKUP('Données projet'!$B$9,Paramètres!$A$1:$I$89,3,0)*0.475*44/12</f>
        <v>2.7829489538931942E-6</v>
      </c>
      <c r="AC127" s="22">
        <f t="shared" si="57"/>
        <v>80.133766875223188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5.1159076974727213E-13</v>
      </c>
      <c r="AJ127" s="13">
        <f>AI127*VLOOKUP('Données projet'!$B$10,Paramètres!$A$1:$I$89,3,0)*VLOOKUP('Données projet'!$B$10,Paramètres!$A$1:$I$89,5,0)</f>
        <v>2.3942448024172334E-13</v>
      </c>
      <c r="AK127" s="13">
        <f t="shared" si="89"/>
        <v>3.2492669905861755E-12</v>
      </c>
      <c r="AL127" s="20">
        <f t="shared" si="58"/>
        <v>6.0761376450252565E-12</v>
      </c>
      <c r="AM127" s="59">
        <f t="shared" si="59"/>
        <v>293.3333333333394</v>
      </c>
      <c r="AN127" s="59">
        <f ca="1">AVERAGE(OFFSET($AM$3,0,0,'Données projet'!$E$10+1,1))-AVERAGE(OFFSET($H$3,0,0,'Données projet'!$E$10+1,1))</f>
        <v>246.72166704460847</v>
      </c>
      <c r="AO127" s="59">
        <f t="shared" si="90"/>
        <v>145.54897745089966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99.349573000446469</v>
      </c>
      <c r="AV127" s="21">
        <f>EXP(-LN(2)/25)*AV126+(1-EXP(-LN(2)/25))/(LN(2)/25)*Calculateur!AQ127*Calculateur!AS127*VLOOKUP('Données projet'!$B$10,Paramètres!$A$1:$I$89,3,0)*0.475*44/12</f>
        <v>21.935012601997805</v>
      </c>
      <c r="AW127" s="21">
        <f>EXP(-LN(2)/2)*AW126+(1-EXP(-LN(2)/2))/(LN(2)/2)*AQ127*AT127*VLOOKUP('Données projet'!$B$10,Paramètres!$A$1:$I$89,3,0)*0.475*44/12</f>
        <v>0.10136314568273461</v>
      </c>
      <c r="AX127" s="21">
        <f t="shared" si="60"/>
        <v>121.38594874812702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88.478637356802039</v>
      </c>
      <c r="BJ127" s="59">
        <f t="shared" si="92"/>
        <v>239.55411297259155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5.7547226905406559</v>
      </c>
      <c r="BQ127" s="21">
        <f>EXP(-LN(2)/25)*BQ126+(1-EXP(-LN(2)/25))/(LN(2)/25)*Calculateur!BL127*Calculateur!BN127*VLOOKUP('Données projet'!$B$11,Paramètres!$A$1:$I$89,3,0)*0.475*44/12</f>
        <v>0.53890052852471881</v>
      </c>
      <c r="BR127" s="21">
        <f>EXP(-LN(2)/2)*BR126+(1-EXP(-LN(2)/2))/(LN(2)/2)*BL127*BO127*VLOOKUP('Données projet'!$B$11,Paramètres!$A$1:$I$89,3,0)*0.475*44/12</f>
        <v>3.0549415652123925E-15</v>
      </c>
      <c r="BS127" s="22">
        <f t="shared" si="63"/>
        <v>6.2936232190653776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5.9903846153846185</v>
      </c>
      <c r="BY127" s="12">
        <f>IF('Données projet'!$A$114&gt;35,BY126+BX127-CG126,IF(A127&lt;'Données projet'!$A$114,$BV$205^A127,IF(A127='Données projet'!$A$114,'Données projet'!$B$114,BY126+BX127-CG126)))</f>
        <v>293.73717948717984</v>
      </c>
      <c r="BZ127" s="13">
        <f>BY127*VLOOKUP('Données projet'!$B$12,Paramètres!$A$1:$I$89,3,0)*VLOOKUP('Données projet'!$B$12,Paramètres!$A$1:$I$89,5,0)</f>
        <v>265.77340000000032</v>
      </c>
      <c r="CA127" s="13">
        <f t="shared" si="93"/>
        <v>63.951456075988631</v>
      </c>
      <c r="CB127" s="20">
        <f t="shared" si="64"/>
        <v>574.27079099901403</v>
      </c>
      <c r="CC127" s="59">
        <f t="shared" si="65"/>
        <v>867.60412433234728</v>
      </c>
      <c r="CD127" s="59">
        <f ca="1">AVERAGE(OFFSET($CC$3,0,0,'Données projet'!$E$12+1,1))-AVERAGE(OFFSET($H$3,0,0,'Données projet'!$E$12+1,1))</f>
        <v>437.94387006020412</v>
      </c>
      <c r="CE127" s="59">
        <f t="shared" si="94"/>
        <v>213.95083535531376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32.682883946525052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32.682883946525052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5.4001247917767614E-13</v>
      </c>
      <c r="CU127" s="17">
        <f>CT127*VLOOKUP('Données projet'!$B$13,Paramètres!$A$1:$I$89,3,0)*VLOOKUP('Données projet'!$B$13,Paramètres!$A$1:$I$89,5,0)</f>
        <v>2.5974600248446226E-13</v>
      </c>
      <c r="CV127" s="13">
        <f t="shared" si="95"/>
        <v>3.4917846266292826E-12</v>
      </c>
      <c r="CW127" s="20">
        <f t="shared" si="67"/>
        <v>6.5339158457064384E-12</v>
      </c>
      <c r="CX127" s="59">
        <f t="shared" si="68"/>
        <v>293.33333333333985</v>
      </c>
      <c r="CY127" s="59">
        <f ca="1">AVERAGE(OFFSET($CX$3,0,0,'Données projet'!$E$13+1,1))-AVERAGE(OFFSET($H$3,0,0,'Données projet'!$E$13+1,1))</f>
        <v>258.42493116335032</v>
      </c>
      <c r="CZ127" s="59">
        <f t="shared" si="96"/>
        <v>102.46122697336466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123.33884855650204</v>
      </c>
      <c r="DG127" s="21">
        <f>EXP(-LN(2)/25)*DG126+(1-EXP(-LN(2)/25))/(LN(2)/25)*Calculateur!DB127*Calculateur!DD127*VLOOKUP('Données projet'!$B$13,Paramètres!$A$1:$I$89,3,0)*0.475*44/12</f>
        <v>27.483260354327022</v>
      </c>
      <c r="DH127" s="21">
        <f>EXP(-LN(2)/2)*DH126+(1-EXP(-LN(2)/2))/(LN(2)/2)*DB127*DE127*VLOOKUP('Données projet'!$B$13,Paramètres!$A$1:$I$89,3,0)*0.475*44/12</f>
        <v>3.1064686069075718</v>
      </c>
      <c r="DI127" s="22">
        <f t="shared" si="69"/>
        <v>153.92857751773664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243</v>
      </c>
      <c r="DP127" s="17">
        <f>DO127*VLOOKUP('Données projet'!$B$14,Paramètres!$A$1:$I$89,3,0)*VLOOKUP('Données projet'!$B$14,Paramètres!$A$1:$I$89,5,0)</f>
        <v>212.28480000000002</v>
      </c>
      <c r="DQ127" s="13">
        <f t="shared" si="97"/>
        <v>52.434557099704193</v>
      </c>
      <c r="DR127" s="20">
        <f t="shared" si="70"/>
        <v>461.05288028198476</v>
      </c>
      <c r="DS127" s="59">
        <f t="shared" si="71"/>
        <v>754.38621361531807</v>
      </c>
      <c r="DT127" s="59">
        <f ca="1">AVERAGE(OFFSET($DS$3,0,0,'Données projet'!$E$14+1,1))-AVERAGE(OFFSET($H$3,0,0,'Données projet'!$E$14+1,1))</f>
        <v>354.24684313982857</v>
      </c>
      <c r="DU127" s="59">
        <f t="shared" si="98"/>
        <v>322.65043486962185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16.942790023690577</v>
      </c>
      <c r="EB127" s="21">
        <f>EXP(-LN(2)/25)*EB126+(1-EXP(-LN(2)/25))/(LN(2)/25)*Calculateur!DW127*Calculateur!DY127*VLOOKUP('Données projet'!$B$14,Paramètres!$A$1:$I$89,3,0)*0.475*44/12</f>
        <v>7.6545809204612905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24.597370944151869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-6.7984728957526396E-14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355.09162485318728</v>
      </c>
      <c r="T128" s="59">
        <f t="shared" si="88"/>
        <v>320.06572891923685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67.5764817655228</v>
      </c>
      <c r="AA128" s="21">
        <f>EXP(-LN(2)/25)*AA127+(1-EXP(-LN(2)/25))/(LN(2)/25)*Calculateur!V128*Calculateur!X128*VLOOKUP('Données projet'!$B$9,Paramètres!$A$1:$I$89,3,0)*0.475*44/12</f>
        <v>10.899225009807473</v>
      </c>
      <c r="AB128" s="21">
        <f>EXP(-LN(2)/2)*AB127+(1-EXP(-LN(2)/2))/(LN(2)/2)*V128*Y128*VLOOKUP('Données projet'!$B$9,Paramètres!$A$1:$I$89,3,0)*0.475*44/12</f>
        <v>1.9678420769938862E-6</v>
      </c>
      <c r="AC128" s="22">
        <f t="shared" si="57"/>
        <v>78.475708743172362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5.1159076974727213E-13</v>
      </c>
      <c r="AJ128" s="13">
        <f>AI128*VLOOKUP('Données projet'!$B$10,Paramètres!$A$1:$I$89,3,0)*VLOOKUP('Données projet'!$B$10,Paramètres!$A$1:$I$89,5,0)</f>
        <v>2.3942448024172334E-13</v>
      </c>
      <c r="AK128" s="13">
        <f t="shared" si="89"/>
        <v>3.2492669905861755E-12</v>
      </c>
      <c r="AL128" s="20">
        <f t="shared" si="58"/>
        <v>6.0761376450252565E-12</v>
      </c>
      <c r="AM128" s="59">
        <f t="shared" si="59"/>
        <v>293.3333333333394</v>
      </c>
      <c r="AN128" s="59">
        <f ca="1">AVERAGE(OFFSET($AM$3,0,0,'Données projet'!$E$10+1,1))-AVERAGE(OFFSET($H$3,0,0,'Données projet'!$E$10+1,1))</f>
        <v>246.72166704460847</v>
      </c>
      <c r="AO128" s="59">
        <f t="shared" si="90"/>
        <v>145.54897745089966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97.401388471163756</v>
      </c>
      <c r="AV128" s="21">
        <f>EXP(-LN(2)/25)*AV127+(1-EXP(-LN(2)/25))/(LN(2)/25)*Calculateur!AQ128*Calculateur!AS128*VLOOKUP('Données projet'!$B$10,Paramètres!$A$1:$I$89,3,0)*0.475*44/12</f>
        <v>21.335198528883996</v>
      </c>
      <c r="AW128" s="21">
        <f>EXP(-LN(2)/2)*AW127+(1-EXP(-LN(2)/2))/(LN(2)/2)*AQ128*AT128*VLOOKUP('Données projet'!$B$10,Paramètres!$A$1:$I$89,3,0)*0.475*44/12</f>
        <v>7.1674567674661557E-2</v>
      </c>
      <c r="AX128" s="21">
        <f t="shared" si="60"/>
        <v>118.80826156772241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88.478637356802039</v>
      </c>
      <c r="BJ128" s="59">
        <f t="shared" si="92"/>
        <v>239.55411297259155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5.6418760886134081</v>
      </c>
      <c r="BQ128" s="21">
        <f>EXP(-LN(2)/25)*BQ127+(1-EXP(-LN(2)/25))/(LN(2)/25)*Calculateur!BL128*Calculateur!BN128*VLOOKUP('Données projet'!$B$11,Paramètres!$A$1:$I$89,3,0)*0.475*44/12</f>
        <v>0.52416426523266324</v>
      </c>
      <c r="BR128" s="21">
        <f>EXP(-LN(2)/2)*BR127+(1-EXP(-LN(2)/2))/(LN(2)/2)*BL128*BO128*VLOOKUP('Données projet'!$B$11,Paramètres!$A$1:$I$89,3,0)*0.475*44/12</f>
        <v>2.1601698968903282E-15</v>
      </c>
      <c r="BS128" s="22">
        <f t="shared" si="63"/>
        <v>6.1660403538460731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5.9903846153846185</v>
      </c>
      <c r="BY128" s="12">
        <f>IF('Données projet'!$A$114&gt;35,BY127+BX128-CG127,IF(A128&lt;'Données projet'!$A$114,$BV$205^A128,IF(A128='Données projet'!$A$114,'Données projet'!$B$114,BY127+BX128-CG127)))</f>
        <v>299.72756410256449</v>
      </c>
      <c r="BZ128" s="13">
        <f>BY128*VLOOKUP('Données projet'!$B$12,Paramètres!$A$1:$I$89,3,0)*VLOOKUP('Données projet'!$B$12,Paramètres!$A$1:$I$89,5,0)</f>
        <v>271.19350000000031</v>
      </c>
      <c r="CA128" s="13">
        <f t="shared" si="93"/>
        <v>65.102495053694511</v>
      </c>
      <c r="CB128" s="20">
        <f t="shared" si="64"/>
        <v>585.7155247185184</v>
      </c>
      <c r="CC128" s="59">
        <f t="shared" si="65"/>
        <v>879.04885805185177</v>
      </c>
      <c r="CD128" s="59">
        <f ca="1">AVERAGE(OFFSET($CC$3,0,0,'Données projet'!$E$12+1,1))-AVERAGE(OFFSET($H$3,0,0,'Données projet'!$E$12+1,1))</f>
        <v>437.94387006020412</v>
      </c>
      <c r="CE128" s="59">
        <f t="shared" si="94"/>
        <v>213.95083535531376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32.041992526924524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32.041992526924524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5.4001247917767614E-13</v>
      </c>
      <c r="CU128" s="17">
        <f>CT128*VLOOKUP('Données projet'!$B$13,Paramètres!$A$1:$I$89,3,0)*VLOOKUP('Données projet'!$B$13,Paramètres!$A$1:$I$89,5,0)</f>
        <v>2.5974600248446226E-13</v>
      </c>
      <c r="CV128" s="13">
        <f t="shared" si="95"/>
        <v>3.4917846266292826E-12</v>
      </c>
      <c r="CW128" s="20">
        <f t="shared" si="67"/>
        <v>6.5339158457064384E-12</v>
      </c>
      <c r="CX128" s="59">
        <f t="shared" si="68"/>
        <v>293.33333333333985</v>
      </c>
      <c r="CY128" s="59">
        <f ca="1">AVERAGE(OFFSET($CX$3,0,0,'Données projet'!$E$13+1,1))-AVERAGE(OFFSET($H$3,0,0,'Données projet'!$E$13+1,1))</f>
        <v>258.42493116335032</v>
      </c>
      <c r="CZ128" s="59">
        <f t="shared" si="96"/>
        <v>102.46122697336466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120.92024896557838</v>
      </c>
      <c r="DG128" s="21">
        <f>EXP(-LN(2)/25)*DG127+(1-EXP(-LN(2)/25))/(LN(2)/25)*Calculateur!DB128*Calculateur!DD128*VLOOKUP('Données projet'!$B$13,Paramètres!$A$1:$I$89,3,0)*0.475*44/12</f>
        <v>26.731729154656101</v>
      </c>
      <c r="DH128" s="21">
        <f>EXP(-LN(2)/2)*DH127+(1-EXP(-LN(2)/2))/(LN(2)/2)*DB128*DE128*VLOOKUP('Données projet'!$B$13,Paramètres!$A$1:$I$89,3,0)*0.475*44/12</f>
        <v>2.1966050174874714</v>
      </c>
      <c r="DI128" s="22">
        <f t="shared" si="69"/>
        <v>149.84858313772196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243</v>
      </c>
      <c r="DP128" s="17">
        <f>DO128*VLOOKUP('Données projet'!$B$14,Paramètres!$A$1:$I$89,3,0)*VLOOKUP('Données projet'!$B$14,Paramètres!$A$1:$I$89,5,0)</f>
        <v>212.28480000000002</v>
      </c>
      <c r="DQ128" s="13">
        <f t="shared" si="97"/>
        <v>52.434557099704193</v>
      </c>
      <c r="DR128" s="20">
        <f t="shared" si="70"/>
        <v>461.05288028198476</v>
      </c>
      <c r="DS128" s="59">
        <f t="shared" si="71"/>
        <v>754.38621361531807</v>
      </c>
      <c r="DT128" s="59">
        <f ca="1">AVERAGE(OFFSET($DS$3,0,0,'Données projet'!$E$14+1,1))-AVERAGE(OFFSET($H$3,0,0,'Données projet'!$E$14+1,1))</f>
        <v>354.24684313982857</v>
      </c>
      <c r="DU128" s="59">
        <f t="shared" si="98"/>
        <v>322.65043486962185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16.610552245407515</v>
      </c>
      <c r="EB128" s="21">
        <f>EXP(-LN(2)/25)*EB127+(1-EXP(-LN(2)/25))/(LN(2)/25)*Calculateur!DW128*Calculateur!DY128*VLOOKUP('Données projet'!$B$14,Paramètres!$A$1:$I$89,3,0)*0.475*44/12</f>
        <v>7.4452660026543604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24.055818248061875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-6.7984728957526396E-14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355.09162485318728</v>
      </c>
      <c r="T129" s="59">
        <f t="shared" si="88"/>
        <v>320.06572891923685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66.251348175684882</v>
      </c>
      <c r="AA129" s="21">
        <f>EXP(-LN(2)/25)*AA128+(1-EXP(-LN(2)/25))/(LN(2)/25)*Calculateur!V129*Calculateur!X129*VLOOKUP('Données projet'!$B$9,Paramètres!$A$1:$I$89,3,0)*0.475*44/12</f>
        <v>10.601185128748956</v>
      </c>
      <c r="AB129" s="21">
        <f>EXP(-LN(2)/2)*AB128+(1-EXP(-LN(2)/2))/(LN(2)/2)*V129*Y129*VLOOKUP('Données projet'!$B$9,Paramètres!$A$1:$I$89,3,0)*0.475*44/12</f>
        <v>1.3914744769465971E-6</v>
      </c>
      <c r="AC129" s="22">
        <f t="shared" si="57"/>
        <v>76.852534695908304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5.1159076974727213E-13</v>
      </c>
      <c r="AJ129" s="13">
        <f>AI129*VLOOKUP('Données projet'!$B$10,Paramètres!$A$1:$I$89,3,0)*VLOOKUP('Données projet'!$B$10,Paramètres!$A$1:$I$89,5,0)</f>
        <v>2.3942448024172334E-13</v>
      </c>
      <c r="AK129" s="13">
        <f t="shared" si="89"/>
        <v>3.2492669905861755E-12</v>
      </c>
      <c r="AL129" s="20">
        <f t="shared" si="58"/>
        <v>6.0761376450252565E-12</v>
      </c>
      <c r="AM129" s="59">
        <f t="shared" si="59"/>
        <v>293.3333333333394</v>
      </c>
      <c r="AN129" s="59">
        <f ca="1">AVERAGE(OFFSET($AM$3,0,0,'Données projet'!$E$10+1,1))-AVERAGE(OFFSET($H$3,0,0,'Données projet'!$E$10+1,1))</f>
        <v>246.72166704460847</v>
      </c>
      <c r="AO129" s="59">
        <f t="shared" si="90"/>
        <v>145.54897745089966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95.491406652225052</v>
      </c>
      <c r="AV129" s="21">
        <f>EXP(-LN(2)/25)*AV128+(1-EXP(-LN(2)/25))/(LN(2)/25)*Calculateur!AQ129*Calculateur!AS129*VLOOKUP('Données projet'!$B$10,Paramètres!$A$1:$I$89,3,0)*0.475*44/12</f>
        <v>20.751786403142336</v>
      </c>
      <c r="AW129" s="21">
        <f>EXP(-LN(2)/2)*AW128+(1-EXP(-LN(2)/2))/(LN(2)/2)*AQ129*AT129*VLOOKUP('Données projet'!$B$10,Paramètres!$A$1:$I$89,3,0)*0.475*44/12</f>
        <v>5.0681572841367303E-2</v>
      </c>
      <c r="AX129" s="21">
        <f t="shared" si="60"/>
        <v>116.29387462820875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88.478637356802039</v>
      </c>
      <c r="BJ129" s="59">
        <f t="shared" si="92"/>
        <v>239.55411297259155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5.5312423397203228</v>
      </c>
      <c r="BQ129" s="21">
        <f>EXP(-LN(2)/25)*BQ128+(1-EXP(-LN(2)/25))/(LN(2)/25)*Calculateur!BL129*Calculateur!BN129*VLOOKUP('Données projet'!$B$11,Paramètres!$A$1:$I$89,3,0)*0.475*44/12</f>
        <v>0.50983096583527532</v>
      </c>
      <c r="BR129" s="21">
        <f>EXP(-LN(2)/2)*BR128+(1-EXP(-LN(2)/2))/(LN(2)/2)*BL129*BO129*VLOOKUP('Données projet'!$B$11,Paramètres!$A$1:$I$89,3,0)*0.475*44/12</f>
        <v>1.5274707826061963E-15</v>
      </c>
      <c r="BS129" s="22">
        <f t="shared" si="63"/>
        <v>6.0410733055555994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5.9903846153846185</v>
      </c>
      <c r="BY129" s="12">
        <f>IF('Données projet'!$A$114&gt;35,BY128+BX129-CG128,IF(A129&lt;'Données projet'!$A$114,$BV$205^A129,IF(A129='Données projet'!$A$114,'Données projet'!$B$114,BY128+BX129-CG128)))</f>
        <v>305.71794871794913</v>
      </c>
      <c r="BZ129" s="13">
        <f>BY129*VLOOKUP('Données projet'!$B$12,Paramètres!$A$1:$I$89,3,0)*VLOOKUP('Données projet'!$B$12,Paramètres!$A$1:$I$89,5,0)</f>
        <v>276.61360000000036</v>
      </c>
      <c r="CA129" s="13">
        <f t="shared" si="93"/>
        <v>66.2508591992883</v>
      </c>
      <c r="CB129" s="20">
        <f t="shared" si="64"/>
        <v>597.15559977209432</v>
      </c>
      <c r="CC129" s="59">
        <f t="shared" si="65"/>
        <v>890.48893310542758</v>
      </c>
      <c r="CD129" s="59">
        <f ca="1">AVERAGE(OFFSET($CC$3,0,0,'Données projet'!$E$12+1,1))-AVERAGE(OFFSET($H$3,0,0,'Données projet'!$E$12+1,1))</f>
        <v>437.94387006020412</v>
      </c>
      <c r="CE129" s="59">
        <f t="shared" si="94"/>
        <v>213.95083535531376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31.413668597157198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31.413668597157198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5.4001247917767614E-13</v>
      </c>
      <c r="CU129" s="17">
        <f>CT129*VLOOKUP('Données projet'!$B$13,Paramètres!$A$1:$I$89,3,0)*VLOOKUP('Données projet'!$B$13,Paramètres!$A$1:$I$89,5,0)</f>
        <v>2.5974600248446226E-13</v>
      </c>
      <c r="CV129" s="13">
        <f t="shared" si="95"/>
        <v>3.4917846266292826E-12</v>
      </c>
      <c r="CW129" s="20">
        <f t="shared" si="67"/>
        <v>6.5339158457064384E-12</v>
      </c>
      <c r="CX129" s="59">
        <f t="shared" si="68"/>
        <v>293.33333333333985</v>
      </c>
      <c r="CY129" s="59">
        <f ca="1">AVERAGE(OFFSET($CX$3,0,0,'Données projet'!$E$13+1,1))-AVERAGE(OFFSET($H$3,0,0,'Données projet'!$E$13+1,1))</f>
        <v>258.42493116335032</v>
      </c>
      <c r="CZ129" s="59">
        <f t="shared" si="96"/>
        <v>102.46122697336466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118.54907663743265</v>
      </c>
      <c r="DG129" s="21">
        <f>EXP(-LN(2)/25)*DG128+(1-EXP(-LN(2)/25))/(LN(2)/25)*Calculateur!DB129*Calculateur!DD129*VLOOKUP('Données projet'!$B$13,Paramètres!$A$1:$I$89,3,0)*0.475*44/12</f>
        <v>26.000748615161491</v>
      </c>
      <c r="DH129" s="21">
        <f>EXP(-LN(2)/2)*DH128+(1-EXP(-LN(2)/2))/(LN(2)/2)*DB129*DE129*VLOOKUP('Données projet'!$B$13,Paramètres!$A$1:$I$89,3,0)*0.475*44/12</f>
        <v>1.5532343034537859</v>
      </c>
      <c r="DI129" s="22">
        <f t="shared" si="69"/>
        <v>146.10305955604792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243</v>
      </c>
      <c r="DP129" s="17">
        <f>DO129*VLOOKUP('Données projet'!$B$14,Paramètres!$A$1:$I$89,3,0)*VLOOKUP('Données projet'!$B$14,Paramètres!$A$1:$I$89,5,0)</f>
        <v>212.28480000000002</v>
      </c>
      <c r="DQ129" s="13">
        <f t="shared" si="97"/>
        <v>52.434557099704193</v>
      </c>
      <c r="DR129" s="20">
        <f t="shared" si="70"/>
        <v>461.05288028198476</v>
      </c>
      <c r="DS129" s="59">
        <f t="shared" si="71"/>
        <v>754.38621361531807</v>
      </c>
      <c r="DT129" s="59">
        <f ca="1">AVERAGE(OFFSET($DS$3,0,0,'Données projet'!$E$14+1,1))-AVERAGE(OFFSET($H$3,0,0,'Données projet'!$E$14+1,1))</f>
        <v>354.24684313982857</v>
      </c>
      <c r="DU129" s="59">
        <f t="shared" si="98"/>
        <v>322.65043486962185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16.284829447311548</v>
      </c>
      <c r="EB129" s="21">
        <f>EXP(-LN(2)/25)*EB128+(1-EXP(-LN(2)/25))/(LN(2)/25)*Calculateur!DW129*Calculateur!DY129*VLOOKUP('Données projet'!$B$14,Paramètres!$A$1:$I$89,3,0)*0.475*44/12</f>
        <v>7.2416748122822545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23.526504259593803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-6.7984728957526396E-14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355.09162485318728</v>
      </c>
      <c r="T130" s="59">
        <f t="shared" si="88"/>
        <v>320.06572891923685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64.952199647292005</v>
      </c>
      <c r="AA130" s="21">
        <f>EXP(-LN(2)/25)*AA129+(1-EXP(-LN(2)/25))/(LN(2)/25)*Calculateur!V130*Calculateur!X130*VLOOKUP('Données projet'!$B$9,Paramètres!$A$1:$I$89,3,0)*0.475*44/12</f>
        <v>10.311295163911218</v>
      </c>
      <c r="AB130" s="21">
        <f>EXP(-LN(2)/2)*AB129+(1-EXP(-LN(2)/2))/(LN(2)/2)*V130*Y130*VLOOKUP('Données projet'!$B$9,Paramètres!$A$1:$I$89,3,0)*0.475*44/12</f>
        <v>9.839210384969431E-7</v>
      </c>
      <c r="AC130" s="22">
        <f t="shared" si="57"/>
        <v>75.263495795124271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5.1159076974727213E-13</v>
      </c>
      <c r="AJ130" s="13">
        <f>AI130*VLOOKUP('Données projet'!$B$10,Paramètres!$A$1:$I$89,3,0)*VLOOKUP('Données projet'!$B$10,Paramètres!$A$1:$I$89,5,0)</f>
        <v>2.3942448024172334E-13</v>
      </c>
      <c r="AK130" s="13">
        <f t="shared" si="89"/>
        <v>3.2492669905861755E-12</v>
      </c>
      <c r="AL130" s="20">
        <f t="shared" si="58"/>
        <v>6.0761376450252565E-12</v>
      </c>
      <c r="AM130" s="59">
        <f t="shared" si="59"/>
        <v>293.3333333333394</v>
      </c>
      <c r="AN130" s="59">
        <f ca="1">AVERAGE(OFFSET($AM$3,0,0,'Données projet'!$E$10+1,1))-AVERAGE(OFFSET($H$3,0,0,'Données projet'!$E$10+1,1))</f>
        <v>246.72166704460847</v>
      </c>
      <c r="AO130" s="59">
        <f t="shared" si="90"/>
        <v>145.54897745089966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93.618878411781864</v>
      </c>
      <c r="AV130" s="21">
        <f>EXP(-LN(2)/25)*AV129+(1-EXP(-LN(2)/25))/(LN(2)/25)*Calculateur!AQ130*Calculateur!AS130*VLOOKUP('Données projet'!$B$10,Paramètres!$A$1:$I$89,3,0)*0.475*44/12</f>
        <v>20.184327712659393</v>
      </c>
      <c r="AW130" s="21">
        <f>EXP(-LN(2)/2)*AW129+(1-EXP(-LN(2)/2))/(LN(2)/2)*AQ130*AT130*VLOOKUP('Données projet'!$B$10,Paramètres!$A$1:$I$89,3,0)*0.475*44/12</f>
        <v>3.5837283837330779E-2</v>
      </c>
      <c r="AX130" s="21">
        <f t="shared" si="60"/>
        <v>113.83904340827858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88.478637356802039</v>
      </c>
      <c r="BJ130" s="59">
        <f t="shared" si="92"/>
        <v>239.55411297259155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5.4227780511631067</v>
      </c>
      <c r="BQ130" s="21">
        <f>EXP(-LN(2)/25)*BQ129+(1-EXP(-LN(2)/25))/(LN(2)/25)*Calculateur!BL130*Calculateur!BN130*VLOOKUP('Données projet'!$B$11,Paramètres!$A$1:$I$89,3,0)*0.475*44/12</f>
        <v>0.49588961126366443</v>
      </c>
      <c r="BR130" s="21">
        <f>EXP(-LN(2)/2)*BR129+(1-EXP(-LN(2)/2))/(LN(2)/2)*BL130*BO130*VLOOKUP('Données projet'!$B$11,Paramètres!$A$1:$I$89,3,0)*0.475*44/12</f>
        <v>1.0800849484451641E-15</v>
      </c>
      <c r="BS130" s="22">
        <f t="shared" si="63"/>
        <v>5.9186676624267722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5.9903846153846185</v>
      </c>
      <c r="BY130" s="12">
        <f>IF('Données projet'!$A$114&gt;35,BY129+BX130-CG129,IF(A130&lt;'Données projet'!$A$114,$BV$205^A130,IF(A130='Données projet'!$A$114,'Données projet'!$B$114,BY129+BX130-CG129)))</f>
        <v>311.70833333333377</v>
      </c>
      <c r="BZ130" s="13">
        <f>BY130*VLOOKUP('Données projet'!$B$12,Paramètres!$A$1:$I$89,3,0)*VLOOKUP('Données projet'!$B$12,Paramètres!$A$1:$I$89,5,0)</f>
        <v>282.03370000000041</v>
      </c>
      <c r="CA130" s="13">
        <f t="shared" si="93"/>
        <v>67.39660696633932</v>
      </c>
      <c r="CB130" s="20">
        <f t="shared" si="64"/>
        <v>608.59111796637501</v>
      </c>
      <c r="CC130" s="59">
        <f t="shared" si="65"/>
        <v>901.92445129970838</v>
      </c>
      <c r="CD130" s="59">
        <f ca="1">AVERAGE(OFFSET($CC$3,0,0,'Données projet'!$E$12+1,1))-AVERAGE(OFFSET($H$3,0,0,'Données projet'!$E$12+1,1))</f>
        <v>437.94387006020412</v>
      </c>
      <c r="CE130" s="59">
        <f t="shared" si="94"/>
        <v>213.95083535531376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30.797665716412851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30.797665716412851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5.4001247917767614E-13</v>
      </c>
      <c r="CU130" s="17">
        <f>CT130*VLOOKUP('Données projet'!$B$13,Paramètres!$A$1:$I$89,3,0)*VLOOKUP('Données projet'!$B$13,Paramètres!$A$1:$I$89,5,0)</f>
        <v>2.5974600248446226E-13</v>
      </c>
      <c r="CV130" s="13">
        <f t="shared" si="95"/>
        <v>3.4917846266292826E-12</v>
      </c>
      <c r="CW130" s="20">
        <f t="shared" si="67"/>
        <v>6.5339158457064384E-12</v>
      </c>
      <c r="CX130" s="59">
        <f t="shared" si="68"/>
        <v>293.33333333333985</v>
      </c>
      <c r="CY130" s="59">
        <f ca="1">AVERAGE(OFFSET($CX$3,0,0,'Données projet'!$E$13+1,1))-AVERAGE(OFFSET($H$3,0,0,'Données projet'!$E$13+1,1))</f>
        <v>258.42493116335032</v>
      </c>
      <c r="CZ130" s="59">
        <f t="shared" si="96"/>
        <v>102.46122697336466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116.22440155236954</v>
      </c>
      <c r="DG130" s="21">
        <f>EXP(-LN(2)/25)*DG129+(1-EXP(-LN(2)/25))/(LN(2)/25)*Calculateur!DB130*Calculateur!DD130*VLOOKUP('Données projet'!$B$13,Paramètres!$A$1:$I$89,3,0)*0.475*44/12</f>
        <v>25.289756776959955</v>
      </c>
      <c r="DH130" s="21">
        <f>EXP(-LN(2)/2)*DH129+(1-EXP(-LN(2)/2))/(LN(2)/2)*DB130*DE130*VLOOKUP('Données projet'!$B$13,Paramètres!$A$1:$I$89,3,0)*0.475*44/12</f>
        <v>1.0983025087437357</v>
      </c>
      <c r="DI130" s="22">
        <f t="shared" si="69"/>
        <v>142.61246083807322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243</v>
      </c>
      <c r="DP130" s="17">
        <f>DO130*VLOOKUP('Données projet'!$B$14,Paramètres!$A$1:$I$89,3,0)*VLOOKUP('Données projet'!$B$14,Paramètres!$A$1:$I$89,5,0)</f>
        <v>212.28480000000002</v>
      </c>
      <c r="DQ130" s="13">
        <f t="shared" si="97"/>
        <v>52.434557099704193</v>
      </c>
      <c r="DR130" s="20">
        <f t="shared" si="70"/>
        <v>461.05288028198476</v>
      </c>
      <c r="DS130" s="59">
        <f t="shared" si="71"/>
        <v>754.38621361531807</v>
      </c>
      <c r="DT130" s="59">
        <f ca="1">AVERAGE(OFFSET($DS$3,0,0,'Données projet'!$E$14+1,1))-AVERAGE(OFFSET($H$3,0,0,'Données projet'!$E$14+1,1))</f>
        <v>354.24684313982857</v>
      </c>
      <c r="DU130" s="59">
        <f t="shared" si="98"/>
        <v>322.65043486962185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15.965493874614952</v>
      </c>
      <c r="EB130" s="21">
        <f>EXP(-LN(2)/25)*EB129+(1-EXP(-LN(2)/25))/(LN(2)/25)*Calculateur!DW130*Calculateur!DY130*VLOOKUP('Données projet'!$B$14,Paramètres!$A$1:$I$89,3,0)*0.475*44/12</f>
        <v>7.043650833717269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23.009144708332222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-6.7984728957526396E-14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355.09162485318728</v>
      </c>
      <c r="T131" s="59">
        <f t="shared" si="88"/>
        <v>320.06572891923685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63.678526629138545</v>
      </c>
      <c r="AA131" s="21">
        <f>EXP(-LN(2)/25)*AA130+(1-EXP(-LN(2)/25))/(LN(2)/25)*Calculateur!V131*Calculateur!X131*VLOOKUP('Données projet'!$B$9,Paramètres!$A$1:$I$89,3,0)*0.475*44/12</f>
        <v>10.02933225540662</v>
      </c>
      <c r="AB131" s="21">
        <f>EXP(-LN(2)/2)*AB130+(1-EXP(-LN(2)/2))/(LN(2)/2)*V131*Y131*VLOOKUP('Données projet'!$B$9,Paramètres!$A$1:$I$89,3,0)*0.475*44/12</f>
        <v>6.9573723847329855E-7</v>
      </c>
      <c r="AC131" s="22">
        <f t="shared" si="57"/>
        <v>73.707859580282403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5.1159076974727213E-13</v>
      </c>
      <c r="AJ131" s="13">
        <f>AI131*VLOOKUP('Données projet'!$B$10,Paramètres!$A$1:$I$89,3,0)*VLOOKUP('Données projet'!$B$10,Paramètres!$A$1:$I$89,5,0)</f>
        <v>2.3942448024172334E-13</v>
      </c>
      <c r="AK131" s="13">
        <f t="shared" si="89"/>
        <v>3.2492669905861755E-12</v>
      </c>
      <c r="AL131" s="20">
        <f t="shared" si="58"/>
        <v>6.0761376450252565E-12</v>
      </c>
      <c r="AM131" s="59">
        <f t="shared" si="59"/>
        <v>293.3333333333394</v>
      </c>
      <c r="AN131" s="59">
        <f ca="1">AVERAGE(OFFSET($AM$3,0,0,'Données projet'!$E$10+1,1))-AVERAGE(OFFSET($H$3,0,0,'Données projet'!$E$10+1,1))</f>
        <v>246.72166704460847</v>
      </c>
      <c r="AO131" s="59">
        <f t="shared" si="90"/>
        <v>145.54897745089966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91.783069308004315</v>
      </c>
      <c r="AV131" s="21">
        <f>EXP(-LN(2)/25)*AV130+(1-EXP(-LN(2)/25))/(LN(2)/25)*Calculateur!AQ131*Calculateur!AS131*VLOOKUP('Données projet'!$B$10,Paramètres!$A$1:$I$89,3,0)*0.475*44/12</f>
        <v>19.632386209909058</v>
      </c>
      <c r="AW131" s="21">
        <f>EXP(-LN(2)/2)*AW130+(1-EXP(-LN(2)/2))/(LN(2)/2)*AQ131*AT131*VLOOKUP('Données projet'!$B$10,Paramètres!$A$1:$I$89,3,0)*0.475*44/12</f>
        <v>2.5340786420683652E-2</v>
      </c>
      <c r="AX131" s="21">
        <f t="shared" si="60"/>
        <v>111.44079630433406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88.478637356802039</v>
      </c>
      <c r="BJ131" s="59">
        <f t="shared" si="92"/>
        <v>239.55411297259155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5.3164406811478147</v>
      </c>
      <c r="BQ131" s="21">
        <f>EXP(-LN(2)/25)*BQ130+(1-EXP(-LN(2)/25))/(LN(2)/25)*Calculateur!BL131*Calculateur!BN131*VLOOKUP('Données projet'!$B$11,Paramètres!$A$1:$I$89,3,0)*0.475*44/12</f>
        <v>0.48232948376595824</v>
      </c>
      <c r="BR131" s="21">
        <f>EXP(-LN(2)/2)*BR130+(1-EXP(-LN(2)/2))/(LN(2)/2)*BL131*BO131*VLOOKUP('Données projet'!$B$11,Paramètres!$A$1:$I$89,3,0)*0.475*44/12</f>
        <v>7.6373539130309813E-16</v>
      </c>
      <c r="BS131" s="22">
        <f t="shared" si="63"/>
        <v>5.7987701649137735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>
        <f>VLOOKUP(A131,'Données projet'!$A$113:$I$133,2,0)</f>
        <v>317.69871794871796</v>
      </c>
      <c r="BW131" s="12">
        <f>VLOOKUP(A131,'Données projet'!$A$113:$I$133,9,0)</f>
        <v>5.9903846153846185</v>
      </c>
      <c r="BX131" s="12">
        <f t="array" ref="BX131">INDEX(BW:BW,MIN(IF(ISNUMBER(BW131:BW327),ROW(BW131:BW327),"")))</f>
        <v>5.9903846153846185</v>
      </c>
      <c r="BY131" s="12">
        <f>IF('Données projet'!$A$114&gt;35,BY130+BX131-CG130,IF(A131&lt;'Données projet'!$A$114,$BV$205^A131,IF(A131='Données projet'!$A$114,'Données projet'!$B$114,BY130+BX131-CG130)))</f>
        <v>317.69871794871841</v>
      </c>
      <c r="BZ131" s="13">
        <f>BY131*VLOOKUP('Données projet'!$B$12,Paramètres!$A$1:$I$89,3,0)*VLOOKUP('Données projet'!$B$12,Paramètres!$A$1:$I$89,5,0)</f>
        <v>287.4538000000004</v>
      </c>
      <c r="CA131" s="13">
        <f t="shared" si="93"/>
        <v>68.539794433165227</v>
      </c>
      <c r="CB131" s="20">
        <f t="shared" si="64"/>
        <v>620.02217697109677</v>
      </c>
      <c r="CC131" s="59">
        <f t="shared" si="65"/>
        <v>913.35551030443003</v>
      </c>
      <c r="CD131" s="59">
        <f ca="1">AVERAGE(OFFSET($CC$3,0,0,'Données projet'!$E$12+1,1))-AVERAGE(OFFSET($H$3,0,0,'Données projet'!$E$12+1,1))</f>
        <v>437.94387006020412</v>
      </c>
      <c r="CE131" s="59">
        <f t="shared" si="94"/>
        <v>213.95083535531376</v>
      </c>
      <c r="CF131" s="15">
        <f>IF(ISNA(VLOOKUP(A131,'Données projet'!$A$113:$I$133,3,0)),0,VLOOKUP(A131,'Données projet'!$A$113:$I$133,3,0))</f>
        <v>11</v>
      </c>
      <c r="CG131" s="15">
        <f>IF(ISNA(VLOOKUP(A131,'Données projet'!$A$113:$I$133,4,0)),0,VLOOKUP(A131,'Données projet'!$A$113:$I$133,4,0))</f>
        <v>41.243589743589745</v>
      </c>
      <c r="CH131" s="16">
        <f>IF(ISNA(VLOOKUP(A131,'Données projet'!$A$113:$I$133,5,0)),0%,VLOOKUP(A131,'Données projet'!$A$113:$I$133,5,0)*VLOOKUP('Données projet'!$B$12,Paramètres!$A$1:$I$89,7,0))</f>
        <v>0.30099999999999999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42.610913109814454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42.610913109814454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5.4001247917767614E-13</v>
      </c>
      <c r="CU131" s="17">
        <f>CT131*VLOOKUP('Données projet'!$B$13,Paramètres!$A$1:$I$89,3,0)*VLOOKUP('Données projet'!$B$13,Paramètres!$A$1:$I$89,5,0)</f>
        <v>2.5974600248446226E-13</v>
      </c>
      <c r="CV131" s="13">
        <f t="shared" si="95"/>
        <v>3.4917846266292826E-12</v>
      </c>
      <c r="CW131" s="20">
        <f t="shared" si="67"/>
        <v>6.5339158457064384E-12</v>
      </c>
      <c r="CX131" s="59">
        <f t="shared" si="68"/>
        <v>293.33333333333985</v>
      </c>
      <c r="CY131" s="59">
        <f ca="1">AVERAGE(OFFSET($CX$3,0,0,'Données projet'!$E$13+1,1))-AVERAGE(OFFSET($H$3,0,0,'Données projet'!$E$13+1,1))</f>
        <v>258.42493116335032</v>
      </c>
      <c r="CZ131" s="59">
        <f t="shared" si="96"/>
        <v>102.46122697336466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113.94531192781272</v>
      </c>
      <c r="DG131" s="21">
        <f>EXP(-LN(2)/25)*DG130+(1-EXP(-LN(2)/25))/(LN(2)/25)*Calculateur!DB131*Calculateur!DD131*VLOOKUP('Données projet'!$B$13,Paramètres!$A$1:$I$89,3,0)*0.475*44/12</f>
        <v>24.598207047963477</v>
      </c>
      <c r="DH131" s="21">
        <f>EXP(-LN(2)/2)*DH130+(1-EXP(-LN(2)/2))/(LN(2)/2)*DB131*DE131*VLOOKUP('Données projet'!$B$13,Paramètres!$A$1:$I$89,3,0)*0.475*44/12</f>
        <v>0.77661715172689294</v>
      </c>
      <c r="DI131" s="22">
        <f t="shared" si="69"/>
        <v>139.3201361275031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243</v>
      </c>
      <c r="DP131" s="17">
        <f>DO131*VLOOKUP('Données projet'!$B$14,Paramètres!$A$1:$I$89,3,0)*VLOOKUP('Données projet'!$B$14,Paramètres!$A$1:$I$89,5,0)</f>
        <v>212.28480000000002</v>
      </c>
      <c r="DQ131" s="13">
        <f t="shared" si="97"/>
        <v>52.434557099704193</v>
      </c>
      <c r="DR131" s="20">
        <f t="shared" si="70"/>
        <v>461.05288028198476</v>
      </c>
      <c r="DS131" s="59">
        <f t="shared" si="71"/>
        <v>754.38621361531807</v>
      </c>
      <c r="DT131" s="59">
        <f ca="1">AVERAGE(OFFSET($DS$3,0,0,'Données projet'!$E$14+1,1))-AVERAGE(OFFSET($H$3,0,0,'Données projet'!$E$14+1,1))</f>
        <v>354.24684313982857</v>
      </c>
      <c r="DU131" s="59">
        <f t="shared" si="98"/>
        <v>322.65043486962185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15.652420277723468</v>
      </c>
      <c r="EB131" s="21">
        <f>EXP(-LN(2)/25)*EB130+(1-EXP(-LN(2)/25))/(LN(2)/25)*Calculateur!DW131*Calculateur!DY131*VLOOKUP('Données projet'!$B$14,Paramètres!$A$1:$I$89,3,0)*0.475*44/12</f>
        <v>6.8510418312597716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22.503462108983239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-6.7984728957526396E-14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355.09162485318728</v>
      </c>
      <c r="T132" s="59">
        <f t="shared" si="88"/>
        <v>320.06572891923685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62.429829562007242</v>
      </c>
      <c r="AA132" s="21">
        <f>EXP(-LN(2)/25)*AA131+(1-EXP(-LN(2)/25))/(LN(2)/25)*Calculateur!V132*Calculateur!X132*VLOOKUP('Données projet'!$B$9,Paramètres!$A$1:$I$89,3,0)*0.475*44/12</f>
        <v>9.755079637462865</v>
      </c>
      <c r="AB132" s="21">
        <f>EXP(-LN(2)/2)*AB131+(1-EXP(-LN(2)/2))/(LN(2)/2)*V132*Y132*VLOOKUP('Données projet'!$B$9,Paramètres!$A$1:$I$89,3,0)*0.475*44/12</f>
        <v>4.9196051924847155E-7</v>
      </c>
      <c r="AC132" s="22">
        <f t="shared" ref="AC132:AC153" si="111">SUM(Z132:AB132)</f>
        <v>72.184909691430633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5.1159076974727213E-13</v>
      </c>
      <c r="AJ132" s="13">
        <f>AI132*VLOOKUP('Données projet'!$B$10,Paramètres!$A$1:$I$89,3,0)*VLOOKUP('Données projet'!$B$10,Paramètres!$A$1:$I$89,5,0)</f>
        <v>2.3942448024172334E-13</v>
      </c>
      <c r="AK132" s="13">
        <f t="shared" si="89"/>
        <v>3.2492669905861755E-12</v>
      </c>
      <c r="AL132" s="20">
        <f t="shared" ref="AL132:AL153" si="112">(AJ132+AK132)*0.475*44/12</f>
        <v>6.0761376450252565E-12</v>
      </c>
      <c r="AM132" s="59">
        <f t="shared" ref="AM132:AM195" si="113">AL132+(AD132+AE132)*44/12</f>
        <v>293.3333333333394</v>
      </c>
      <c r="AN132" s="59">
        <f ca="1">AVERAGE(OFFSET($AM$3,0,0,'Données projet'!$E$10+1,1))-AVERAGE(OFFSET($H$3,0,0,'Données projet'!$E$10+1,1))</f>
        <v>246.72166704460847</v>
      </c>
      <c r="AO132" s="59">
        <f t="shared" si="90"/>
        <v>145.54897745089966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89.983259301018848</v>
      </c>
      <c r="AV132" s="21">
        <f>EXP(-LN(2)/25)*AV131+(1-EXP(-LN(2)/25))/(LN(2)/25)*Calculateur!AQ132*Calculateur!AS132*VLOOKUP('Données projet'!$B$10,Paramètres!$A$1:$I$89,3,0)*0.475*44/12</f>
        <v>19.095537576576774</v>
      </c>
      <c r="AW132" s="21">
        <f>EXP(-LN(2)/2)*AW131+(1-EXP(-LN(2)/2))/(LN(2)/2)*AQ132*AT132*VLOOKUP('Données projet'!$B$10,Paramètres!$A$1:$I$89,3,0)*0.475*44/12</f>
        <v>1.7918641918665389E-2</v>
      </c>
      <c r="AX132" s="21">
        <f t="shared" ref="AX132:AX153" si="114">SUM(AU132:AW132)</f>
        <v>109.09671551951429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88.478637356802039</v>
      </c>
      <c r="BJ132" s="59">
        <f t="shared" si="92"/>
        <v>239.55411297259155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5.2121885220991304</v>
      </c>
      <c r="BQ132" s="21">
        <f>EXP(-LN(2)/25)*BQ131+(1-EXP(-LN(2)/25))/(LN(2)/25)*Calculateur!BL132*Calculateur!BN132*VLOOKUP('Données projet'!$B$11,Paramètres!$A$1:$I$89,3,0)*0.475*44/12</f>
        <v>0.46914015866777292</v>
      </c>
      <c r="BR132" s="21">
        <f>EXP(-LN(2)/2)*BR131+(1-EXP(-LN(2)/2))/(LN(2)/2)*BL132*BO132*VLOOKUP('Données projet'!$B$11,Paramètres!$A$1:$I$89,3,0)*0.475*44/12</f>
        <v>5.4004247422258206E-16</v>
      </c>
      <c r="BS132" s="22">
        <f t="shared" ref="BS132:BS153" si="117">SUM(BP132:BR132)</f>
        <v>5.6813286807669039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6.0499999999999945</v>
      </c>
      <c r="BY132" s="12">
        <f>IF('Données projet'!$A$114&gt;35,BY131+BX132-CG131,IF(A132&lt;'Données projet'!$A$114,$BV$205^A132,IF(A132='Données projet'!$A$114,'Données projet'!$B$114,BY131+BX132-CG131)))</f>
        <v>282.5051282051287</v>
      </c>
      <c r="BZ132" s="13">
        <f>BY132*VLOOKUP('Données projet'!$B$12,Paramètres!$A$1:$I$89,3,0)*VLOOKUP('Données projet'!$B$12,Paramètres!$A$1:$I$89,5,0)</f>
        <v>255.61064000000042</v>
      </c>
      <c r="CA132" s="13">
        <f t="shared" si="93"/>
        <v>61.78581865539509</v>
      </c>
      <c r="CB132" s="20">
        <f t="shared" ref="CB132:CB153" si="118">(BZ132+CA132)*0.475*44/12</f>
        <v>552.79883215814709</v>
      </c>
      <c r="CC132" s="59">
        <f t="shared" ref="CC132:CC195" si="119">CB132+(BT132+BU132)*44/12</f>
        <v>846.13216549148046</v>
      </c>
      <c r="CD132" s="59">
        <f ca="1">AVERAGE(OFFSET($CC$3,0,0,'Données projet'!$E$12+1,1))-AVERAGE(OFFSET($H$3,0,0,'Données projet'!$E$12+1,1))</f>
        <v>437.94387006020412</v>
      </c>
      <c r="CE132" s="59">
        <f t="shared" si="94"/>
        <v>213.95083535531376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41.775339093821678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41.775339093821678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5.4001247917767614E-13</v>
      </c>
      <c r="CU132" s="17">
        <f>CT132*VLOOKUP('Données projet'!$B$13,Paramètres!$A$1:$I$89,3,0)*VLOOKUP('Données projet'!$B$13,Paramètres!$A$1:$I$89,5,0)</f>
        <v>2.5974600248446226E-13</v>
      </c>
      <c r="CV132" s="13">
        <f t="shared" si="95"/>
        <v>3.4917846266292826E-12</v>
      </c>
      <c r="CW132" s="20">
        <f t="shared" ref="CW132:CW153" si="121">(CU132+CV132)*0.475*44/12</f>
        <v>6.5339158457064384E-12</v>
      </c>
      <c r="CX132" s="59">
        <f t="shared" ref="CX132:CX195" si="122">CW132+(CO132+CP132)*44/12</f>
        <v>293.33333333333985</v>
      </c>
      <c r="CY132" s="59">
        <f ca="1">AVERAGE(OFFSET($CX$3,0,0,'Données projet'!$E$13+1,1))-AVERAGE(OFFSET($H$3,0,0,'Données projet'!$E$13+1,1))</f>
        <v>258.42493116335032</v>
      </c>
      <c r="CZ132" s="59">
        <f t="shared" si="96"/>
        <v>102.46122697336466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111.71091386068606</v>
      </c>
      <c r="DG132" s="21">
        <f>EXP(-LN(2)/25)*DG131+(1-EXP(-LN(2)/25))/(LN(2)/25)*Calculateur!DB132*Calculateur!DD132*VLOOKUP('Données projet'!$B$13,Paramètres!$A$1:$I$89,3,0)*0.475*44/12</f>
        <v>23.925567782673426</v>
      </c>
      <c r="DH132" s="21">
        <f>EXP(-LN(2)/2)*DH131+(1-EXP(-LN(2)/2))/(LN(2)/2)*DB132*DE132*VLOOKUP('Données projet'!$B$13,Paramètres!$A$1:$I$89,3,0)*0.475*44/12</f>
        <v>0.54915125437186785</v>
      </c>
      <c r="DI132" s="22">
        <f t="shared" ref="DI132:DI153" si="123">SUM(DF132:DH132)</f>
        <v>136.18563289773138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243</v>
      </c>
      <c r="DP132" s="17">
        <f>DO132*VLOOKUP('Données projet'!$B$14,Paramètres!$A$1:$I$89,3,0)*VLOOKUP('Données projet'!$B$14,Paramètres!$A$1:$I$89,5,0)</f>
        <v>212.28480000000002</v>
      </c>
      <c r="DQ132" s="13">
        <f t="shared" si="97"/>
        <v>52.434557099704193</v>
      </c>
      <c r="DR132" s="20">
        <f t="shared" ref="DR132:DR153" si="124">(DP132+DQ132)*0.475*44/12</f>
        <v>461.05288028198476</v>
      </c>
      <c r="DS132" s="59">
        <f t="shared" ref="DS132:DS195" si="125">DR132+(DJ132+DK132)*44/12</f>
        <v>754.38621361531807</v>
      </c>
      <c r="DT132" s="59">
        <f ca="1">AVERAGE(OFFSET($DS$3,0,0,'Données projet'!$E$14+1,1))-AVERAGE(OFFSET($H$3,0,0,'Données projet'!$E$14+1,1))</f>
        <v>354.24684313982857</v>
      </c>
      <c r="DU132" s="59">
        <f t="shared" si="98"/>
        <v>322.65043486962185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15.345485863110989</v>
      </c>
      <c r="EB132" s="21">
        <f>EXP(-LN(2)/25)*EB131+(1-EXP(-LN(2)/25))/(LN(2)/25)*Calculateur!DW132*Calculateur!DY132*VLOOKUP('Données projet'!$B$14,Paramètres!$A$1:$I$89,3,0)*0.475*44/12</f>
        <v>6.6636997321033418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22.00918559521433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-6.7984728957526396E-14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355.09162485318728</v>
      </c>
      <c r="T133" s="59">
        <f t="shared" ref="T133:T196" si="142">$T$3</f>
        <v>320.06572891923685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61.205618682732378</v>
      </c>
      <c r="AA133" s="21">
        <f>EXP(-LN(2)/25)*AA132+(1-EXP(-LN(2)/25))/(LN(2)/25)*Calculateur!V133*Calculateur!X133*VLOOKUP('Données projet'!$B$9,Paramètres!$A$1:$I$89,3,0)*0.475*44/12</f>
        <v>9.4883264717791</v>
      </c>
      <c r="AB133" s="21">
        <f>EXP(-LN(2)/2)*AB132+(1-EXP(-LN(2)/2))/(LN(2)/2)*V133*Y133*VLOOKUP('Données projet'!$B$9,Paramètres!$A$1:$I$89,3,0)*0.475*44/12</f>
        <v>3.4786861923664928E-7</v>
      </c>
      <c r="AC133" s="22">
        <f t="shared" si="111"/>
        <v>70.693945502380103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5.1159076974727213E-13</v>
      </c>
      <c r="AJ133" s="13">
        <f>AI133*VLOOKUP('Données projet'!$B$10,Paramètres!$A$1:$I$89,3,0)*VLOOKUP('Données projet'!$B$10,Paramètres!$A$1:$I$89,5,0)</f>
        <v>2.3942448024172334E-13</v>
      </c>
      <c r="AK133" s="13">
        <f t="shared" ref="AK133:AK153" si="143">EXP(-1.0587+0.8836*LN(AJ133)+0.284)</f>
        <v>3.2492669905861755E-12</v>
      </c>
      <c r="AL133" s="20">
        <f t="shared" si="112"/>
        <v>6.0761376450252565E-12</v>
      </c>
      <c r="AM133" s="59">
        <f t="shared" si="113"/>
        <v>293.3333333333394</v>
      </c>
      <c r="AN133" s="59">
        <f ca="1">AVERAGE(OFFSET($AM$3,0,0,'Données projet'!$E$10+1,1))-AVERAGE(OFFSET($H$3,0,0,'Données projet'!$E$10+1,1))</f>
        <v>246.72166704460847</v>
      </c>
      <c r="AO133" s="59">
        <f t="shared" ref="AO133:AO196" si="144">$AO$3</f>
        <v>145.54897745089966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88.218742470494661</v>
      </c>
      <c r="AV133" s="21">
        <f>EXP(-LN(2)/25)*AV132+(1-EXP(-LN(2)/25))/(LN(2)/25)*Calculateur!AQ133*Calculateur!AS133*VLOOKUP('Données projet'!$B$10,Paramètres!$A$1:$I$89,3,0)*0.475*44/12</f>
        <v>18.573369097354604</v>
      </c>
      <c r="AW133" s="21">
        <f>EXP(-LN(2)/2)*AW132+(1-EXP(-LN(2)/2))/(LN(2)/2)*AQ133*AT133*VLOOKUP('Données projet'!$B$10,Paramètres!$A$1:$I$89,3,0)*0.475*44/12</f>
        <v>1.2670393210341826E-2</v>
      </c>
      <c r="AX133" s="21">
        <f t="shared" si="114"/>
        <v>106.8047819610596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88.478637356802039</v>
      </c>
      <c r="BJ133" s="59">
        <f t="shared" ref="BJ133:BJ196" si="146">$BJ$3</f>
        <v>239.55411297259155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5.1099806843018527</v>
      </c>
      <c r="BQ133" s="21">
        <f>EXP(-LN(2)/25)*BQ132+(1-EXP(-LN(2)/25))/(LN(2)/25)*Calculateur!BL133*Calculateur!BN133*VLOOKUP('Données projet'!$B$11,Paramètres!$A$1:$I$89,3,0)*0.475*44/12</f>
        <v>0.45631149635799395</v>
      </c>
      <c r="BR133" s="21">
        <f>EXP(-LN(2)/2)*BR132+(1-EXP(-LN(2)/2))/(LN(2)/2)*BL133*BO133*VLOOKUP('Données projet'!$B$11,Paramètres!$A$1:$I$89,3,0)*0.475*44/12</f>
        <v>3.8186769565154907E-16</v>
      </c>
      <c r="BS133" s="22">
        <f t="shared" si="117"/>
        <v>5.5662921806598469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6.0499999999999945</v>
      </c>
      <c r="BY133" s="12">
        <f>IF('Données projet'!$A$114&gt;35,BY132+BX133-CG132,IF(A133&lt;'Données projet'!$A$114,$BV$205^A133,IF(A133='Données projet'!$A$114,'Données projet'!$B$114,BY132+BX133-CG132)))</f>
        <v>288.55512820512871</v>
      </c>
      <c r="BZ133" s="13">
        <f>BY133*VLOOKUP('Données projet'!$B$12,Paramètres!$A$1:$I$89,3,0)*VLOOKUP('Données projet'!$B$12,Paramètres!$A$1:$I$89,5,0)</f>
        <v>261.08468000000045</v>
      </c>
      <c r="CA133" s="13">
        <f t="shared" ref="CA133:CA153" si="147">EXP(-1.0587+0.8836*LN(BZ133)+0.284)</f>
        <v>62.95353184810439</v>
      </c>
      <c r="CB133" s="20">
        <f t="shared" si="118"/>
        <v>564.36655230211579</v>
      </c>
      <c r="CC133" s="59">
        <f t="shared" si="119"/>
        <v>857.69988563544916</v>
      </c>
      <c r="CD133" s="59">
        <f ca="1">AVERAGE(OFFSET($CC$3,0,0,'Données projet'!$E$12+1,1))-AVERAGE(OFFSET($H$3,0,0,'Données projet'!$E$12+1,1))</f>
        <v>437.94387006020412</v>
      </c>
      <c r="CE133" s="59">
        <f t="shared" ref="CE133:CE196" si="148">$CE$3</f>
        <v>213.95083535531376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40.956150174632697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40.956150174632697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5.4001247917767614E-13</v>
      </c>
      <c r="CU133" s="17">
        <f>CT133*VLOOKUP('Données projet'!$B$13,Paramètres!$A$1:$I$89,3,0)*VLOOKUP('Données projet'!$B$13,Paramètres!$A$1:$I$89,5,0)</f>
        <v>2.5974600248446226E-13</v>
      </c>
      <c r="CV133" s="13">
        <f t="shared" ref="CV133:CV153" si="149">EXP(-1.0587+0.8836*LN(CU133)+0.284)</f>
        <v>3.4917846266292826E-12</v>
      </c>
      <c r="CW133" s="20">
        <f t="shared" si="121"/>
        <v>6.5339158457064384E-12</v>
      </c>
      <c r="CX133" s="59">
        <f t="shared" si="122"/>
        <v>293.33333333333985</v>
      </c>
      <c r="CY133" s="59">
        <f ca="1">AVERAGE(OFFSET($CX$3,0,0,'Données projet'!$E$13+1,1))-AVERAGE(OFFSET($H$3,0,0,'Données projet'!$E$13+1,1))</f>
        <v>258.42493116335032</v>
      </c>
      <c r="CZ133" s="59">
        <f t="shared" ref="CZ133:CZ196" si="150">$CZ$3</f>
        <v>102.46122697336466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109.5203309768075</v>
      </c>
      <c r="DG133" s="21">
        <f>EXP(-LN(2)/25)*DG132+(1-EXP(-LN(2)/25))/(LN(2)/25)*Calculateur!DB133*Calculateur!DD133*VLOOKUP('Données projet'!$B$13,Paramètres!$A$1:$I$89,3,0)*0.475*44/12</f>
        <v>23.271321873465293</v>
      </c>
      <c r="DH133" s="21">
        <f>EXP(-LN(2)/2)*DH132+(1-EXP(-LN(2)/2))/(LN(2)/2)*DB133*DE133*VLOOKUP('Données projet'!$B$13,Paramètres!$A$1:$I$89,3,0)*0.475*44/12</f>
        <v>0.38830857586344647</v>
      </c>
      <c r="DI133" s="22">
        <f t="shared" si="123"/>
        <v>133.17996142613623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243</v>
      </c>
      <c r="DP133" s="17">
        <f>DO133*VLOOKUP('Données projet'!$B$14,Paramètres!$A$1:$I$89,3,0)*VLOOKUP('Données projet'!$B$14,Paramètres!$A$1:$I$89,5,0)</f>
        <v>212.28480000000002</v>
      </c>
      <c r="DQ133" s="13">
        <f t="shared" ref="DQ133:DQ153" si="151">EXP(-1.0587+0.8836*LN(DP133)+0.284)</f>
        <v>52.434557099704193</v>
      </c>
      <c r="DR133" s="20">
        <f t="shared" si="124"/>
        <v>461.05288028198476</v>
      </c>
      <c r="DS133" s="59">
        <f t="shared" si="125"/>
        <v>754.38621361531807</v>
      </c>
      <c r="DT133" s="59">
        <f ca="1">AVERAGE(OFFSET($DS$3,0,0,'Données projet'!$E$14+1,1))-AVERAGE(OFFSET($H$3,0,0,'Données projet'!$E$14+1,1))</f>
        <v>354.24684313982857</v>
      </c>
      <c r="DU133" s="59">
        <f t="shared" ref="DU133:DU196" si="152">$DU$3</f>
        <v>322.65043486962185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15.044570245157553</v>
      </c>
      <c r="EB133" s="21">
        <f>EXP(-LN(2)/25)*EB132+(1-EXP(-LN(2)/25))/(LN(2)/25)*Calculateur!DW133*Calculateur!DY133*VLOOKUP('Données projet'!$B$14,Paramètres!$A$1:$I$89,3,0)*0.475*44/12</f>
        <v>6.4814805125002373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21.526050757657792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-6.7984728957526396E-14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355.09162485318728</v>
      </c>
      <c r="T134" s="59">
        <f t="shared" si="142"/>
        <v>320.06572891923685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60.005413832105191</v>
      </c>
      <c r="AA134" s="21">
        <f>EXP(-LN(2)/25)*AA133+(1-EXP(-LN(2)/25))/(LN(2)/25)*Calculateur!V134*Calculateur!X134*VLOOKUP('Données projet'!$B$9,Paramètres!$A$1:$I$89,3,0)*0.475*44/12</f>
        <v>9.2288676854388978</v>
      </c>
      <c r="AB134" s="21">
        <f>EXP(-LN(2)/2)*AB133+(1-EXP(-LN(2)/2))/(LN(2)/2)*V134*Y134*VLOOKUP('Données projet'!$B$9,Paramètres!$A$1:$I$89,3,0)*0.475*44/12</f>
        <v>2.4598025962423578E-7</v>
      </c>
      <c r="AC134" s="22">
        <f t="shared" si="111"/>
        <v>69.234281763524351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5.1159076974727213E-13</v>
      </c>
      <c r="AJ134" s="13">
        <f>AI134*VLOOKUP('Données projet'!$B$10,Paramètres!$A$1:$I$89,3,0)*VLOOKUP('Données projet'!$B$10,Paramètres!$A$1:$I$89,5,0)</f>
        <v>2.3942448024172334E-13</v>
      </c>
      <c r="AK134" s="13">
        <f t="shared" si="143"/>
        <v>3.2492669905861755E-12</v>
      </c>
      <c r="AL134" s="20">
        <f t="shared" si="112"/>
        <v>6.0761376450252565E-12</v>
      </c>
      <c r="AM134" s="59">
        <f t="shared" si="113"/>
        <v>293.3333333333394</v>
      </c>
      <c r="AN134" s="59">
        <f ca="1">AVERAGE(OFFSET($AM$3,0,0,'Données projet'!$E$10+1,1))-AVERAGE(OFFSET($H$3,0,0,'Données projet'!$E$10+1,1))</f>
        <v>246.72166704460847</v>
      </c>
      <c r="AO134" s="59">
        <f t="shared" si="144"/>
        <v>145.54897745089966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86.488826738768054</v>
      </c>
      <c r="AV134" s="21">
        <f>EXP(-LN(2)/25)*AV133+(1-EXP(-LN(2)/25))/(LN(2)/25)*Calculateur!AQ134*Calculateur!AS134*VLOOKUP('Données projet'!$B$10,Paramètres!$A$1:$I$89,3,0)*0.475*44/12</f>
        <v>18.06547934265641</v>
      </c>
      <c r="AW134" s="21">
        <f>EXP(-LN(2)/2)*AW133+(1-EXP(-LN(2)/2))/(LN(2)/2)*AQ134*AT134*VLOOKUP('Données projet'!$B$10,Paramètres!$A$1:$I$89,3,0)*0.475*44/12</f>
        <v>8.9593209593326947E-3</v>
      </c>
      <c r="AX134" s="21">
        <f t="shared" si="114"/>
        <v>104.56326540238381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88.478637356802039</v>
      </c>
      <c r="BJ134" s="59">
        <f t="shared" si="146"/>
        <v>239.55411297259155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5.009777079863154</v>
      </c>
      <c r="BQ134" s="21">
        <f>EXP(-LN(2)/25)*BQ133+(1-EXP(-LN(2)/25))/(LN(2)/25)*Calculateur!BL134*Calculateur!BN134*VLOOKUP('Données projet'!$B$11,Paramètres!$A$1:$I$89,3,0)*0.475*44/12</f>
        <v>0.44383363449370594</v>
      </c>
      <c r="BR134" s="21">
        <f>EXP(-LN(2)/2)*BR133+(1-EXP(-LN(2)/2))/(LN(2)/2)*BL134*BO134*VLOOKUP('Données projet'!$B$11,Paramètres!$A$1:$I$89,3,0)*0.475*44/12</f>
        <v>2.7002123711129103E-16</v>
      </c>
      <c r="BS134" s="22">
        <f t="shared" si="117"/>
        <v>5.4536107143568602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6.0499999999999945</v>
      </c>
      <c r="BY134" s="12">
        <f>IF('Données projet'!$A$114&gt;35,BY133+BX134-CG133,IF(A134&lt;'Données projet'!$A$114,$BV$205^A134,IF(A134='Données projet'!$A$114,'Données projet'!$B$114,BY133+BX134-CG133)))</f>
        <v>294.60512820512872</v>
      </c>
      <c r="BZ134" s="13">
        <f>BY134*VLOOKUP('Données projet'!$B$12,Paramètres!$A$1:$I$89,3,0)*VLOOKUP('Données projet'!$B$12,Paramètres!$A$1:$I$89,5,0)</f>
        <v>266.55872000000045</v>
      </c>
      <c r="CA134" s="13">
        <f t="shared" si="147"/>
        <v>64.118398486082341</v>
      </c>
      <c r="CB134" s="20">
        <f t="shared" si="118"/>
        <v>575.92931469659425</v>
      </c>
      <c r="CC134" s="59">
        <f t="shared" si="119"/>
        <v>869.2626480299275</v>
      </c>
      <c r="CD134" s="59">
        <f ca="1">AVERAGE(OFFSET($CC$3,0,0,'Données projet'!$E$12+1,1))-AVERAGE(OFFSET($H$3,0,0,'Données projet'!$E$12+1,1))</f>
        <v>437.94387006020412</v>
      </c>
      <c r="CE134" s="59">
        <f t="shared" si="148"/>
        <v>213.95083535531376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40.153025050493106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40.153025050493106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5.4001247917767614E-13</v>
      </c>
      <c r="CU134" s="17">
        <f>CT134*VLOOKUP('Données projet'!$B$13,Paramètres!$A$1:$I$89,3,0)*VLOOKUP('Données projet'!$B$13,Paramètres!$A$1:$I$89,5,0)</f>
        <v>2.5974600248446226E-13</v>
      </c>
      <c r="CV134" s="13">
        <f t="shared" si="149"/>
        <v>3.4917846266292826E-12</v>
      </c>
      <c r="CW134" s="20">
        <f t="shared" si="121"/>
        <v>6.5339158457064384E-12</v>
      </c>
      <c r="CX134" s="59">
        <f t="shared" si="122"/>
        <v>293.33333333333985</v>
      </c>
      <c r="CY134" s="59">
        <f ca="1">AVERAGE(OFFSET($CX$3,0,0,'Données projet'!$E$13+1,1))-AVERAGE(OFFSET($H$3,0,0,'Données projet'!$E$13+1,1))</f>
        <v>258.42493116335032</v>
      </c>
      <c r="CZ134" s="59">
        <f t="shared" si="150"/>
        <v>102.46122697336466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107.37270408715817</v>
      </c>
      <c r="DG134" s="21">
        <f>EXP(-LN(2)/25)*DG133+(1-EXP(-LN(2)/25))/(LN(2)/25)*Calculateur!DB134*Calculateur!DD134*VLOOKUP('Données projet'!$B$13,Paramètres!$A$1:$I$89,3,0)*0.475*44/12</f>
        <v>22.634966353049755</v>
      </c>
      <c r="DH134" s="21">
        <f>EXP(-LN(2)/2)*DH133+(1-EXP(-LN(2)/2))/(LN(2)/2)*DB134*DE134*VLOOKUP('Données projet'!$B$13,Paramètres!$A$1:$I$89,3,0)*0.475*44/12</f>
        <v>0.27457562718593392</v>
      </c>
      <c r="DI134" s="22">
        <f t="shared" si="123"/>
        <v>130.28224606739386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243</v>
      </c>
      <c r="DP134" s="17">
        <f>DO134*VLOOKUP('Données projet'!$B$14,Paramètres!$A$1:$I$89,3,0)*VLOOKUP('Données projet'!$B$14,Paramètres!$A$1:$I$89,5,0)</f>
        <v>212.28480000000002</v>
      </c>
      <c r="DQ134" s="13">
        <f t="shared" si="151"/>
        <v>52.434557099704193</v>
      </c>
      <c r="DR134" s="20">
        <f t="shared" si="124"/>
        <v>461.05288028198476</v>
      </c>
      <c r="DS134" s="59">
        <f t="shared" si="125"/>
        <v>754.38621361531807</v>
      </c>
      <c r="DT134" s="59">
        <f ca="1">AVERAGE(OFFSET($DS$3,0,0,'Données projet'!$E$14+1,1))-AVERAGE(OFFSET($H$3,0,0,'Données projet'!$E$14+1,1))</f>
        <v>354.24684313982857</v>
      </c>
      <c r="DU134" s="59">
        <f t="shared" si="152"/>
        <v>322.65043486962185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14.749555398931781</v>
      </c>
      <c r="EB134" s="21">
        <f>EXP(-LN(2)/25)*EB133+(1-EXP(-LN(2)/25))/(LN(2)/25)*Calculateur!DW134*Calculateur!DY134*VLOOKUP('Données projet'!$B$14,Paramètres!$A$1:$I$89,3,0)*0.475*44/12</f>
        <v>6.3042440870396721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21.053799485971453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-6.7984728957526396E-14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355.09162485318728</v>
      </c>
      <c r="T135" s="59">
        <f t="shared" si="142"/>
        <v>320.06572891923685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58.828744266546124</v>
      </c>
      <c r="AA135" s="21">
        <f>EXP(-LN(2)/25)*AA134+(1-EXP(-LN(2)/25))/(LN(2)/25)*Calculateur!V135*Calculateur!X135*VLOOKUP('Données projet'!$B$9,Paramètres!$A$1:$I$89,3,0)*0.475*44/12</f>
        <v>8.9765038132555119</v>
      </c>
      <c r="AB135" s="21">
        <f>EXP(-LN(2)/2)*AB134+(1-EXP(-LN(2)/2))/(LN(2)/2)*V135*Y135*VLOOKUP('Données projet'!$B$9,Paramètres!$A$1:$I$89,3,0)*0.475*44/12</f>
        <v>1.7393430961832464E-7</v>
      </c>
      <c r="AC135" s="22">
        <f t="shared" si="111"/>
        <v>67.80524825373594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5.1159076974727213E-13</v>
      </c>
      <c r="AJ135" s="13">
        <f>AI135*VLOOKUP('Données projet'!$B$10,Paramètres!$A$1:$I$89,3,0)*VLOOKUP('Données projet'!$B$10,Paramètres!$A$1:$I$89,5,0)</f>
        <v>2.3942448024172334E-13</v>
      </c>
      <c r="AK135" s="13">
        <f t="shared" si="143"/>
        <v>3.2492669905861755E-12</v>
      </c>
      <c r="AL135" s="20">
        <f t="shared" si="112"/>
        <v>6.0761376450252565E-12</v>
      </c>
      <c r="AM135" s="59">
        <f t="shared" si="113"/>
        <v>293.3333333333394</v>
      </c>
      <c r="AN135" s="59">
        <f ca="1">AVERAGE(OFFSET($AM$3,0,0,'Données projet'!$E$10+1,1))-AVERAGE(OFFSET($H$3,0,0,'Données projet'!$E$10+1,1))</f>
        <v>246.72166704460847</v>
      </c>
      <c r="AO135" s="59">
        <f t="shared" si="144"/>
        <v>145.54897745089966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84.792833599396204</v>
      </c>
      <c r="AV135" s="21">
        <f>EXP(-LN(2)/25)*AV134+(1-EXP(-LN(2)/25))/(LN(2)/25)*Calculateur!AQ135*Calculateur!AS135*VLOOKUP('Données projet'!$B$10,Paramètres!$A$1:$I$89,3,0)*0.475*44/12</f>
        <v>17.5714778600092</v>
      </c>
      <c r="AW135" s="21">
        <f>EXP(-LN(2)/2)*AW134+(1-EXP(-LN(2)/2))/(LN(2)/2)*AQ135*AT135*VLOOKUP('Données projet'!$B$10,Paramètres!$A$1:$I$89,3,0)*0.475*44/12</f>
        <v>6.3351966051709129E-3</v>
      </c>
      <c r="AX135" s="21">
        <f t="shared" si="114"/>
        <v>102.37064665601056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88.478637356802039</v>
      </c>
      <c r="BJ135" s="59">
        <f t="shared" si="146"/>
        <v>239.55411297259155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4.9115384069893349</v>
      </c>
      <c r="BQ135" s="21">
        <f>EXP(-LN(2)/25)*BQ134+(1-EXP(-LN(2)/25))/(LN(2)/25)*Calculateur!BL135*Calculateur!BN135*VLOOKUP('Données projet'!$B$11,Paramètres!$A$1:$I$89,3,0)*0.475*44/12</f>
        <v>0.43169698041827909</v>
      </c>
      <c r="BR135" s="21">
        <f>EXP(-LN(2)/2)*BR134+(1-EXP(-LN(2)/2))/(LN(2)/2)*BL135*BO135*VLOOKUP('Données projet'!$B$11,Paramètres!$A$1:$I$89,3,0)*0.475*44/12</f>
        <v>1.9093384782577453E-16</v>
      </c>
      <c r="BS135" s="22">
        <f t="shared" si="117"/>
        <v>5.3432353874076135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6.0499999999999945</v>
      </c>
      <c r="BY135" s="12">
        <f>IF('Données projet'!$A$114&gt;35,BY134+BX135-CG134,IF(A135&lt;'Données projet'!$A$114,$BV$205^A135,IF(A135='Données projet'!$A$114,'Données projet'!$B$114,BY134+BX135-CG134)))</f>
        <v>300.65512820512873</v>
      </c>
      <c r="BZ135" s="13">
        <f>BY135*VLOOKUP('Données projet'!$B$12,Paramètres!$A$1:$I$89,3,0)*VLOOKUP('Données projet'!$B$12,Paramètres!$A$1:$I$89,5,0)</f>
        <v>272.03276000000051</v>
      </c>
      <c r="CA135" s="13">
        <f t="shared" si="147"/>
        <v>65.280483761749153</v>
      </c>
      <c r="CB135" s="20">
        <f t="shared" si="118"/>
        <v>587.48723288504732</v>
      </c>
      <c r="CC135" s="59">
        <f t="shared" si="119"/>
        <v>880.82056621838069</v>
      </c>
      <c r="CD135" s="59">
        <f ca="1">AVERAGE(OFFSET($CC$3,0,0,'Données projet'!$E$12+1,1))-AVERAGE(OFFSET($H$3,0,0,'Données projet'!$E$12+1,1))</f>
        <v>437.94387006020412</v>
      </c>
      <c r="CE135" s="59">
        <f t="shared" si="148"/>
        <v>213.95083535531376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39.365648720179941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39.365648720179941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5.4001247917767614E-13</v>
      </c>
      <c r="CU135" s="17">
        <f>CT135*VLOOKUP('Données projet'!$B$13,Paramètres!$A$1:$I$89,3,0)*VLOOKUP('Données projet'!$B$13,Paramètres!$A$1:$I$89,5,0)</f>
        <v>2.5974600248446226E-13</v>
      </c>
      <c r="CV135" s="13">
        <f t="shared" si="149"/>
        <v>3.4917846266292826E-12</v>
      </c>
      <c r="CW135" s="20">
        <f t="shared" si="121"/>
        <v>6.5339158457064384E-12</v>
      </c>
      <c r="CX135" s="59">
        <f t="shared" si="122"/>
        <v>293.33333333333985</v>
      </c>
      <c r="CY135" s="59">
        <f ca="1">AVERAGE(OFFSET($CX$3,0,0,'Données projet'!$E$13+1,1))-AVERAGE(OFFSET($H$3,0,0,'Données projet'!$E$13+1,1))</f>
        <v>258.42493116335032</v>
      </c>
      <c r="CZ135" s="59">
        <f t="shared" si="150"/>
        <v>102.46122697336466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105.26719085089181</v>
      </c>
      <c r="DG135" s="21">
        <f>EXP(-LN(2)/25)*DG134+(1-EXP(-LN(2)/25))/(LN(2)/25)*Calculateur!DB135*Calculateur!DD135*VLOOKUP('Données projet'!$B$13,Paramètres!$A$1:$I$89,3,0)*0.475*44/12</f>
        <v>22.016012007804463</v>
      </c>
      <c r="DH135" s="21">
        <f>EXP(-LN(2)/2)*DH134+(1-EXP(-LN(2)/2))/(LN(2)/2)*DB135*DE135*VLOOKUP('Données projet'!$B$13,Paramètres!$A$1:$I$89,3,0)*0.475*44/12</f>
        <v>0.19415428793172324</v>
      </c>
      <c r="DI135" s="22">
        <f t="shared" si="123"/>
        <v>127.47735714662799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243</v>
      </c>
      <c r="DP135" s="17">
        <f>DO135*VLOOKUP('Données projet'!$B$14,Paramètres!$A$1:$I$89,3,0)*VLOOKUP('Données projet'!$B$14,Paramètres!$A$1:$I$89,5,0)</f>
        <v>212.28480000000002</v>
      </c>
      <c r="DQ135" s="13">
        <f t="shared" si="151"/>
        <v>52.434557099704193</v>
      </c>
      <c r="DR135" s="20">
        <f t="shared" si="124"/>
        <v>461.05288028198476</v>
      </c>
      <c r="DS135" s="59">
        <f t="shared" si="125"/>
        <v>754.38621361531807</v>
      </c>
      <c r="DT135" s="59">
        <f ca="1">AVERAGE(OFFSET($DS$3,0,0,'Données projet'!$E$14+1,1))-AVERAGE(OFFSET($H$3,0,0,'Données projet'!$E$14+1,1))</f>
        <v>354.24684313982857</v>
      </c>
      <c r="DU135" s="59">
        <f t="shared" si="152"/>
        <v>322.65043486962185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14.460325613899208</v>
      </c>
      <c r="EB135" s="21">
        <f>EXP(-LN(2)/25)*EB134+(1-EXP(-LN(2)/25))/(LN(2)/25)*Calculateur!DW135*Calculateur!DY135*VLOOKUP('Données projet'!$B$14,Paramètres!$A$1:$I$89,3,0)*0.475*44/12</f>
        <v>6.131854200953784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20.59217981485299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-6.7984728957526396E-14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355.09162485318728</v>
      </c>
      <c r="T136" s="59">
        <f t="shared" si="142"/>
        <v>320.06572891923685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57.675148473470102</v>
      </c>
      <c r="AA136" s="21">
        <f>EXP(-LN(2)/25)*AA135+(1-EXP(-LN(2)/25))/(LN(2)/25)*Calculateur!V136*Calculateur!X136*VLOOKUP('Données projet'!$B$9,Paramètres!$A$1:$I$89,3,0)*0.475*44/12</f>
        <v>8.7310408444282199</v>
      </c>
      <c r="AB136" s="21">
        <f>EXP(-LN(2)/2)*AB135+(1-EXP(-LN(2)/2))/(LN(2)/2)*V136*Y136*VLOOKUP('Données projet'!$B$9,Paramètres!$A$1:$I$89,3,0)*0.475*44/12</f>
        <v>1.2299012981211789E-7</v>
      </c>
      <c r="AC136" s="22">
        <f t="shared" si="111"/>
        <v>66.406189440888454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5.1159076974727213E-13</v>
      </c>
      <c r="AJ136" s="13">
        <f>AI136*VLOOKUP('Données projet'!$B$10,Paramètres!$A$1:$I$89,3,0)*VLOOKUP('Données projet'!$B$10,Paramètres!$A$1:$I$89,5,0)</f>
        <v>2.3942448024172334E-13</v>
      </c>
      <c r="AK136" s="13">
        <f t="shared" si="143"/>
        <v>3.2492669905861755E-12</v>
      </c>
      <c r="AL136" s="20">
        <f t="shared" si="112"/>
        <v>6.0761376450252565E-12</v>
      </c>
      <c r="AM136" s="59">
        <f t="shared" si="113"/>
        <v>293.3333333333394</v>
      </c>
      <c r="AN136" s="59">
        <f ca="1">AVERAGE(OFFSET($AM$3,0,0,'Données projet'!$E$10+1,1))-AVERAGE(OFFSET($H$3,0,0,'Données projet'!$E$10+1,1))</f>
        <v>246.72166704460847</v>
      </c>
      <c r="AO136" s="59">
        <f t="shared" si="144"/>
        <v>145.54897745089966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83.130097851033753</v>
      </c>
      <c r="AV136" s="21">
        <f>EXP(-LN(2)/25)*AV135+(1-EXP(-LN(2)/25))/(LN(2)/25)*Calculateur!AQ136*Calculateur!AS136*VLOOKUP('Données projet'!$B$10,Paramètres!$A$1:$I$89,3,0)*0.475*44/12</f>
        <v>17.090984873883386</v>
      </c>
      <c r="AW136" s="21">
        <f>EXP(-LN(2)/2)*AW135+(1-EXP(-LN(2)/2))/(LN(2)/2)*AQ136*AT136*VLOOKUP('Données projet'!$B$10,Paramètres!$A$1:$I$89,3,0)*0.475*44/12</f>
        <v>4.4796604796663473E-3</v>
      </c>
      <c r="AX136" s="21">
        <f t="shared" si="114"/>
        <v>100.2255623853968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88.478637356802039</v>
      </c>
      <c r="BJ136" s="59">
        <f t="shared" si="146"/>
        <v>239.55411297259155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4.8152261345708975</v>
      </c>
      <c r="BQ136" s="21">
        <f>EXP(-LN(2)/25)*BQ135+(1-EXP(-LN(2)/25))/(LN(2)/25)*Calculateur!BL136*Calculateur!BN136*VLOOKUP('Données projet'!$B$11,Paramètres!$A$1:$I$89,3,0)*0.475*44/12</f>
        <v>0.41989220378678371</v>
      </c>
      <c r="BR136" s="21">
        <f>EXP(-LN(2)/2)*BR135+(1-EXP(-LN(2)/2))/(LN(2)/2)*BL136*BO136*VLOOKUP('Données projet'!$B$11,Paramètres!$A$1:$I$89,3,0)*0.475*44/12</f>
        <v>1.3501061855564551E-16</v>
      </c>
      <c r="BS136" s="22">
        <f t="shared" si="117"/>
        <v>5.2351183383576814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6.0499999999999945</v>
      </c>
      <c r="BY136" s="12">
        <f>IF('Données projet'!$A$114&gt;35,BY135+BX136-CG135,IF(A136&lt;'Données projet'!$A$114,$BV$205^A136,IF(A136='Données projet'!$A$114,'Données projet'!$B$114,BY135+BX136-CG135)))</f>
        <v>306.70512820512874</v>
      </c>
      <c r="BZ136" s="13">
        <f>BY136*VLOOKUP('Données projet'!$B$12,Paramètres!$A$1:$I$89,3,0)*VLOOKUP('Données projet'!$B$12,Paramètres!$A$1:$I$89,5,0)</f>
        <v>277.50680000000045</v>
      </c>
      <c r="CA136" s="13">
        <f t="shared" si="147"/>
        <v>66.439850093815238</v>
      </c>
      <c r="CB136" s="20">
        <f t="shared" si="118"/>
        <v>599.04041558006236</v>
      </c>
      <c r="CC136" s="59">
        <f t="shared" si="119"/>
        <v>892.37374891339573</v>
      </c>
      <c r="CD136" s="59">
        <f ca="1">AVERAGE(OFFSET($CC$3,0,0,'Données projet'!$E$12+1,1))-AVERAGE(OFFSET($H$3,0,0,'Données projet'!$E$12+1,1))</f>
        <v>437.94387006020412</v>
      </c>
      <c r="CE136" s="59">
        <f t="shared" si="148"/>
        <v>213.95083535531376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38.593712359452077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38.593712359452077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5.4001247917767614E-13</v>
      </c>
      <c r="CU136" s="17">
        <f>CT136*VLOOKUP('Données projet'!$B$13,Paramètres!$A$1:$I$89,3,0)*VLOOKUP('Données projet'!$B$13,Paramètres!$A$1:$I$89,5,0)</f>
        <v>2.5974600248446226E-13</v>
      </c>
      <c r="CV136" s="13">
        <f t="shared" si="149"/>
        <v>3.4917846266292826E-12</v>
      </c>
      <c r="CW136" s="20">
        <f t="shared" si="121"/>
        <v>6.5339158457064384E-12</v>
      </c>
      <c r="CX136" s="59">
        <f t="shared" si="122"/>
        <v>293.33333333333985</v>
      </c>
      <c r="CY136" s="59">
        <f ca="1">AVERAGE(OFFSET($CX$3,0,0,'Données projet'!$E$13+1,1))-AVERAGE(OFFSET($H$3,0,0,'Données projet'!$E$13+1,1))</f>
        <v>258.42493116335032</v>
      </c>
      <c r="CZ136" s="59">
        <f t="shared" si="150"/>
        <v>102.46122697336466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103.20296544495235</v>
      </c>
      <c r="DG136" s="21">
        <f>EXP(-LN(2)/25)*DG135+(1-EXP(-LN(2)/25))/(LN(2)/25)*Calculateur!DB136*Calculateur!DD136*VLOOKUP('Données projet'!$B$13,Paramètres!$A$1:$I$89,3,0)*0.475*44/12</f>
        <v>21.413983001679295</v>
      </c>
      <c r="DH136" s="21">
        <f>EXP(-LN(2)/2)*DH135+(1-EXP(-LN(2)/2))/(LN(2)/2)*DB136*DE136*VLOOKUP('Données projet'!$B$13,Paramètres!$A$1:$I$89,3,0)*0.475*44/12</f>
        <v>0.13728781359296696</v>
      </c>
      <c r="DI136" s="22">
        <f t="shared" si="123"/>
        <v>124.75423626022462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243</v>
      </c>
      <c r="DP136" s="17">
        <f>DO136*VLOOKUP('Données projet'!$B$14,Paramètres!$A$1:$I$89,3,0)*VLOOKUP('Données projet'!$B$14,Paramètres!$A$1:$I$89,5,0)</f>
        <v>212.28480000000002</v>
      </c>
      <c r="DQ136" s="13">
        <f t="shared" si="151"/>
        <v>52.434557099704193</v>
      </c>
      <c r="DR136" s="20">
        <f t="shared" si="124"/>
        <v>461.05288028198476</v>
      </c>
      <c r="DS136" s="59">
        <f t="shared" si="125"/>
        <v>754.38621361531807</v>
      </c>
      <c r="DT136" s="59">
        <f ca="1">AVERAGE(OFFSET($DS$3,0,0,'Données projet'!$E$14+1,1))-AVERAGE(OFFSET($H$3,0,0,'Données projet'!$E$14+1,1))</f>
        <v>354.24684313982857</v>
      </c>
      <c r="DU136" s="59">
        <f t="shared" si="152"/>
        <v>322.65043486962185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14.176767448538374</v>
      </c>
      <c r="EB136" s="21">
        <f>EXP(-LN(2)/25)*EB135+(1-EXP(-LN(2)/25))/(LN(2)/25)*Calculateur!DW136*Calculateur!DY136*VLOOKUP('Données projet'!$B$14,Paramètres!$A$1:$I$89,3,0)*0.475*44/12</f>
        <v>5.964178325368505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20.140945773906878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-6.7984728957526396E-14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355.09162485318728</v>
      </c>
      <c r="T137" s="59">
        <f t="shared" si="142"/>
        <v>320.06572891923685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56.544173990272348</v>
      </c>
      <c r="AA137" s="21">
        <f>EXP(-LN(2)/25)*AA136+(1-EXP(-LN(2)/25))/(LN(2)/25)*Calculateur!V137*Calculateur!X137*VLOOKUP('Données projet'!$B$9,Paramètres!$A$1:$I$89,3,0)*0.475*44/12</f>
        <v>8.4922900733918478</v>
      </c>
      <c r="AB137" s="21">
        <f>EXP(-LN(2)/2)*AB136+(1-EXP(-LN(2)/2))/(LN(2)/2)*V137*Y137*VLOOKUP('Données projet'!$B$9,Paramètres!$A$1:$I$89,3,0)*0.475*44/12</f>
        <v>8.6967154809162319E-8</v>
      </c>
      <c r="AC137" s="22">
        <f t="shared" si="111"/>
        <v>65.036464150631346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5.1159076974727213E-13</v>
      </c>
      <c r="AJ137" s="13">
        <f>AI137*VLOOKUP('Données projet'!$B$10,Paramètres!$A$1:$I$89,3,0)*VLOOKUP('Données projet'!$B$10,Paramètres!$A$1:$I$89,5,0)</f>
        <v>2.3942448024172334E-13</v>
      </c>
      <c r="AK137" s="13">
        <f t="shared" si="143"/>
        <v>3.2492669905861755E-12</v>
      </c>
      <c r="AL137" s="20">
        <f t="shared" si="112"/>
        <v>6.0761376450252565E-12</v>
      </c>
      <c r="AM137" s="59">
        <f t="shared" si="113"/>
        <v>293.3333333333394</v>
      </c>
      <c r="AN137" s="59">
        <f ca="1">AVERAGE(OFFSET($AM$3,0,0,'Données projet'!$E$10+1,1))-AVERAGE(OFFSET($H$3,0,0,'Données projet'!$E$10+1,1))</f>
        <v>246.72166704460847</v>
      </c>
      <c r="AO137" s="59">
        <f t="shared" si="144"/>
        <v>145.54897745089966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81.49996733652803</v>
      </c>
      <c r="AV137" s="21">
        <f>EXP(-LN(2)/25)*AV136+(1-EXP(-LN(2)/25))/(LN(2)/25)*Calculateur!AQ137*Calculateur!AS137*VLOOKUP('Données projet'!$B$10,Paramètres!$A$1:$I$89,3,0)*0.475*44/12</f>
        <v>16.623630993731211</v>
      </c>
      <c r="AW137" s="21">
        <f>EXP(-LN(2)/2)*AW136+(1-EXP(-LN(2)/2))/(LN(2)/2)*AQ137*AT137*VLOOKUP('Données projet'!$B$10,Paramètres!$A$1:$I$89,3,0)*0.475*44/12</f>
        <v>3.1675983025854565E-3</v>
      </c>
      <c r="AX137" s="21">
        <f t="shared" si="114"/>
        <v>98.126765928561824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88.478637356802039</v>
      </c>
      <c r="BJ137" s="59">
        <f t="shared" si="146"/>
        <v>239.55411297259155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4.7208024870698999</v>
      </c>
      <c r="BQ137" s="21">
        <f>EXP(-LN(2)/25)*BQ136+(1-EXP(-LN(2)/25))/(LN(2)/25)*Calculateur!BL137*Calculateur!BN137*VLOOKUP('Données projet'!$B$11,Paramètres!$A$1:$I$89,3,0)*0.475*44/12</f>
        <v>0.40841022939306282</v>
      </c>
      <c r="BR137" s="21">
        <f>EXP(-LN(2)/2)*BR136+(1-EXP(-LN(2)/2))/(LN(2)/2)*BL137*BO137*VLOOKUP('Données projet'!$B$11,Paramètres!$A$1:$I$89,3,0)*0.475*44/12</f>
        <v>9.5466923912887266E-17</v>
      </c>
      <c r="BS137" s="22">
        <f t="shared" si="117"/>
        <v>5.1292127164629626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6.0499999999999945</v>
      </c>
      <c r="BY137" s="12">
        <f>IF('Données projet'!$A$114&gt;35,BY136+BX137-CG136,IF(A137&lt;'Données projet'!$A$114,$BV$205^A137,IF(A137='Données projet'!$A$114,'Données projet'!$B$114,BY136+BX137-CG136)))</f>
        <v>312.75512820512876</v>
      </c>
      <c r="BZ137" s="13">
        <f>BY137*VLOOKUP('Données projet'!$B$12,Paramètres!$A$1:$I$89,3,0)*VLOOKUP('Données projet'!$B$12,Paramètres!$A$1:$I$89,5,0)</f>
        <v>282.98084000000051</v>
      </c>
      <c r="CA137" s="13">
        <f t="shared" si="147"/>
        <v>67.596557297639322</v>
      </c>
      <c r="CB137" s="20">
        <f t="shared" si="118"/>
        <v>610.58896696005604</v>
      </c>
      <c r="CC137" s="59">
        <f t="shared" si="119"/>
        <v>903.9223002933893</v>
      </c>
      <c r="CD137" s="59">
        <f ca="1">AVERAGE(OFFSET($CC$3,0,0,'Données projet'!$E$12+1,1))-AVERAGE(OFFSET($H$3,0,0,'Données projet'!$E$12+1,1))</f>
        <v>437.94387006020412</v>
      </c>
      <c r="CE137" s="59">
        <f t="shared" si="148"/>
        <v>213.95083535531376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37.836913199923394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37.836913199923394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5.4001247917767614E-13</v>
      </c>
      <c r="CU137" s="17">
        <f>CT137*VLOOKUP('Données projet'!$B$13,Paramètres!$A$1:$I$89,3,0)*VLOOKUP('Données projet'!$B$13,Paramètres!$A$1:$I$89,5,0)</f>
        <v>2.5974600248446226E-13</v>
      </c>
      <c r="CV137" s="13">
        <f t="shared" si="149"/>
        <v>3.4917846266292826E-12</v>
      </c>
      <c r="CW137" s="20">
        <f t="shared" si="121"/>
        <v>6.5339158457064384E-12</v>
      </c>
      <c r="CX137" s="59">
        <f t="shared" si="122"/>
        <v>293.33333333333985</v>
      </c>
      <c r="CY137" s="59">
        <f ca="1">AVERAGE(OFFSET($CX$3,0,0,'Données projet'!$E$13+1,1))-AVERAGE(OFFSET($H$3,0,0,'Données projet'!$E$13+1,1))</f>
        <v>258.42493116335032</v>
      </c>
      <c r="CZ137" s="59">
        <f t="shared" si="150"/>
        <v>102.46122697336466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101.1792182401702</v>
      </c>
      <c r="DG137" s="21">
        <f>EXP(-LN(2)/25)*DG136+(1-EXP(-LN(2)/25))/(LN(2)/25)*Calculateur!DB137*Calculateur!DD137*VLOOKUP('Données projet'!$B$13,Paramètres!$A$1:$I$89,3,0)*0.475*44/12</f>
        <v>20.828416510385949</v>
      </c>
      <c r="DH137" s="21">
        <f>EXP(-LN(2)/2)*DH136+(1-EXP(-LN(2)/2))/(LN(2)/2)*DB137*DE137*VLOOKUP('Données projet'!$B$13,Paramètres!$A$1:$I$89,3,0)*0.475*44/12</f>
        <v>9.7077143965861618E-2</v>
      </c>
      <c r="DI137" s="22">
        <f t="shared" si="123"/>
        <v>122.10471189452201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243</v>
      </c>
      <c r="DP137" s="17">
        <f>DO137*VLOOKUP('Données projet'!$B$14,Paramètres!$A$1:$I$89,3,0)*VLOOKUP('Données projet'!$B$14,Paramètres!$A$1:$I$89,5,0)</f>
        <v>212.28480000000002</v>
      </c>
      <c r="DQ137" s="13">
        <f t="shared" si="151"/>
        <v>52.434557099704193</v>
      </c>
      <c r="DR137" s="20">
        <f t="shared" si="124"/>
        <v>461.05288028198476</v>
      </c>
      <c r="DS137" s="59">
        <f t="shared" si="125"/>
        <v>754.38621361531807</v>
      </c>
      <c r="DT137" s="59">
        <f ca="1">AVERAGE(OFFSET($DS$3,0,0,'Données projet'!$E$14+1,1))-AVERAGE(OFFSET($H$3,0,0,'Données projet'!$E$14+1,1))</f>
        <v>354.24684313982857</v>
      </c>
      <c r="DU137" s="59">
        <f t="shared" si="152"/>
        <v>322.65043486962185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13.898769685846863</v>
      </c>
      <c r="EB137" s="21">
        <f>EXP(-LN(2)/25)*EB136+(1-EXP(-LN(2)/25))/(LN(2)/25)*Calculateur!DW137*Calculateur!DY137*VLOOKUP('Données projet'!$B$14,Paramètres!$A$1:$I$89,3,0)*0.475*44/12</f>
        <v>5.8010875554187962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19.699857241265661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-6.7984728957526396E-14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355.09162485318728</v>
      </c>
      <c r="T138" s="59">
        <f t="shared" si="142"/>
        <v>320.06572891923685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55.435377226863778</v>
      </c>
      <c r="AA138" s="21">
        <f>EXP(-LN(2)/25)*AA137+(1-EXP(-LN(2)/25))/(LN(2)/25)*Calculateur!V138*Calculateur!X138*VLOOKUP('Données projet'!$B$9,Paramètres!$A$1:$I$89,3,0)*0.475*44/12</f>
        <v>8.260067954744823</v>
      </c>
      <c r="AB138" s="21">
        <f>EXP(-LN(2)/2)*AB137+(1-EXP(-LN(2)/2))/(LN(2)/2)*V138*Y138*VLOOKUP('Données projet'!$B$9,Paramètres!$A$1:$I$89,3,0)*0.475*44/12</f>
        <v>6.1495064906058944E-8</v>
      </c>
      <c r="AC138" s="22">
        <f t="shared" si="111"/>
        <v>63.69544524310367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5.1159076974727213E-13</v>
      </c>
      <c r="AJ138" s="13">
        <f>AI138*VLOOKUP('Données projet'!$B$10,Paramètres!$A$1:$I$89,3,0)*VLOOKUP('Données projet'!$B$10,Paramètres!$A$1:$I$89,5,0)</f>
        <v>2.3942448024172334E-13</v>
      </c>
      <c r="AK138" s="13">
        <f t="shared" si="143"/>
        <v>3.2492669905861755E-12</v>
      </c>
      <c r="AL138" s="20">
        <f t="shared" si="112"/>
        <v>6.0761376450252565E-12</v>
      </c>
      <c r="AM138" s="59">
        <f t="shared" si="113"/>
        <v>293.3333333333394</v>
      </c>
      <c r="AN138" s="59">
        <f ca="1">AVERAGE(OFFSET($AM$3,0,0,'Données projet'!$E$10+1,1))-AVERAGE(OFFSET($H$3,0,0,'Données projet'!$E$10+1,1))</f>
        <v>246.72166704460847</v>
      </c>
      <c r="AO138" s="59">
        <f t="shared" si="144"/>
        <v>145.54897745089966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79.901802687130328</v>
      </c>
      <c r="AV138" s="21">
        <f>EXP(-LN(2)/25)*AV137+(1-EXP(-LN(2)/25))/(LN(2)/25)*Calculateur!AQ138*Calculateur!AS138*VLOOKUP('Données projet'!$B$10,Paramètres!$A$1:$I$89,3,0)*0.475*44/12</f>
        <v>16.169056930008871</v>
      </c>
      <c r="AW138" s="21">
        <f>EXP(-LN(2)/2)*AW137+(1-EXP(-LN(2)/2))/(LN(2)/2)*AQ138*AT138*VLOOKUP('Données projet'!$B$10,Paramètres!$A$1:$I$89,3,0)*0.475*44/12</f>
        <v>2.2398302398331737E-3</v>
      </c>
      <c r="AX138" s="21">
        <f t="shared" si="114"/>
        <v>96.073099447379036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88.478637356802039</v>
      </c>
      <c r="BJ138" s="59">
        <f t="shared" si="146"/>
        <v>239.55411297259155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4.6282304297036587</v>
      </c>
      <c r="BQ138" s="21">
        <f>EXP(-LN(2)/25)*BQ137+(1-EXP(-LN(2)/25))/(LN(2)/25)*Calculateur!BL138*Calculateur!BN138*VLOOKUP('Données projet'!$B$11,Paramètres!$A$1:$I$89,3,0)*0.475*44/12</f>
        <v>0.39724223019294896</v>
      </c>
      <c r="BR138" s="21">
        <f>EXP(-LN(2)/2)*BR137+(1-EXP(-LN(2)/2))/(LN(2)/2)*BL138*BO138*VLOOKUP('Données projet'!$B$11,Paramètres!$A$1:$I$89,3,0)*0.475*44/12</f>
        <v>6.7505309277822757E-17</v>
      </c>
      <c r="BS138" s="22">
        <f t="shared" si="117"/>
        <v>5.0254726598966073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6.0499999999999945</v>
      </c>
      <c r="BY138" s="12">
        <f>IF('Données projet'!$A$114&gt;35,BY137+BX138-CG137,IF(A138&lt;'Données projet'!$A$114,$BV$205^A138,IF(A138='Données projet'!$A$114,'Données projet'!$B$114,BY137+BX138-CG137)))</f>
        <v>318.80512820512877</v>
      </c>
      <c r="BZ138" s="13">
        <f>BY138*VLOOKUP('Données projet'!$B$12,Paramètres!$A$1:$I$89,3,0)*VLOOKUP('Données projet'!$B$12,Paramètres!$A$1:$I$89,5,0)</f>
        <v>288.45488000000051</v>
      </c>
      <c r="CA138" s="13">
        <f t="shared" si="147"/>
        <v>68.750662742031764</v>
      </c>
      <c r="CB138" s="20">
        <f t="shared" si="118"/>
        <v>622.1329869423729</v>
      </c>
      <c r="CC138" s="59">
        <f t="shared" si="119"/>
        <v>915.46632027570627</v>
      </c>
      <c r="CD138" s="59">
        <f ca="1">AVERAGE(OFFSET($CC$3,0,0,'Données projet'!$E$12+1,1))-AVERAGE(OFFSET($H$3,0,0,'Données projet'!$E$12+1,1))</f>
        <v>437.94387006020412</v>
      </c>
      <c r="CE138" s="59">
        <f t="shared" si="148"/>
        <v>213.95083535531376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37.094954410311161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37.094954410311161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5.4001247917767614E-13</v>
      </c>
      <c r="CU138" s="17">
        <f>CT138*VLOOKUP('Données projet'!$B$13,Paramètres!$A$1:$I$89,3,0)*VLOOKUP('Données projet'!$B$13,Paramètres!$A$1:$I$89,5,0)</f>
        <v>2.5974600248446226E-13</v>
      </c>
      <c r="CV138" s="13">
        <f t="shared" si="149"/>
        <v>3.4917846266292826E-12</v>
      </c>
      <c r="CW138" s="20">
        <f t="shared" si="121"/>
        <v>6.5339158457064384E-12</v>
      </c>
      <c r="CX138" s="59">
        <f t="shared" si="122"/>
        <v>293.33333333333985</v>
      </c>
      <c r="CY138" s="59">
        <f ca="1">AVERAGE(OFFSET($CX$3,0,0,'Données projet'!$E$13+1,1))-AVERAGE(OFFSET($H$3,0,0,'Données projet'!$E$13+1,1))</f>
        <v>258.42493116335032</v>
      </c>
      <c r="CZ138" s="59">
        <f t="shared" si="150"/>
        <v>102.46122697336466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99.195155483709911</v>
      </c>
      <c r="DG138" s="21">
        <f>EXP(-LN(2)/25)*DG137+(1-EXP(-LN(2)/25))/(LN(2)/25)*Calculateur!DB138*Calculateur!DD138*VLOOKUP('Données projet'!$B$13,Paramètres!$A$1:$I$89,3,0)*0.475*44/12</f>
        <v>20.258862365590627</v>
      </c>
      <c r="DH138" s="21">
        <f>EXP(-LN(2)/2)*DH137+(1-EXP(-LN(2)/2))/(LN(2)/2)*DB138*DE138*VLOOKUP('Données projet'!$B$13,Paramètres!$A$1:$I$89,3,0)*0.475*44/12</f>
        <v>6.8643906796483481E-2</v>
      </c>
      <c r="DI138" s="22">
        <f t="shared" si="123"/>
        <v>119.52266175609702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243</v>
      </c>
      <c r="DP138" s="17">
        <f>DO138*VLOOKUP('Données projet'!$B$14,Paramètres!$A$1:$I$89,3,0)*VLOOKUP('Données projet'!$B$14,Paramètres!$A$1:$I$89,5,0)</f>
        <v>212.28480000000002</v>
      </c>
      <c r="DQ138" s="13">
        <f t="shared" si="151"/>
        <v>52.434557099704193</v>
      </c>
      <c r="DR138" s="20">
        <f t="shared" si="124"/>
        <v>461.05288028198476</v>
      </c>
      <c r="DS138" s="59">
        <f t="shared" si="125"/>
        <v>754.38621361531807</v>
      </c>
      <c r="DT138" s="59">
        <f ca="1">AVERAGE(OFFSET($DS$3,0,0,'Données projet'!$E$14+1,1))-AVERAGE(OFFSET($H$3,0,0,'Données projet'!$E$14+1,1))</f>
        <v>354.24684313982857</v>
      </c>
      <c r="DU138" s="59">
        <f t="shared" si="152"/>
        <v>322.65043486962185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13.626223289719841</v>
      </c>
      <c r="EB138" s="21">
        <f>EXP(-LN(2)/25)*EB137+(1-EXP(-LN(2)/25))/(LN(2)/25)*Calculateur!DW138*Calculateur!DY138*VLOOKUP('Données projet'!$B$14,Paramètres!$A$1:$I$89,3,0)*0.475*44/12</f>
        <v>5.6424565111499332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19.268679800869773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-6.7984728957526396E-14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355.09162485318728</v>
      </c>
      <c r="T139" s="59">
        <f t="shared" si="142"/>
        <v>320.06572891923685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54.348323291686405</v>
      </c>
      <c r="AA139" s="21">
        <f>EXP(-LN(2)/25)*AA138+(1-EXP(-LN(2)/25))/(LN(2)/25)*Calculateur!V139*Calculateur!X139*VLOOKUP('Données projet'!$B$9,Paramètres!$A$1:$I$89,3,0)*0.475*44/12</f>
        <v>8.0341959621442314</v>
      </c>
      <c r="AB139" s="21">
        <f>EXP(-LN(2)/2)*AB138+(1-EXP(-LN(2)/2))/(LN(2)/2)*V139*Y139*VLOOKUP('Données projet'!$B$9,Paramètres!$A$1:$I$89,3,0)*0.475*44/12</f>
        <v>4.348357740458116E-8</v>
      </c>
      <c r="AC139" s="22">
        <f t="shared" si="111"/>
        <v>62.382519297314211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5.1159076974727213E-13</v>
      </c>
      <c r="AJ139" s="13">
        <f>AI139*VLOOKUP('Données projet'!$B$10,Paramètres!$A$1:$I$89,3,0)*VLOOKUP('Données projet'!$B$10,Paramètres!$A$1:$I$89,5,0)</f>
        <v>2.3942448024172334E-13</v>
      </c>
      <c r="AK139" s="13">
        <f t="shared" si="143"/>
        <v>3.2492669905861755E-12</v>
      </c>
      <c r="AL139" s="20">
        <f t="shared" si="112"/>
        <v>6.0761376450252565E-12</v>
      </c>
      <c r="AM139" s="59">
        <f t="shared" si="113"/>
        <v>293.3333333333394</v>
      </c>
      <c r="AN139" s="59">
        <f ca="1">AVERAGE(OFFSET($AM$3,0,0,'Données projet'!$E$10+1,1))-AVERAGE(OFFSET($H$3,0,0,'Données projet'!$E$10+1,1))</f>
        <v>246.72166704460847</v>
      </c>
      <c r="AO139" s="59">
        <f t="shared" si="144"/>
        <v>145.54897745089966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78.334977071723131</v>
      </c>
      <c r="AV139" s="21">
        <f>EXP(-LN(2)/25)*AV138+(1-EXP(-LN(2)/25))/(LN(2)/25)*Calculateur!AQ139*Calculateur!AS139*VLOOKUP('Données projet'!$B$10,Paramètres!$A$1:$I$89,3,0)*0.475*44/12</f>
        <v>15.726913217964029</v>
      </c>
      <c r="AW139" s="21">
        <f>EXP(-LN(2)/2)*AW138+(1-EXP(-LN(2)/2))/(LN(2)/2)*AQ139*AT139*VLOOKUP('Données projet'!$B$10,Paramètres!$A$1:$I$89,3,0)*0.475*44/12</f>
        <v>1.5837991512927282E-3</v>
      </c>
      <c r="AX139" s="21">
        <f t="shared" si="114"/>
        <v>94.063474088838447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88.478637356802039</v>
      </c>
      <c r="BJ139" s="59">
        <f t="shared" si="146"/>
        <v>239.55411297259155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4.5374736539189895</v>
      </c>
      <c r="BQ139" s="21">
        <f>EXP(-LN(2)/25)*BQ138+(1-EXP(-LN(2)/25))/(LN(2)/25)*Calculateur!BL139*Calculateur!BN139*VLOOKUP('Données projet'!$B$11,Paramètres!$A$1:$I$89,3,0)*0.475*44/12</f>
        <v>0.3863796205182618</v>
      </c>
      <c r="BR139" s="21">
        <f>EXP(-LN(2)/2)*BR138+(1-EXP(-LN(2)/2))/(LN(2)/2)*BL139*BO139*VLOOKUP('Données projet'!$B$11,Paramètres!$A$1:$I$89,3,0)*0.475*44/12</f>
        <v>4.7733461956443633E-17</v>
      </c>
      <c r="BS139" s="22">
        <f t="shared" si="117"/>
        <v>4.923853274437251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6.0499999999999945</v>
      </c>
      <c r="BY139" s="12">
        <f>IF('Données projet'!$A$114&gt;35,BY138+BX139-CG138,IF(A139&lt;'Données projet'!$A$114,$BV$205^A139,IF(A139='Données projet'!$A$114,'Données projet'!$B$114,BY138+BX139-CG138)))</f>
        <v>324.85512820512878</v>
      </c>
      <c r="BZ139" s="13">
        <f>BY139*VLOOKUP('Données projet'!$B$12,Paramètres!$A$1:$I$89,3,0)*VLOOKUP('Données projet'!$B$12,Paramètres!$A$1:$I$89,5,0)</f>
        <v>293.92892000000046</v>
      </c>
      <c r="CA139" s="13">
        <f t="shared" si="147"/>
        <v>69.902221493819852</v>
      </c>
      <c r="CB139" s="20">
        <f t="shared" si="118"/>
        <v>633.67257143507038</v>
      </c>
      <c r="CC139" s="59">
        <f t="shared" si="119"/>
        <v>927.00590476840375</v>
      </c>
      <c r="CD139" s="59">
        <f ca="1">AVERAGE(OFFSET($CC$3,0,0,'Données projet'!$E$12+1,1))-AVERAGE(OFFSET($H$3,0,0,'Données projet'!$E$12+1,1))</f>
        <v>437.94387006020412</v>
      </c>
      <c r="CE139" s="59">
        <f t="shared" si="148"/>
        <v>213.95083535531376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36.367544980013051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36.367544980013051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5.4001247917767614E-13</v>
      </c>
      <c r="CU139" s="17">
        <f>CT139*VLOOKUP('Données projet'!$B$13,Paramètres!$A$1:$I$89,3,0)*VLOOKUP('Données projet'!$B$13,Paramètres!$A$1:$I$89,5,0)</f>
        <v>2.5974600248446226E-13</v>
      </c>
      <c r="CV139" s="13">
        <f t="shared" si="149"/>
        <v>3.4917846266292826E-12</v>
      </c>
      <c r="CW139" s="20">
        <f t="shared" si="121"/>
        <v>6.5339158457064384E-12</v>
      </c>
      <c r="CX139" s="59">
        <f t="shared" si="122"/>
        <v>293.33333333333985</v>
      </c>
      <c r="CY139" s="59">
        <f ca="1">AVERAGE(OFFSET($CX$3,0,0,'Données projet'!$E$13+1,1))-AVERAGE(OFFSET($H$3,0,0,'Données projet'!$E$13+1,1))</f>
        <v>258.42493116335032</v>
      </c>
      <c r="CZ139" s="59">
        <f t="shared" si="150"/>
        <v>102.46122697336466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97.249998987745016</v>
      </c>
      <c r="DG139" s="21">
        <f>EXP(-LN(2)/25)*DG138+(1-EXP(-LN(2)/25))/(LN(2)/25)*Calculateur!DB139*Calculateur!DD139*VLOOKUP('Données projet'!$B$13,Paramètres!$A$1:$I$89,3,0)*0.475*44/12</f>
        <v>19.70488270883628</v>
      </c>
      <c r="DH139" s="21">
        <f>EXP(-LN(2)/2)*DH138+(1-EXP(-LN(2)/2))/(LN(2)/2)*DB139*DE139*VLOOKUP('Données projet'!$B$13,Paramètres!$A$1:$I$89,3,0)*0.475*44/12</f>
        <v>4.8538571982930809E-2</v>
      </c>
      <c r="DI139" s="22">
        <f t="shared" si="123"/>
        <v>117.00342026856423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243</v>
      </c>
      <c r="DP139" s="17">
        <f>DO139*VLOOKUP('Données projet'!$B$14,Paramètres!$A$1:$I$89,3,0)*VLOOKUP('Données projet'!$B$14,Paramètres!$A$1:$I$89,5,0)</f>
        <v>212.28480000000002</v>
      </c>
      <c r="DQ139" s="13">
        <f t="shared" si="151"/>
        <v>52.434557099704193</v>
      </c>
      <c r="DR139" s="20">
        <f t="shared" si="124"/>
        <v>461.05288028198476</v>
      </c>
      <c r="DS139" s="59">
        <f t="shared" si="125"/>
        <v>754.38621361531807</v>
      </c>
      <c r="DT139" s="59">
        <f ca="1">AVERAGE(OFFSET($DS$3,0,0,'Données projet'!$E$14+1,1))-AVERAGE(OFFSET($H$3,0,0,'Données projet'!$E$14+1,1))</f>
        <v>354.24684313982857</v>
      </c>
      <c r="DU139" s="59">
        <f t="shared" si="152"/>
        <v>322.65043486962185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13.359021362183981</v>
      </c>
      <c r="EB139" s="21">
        <f>EXP(-LN(2)/25)*EB138+(1-EXP(-LN(2)/25))/(LN(2)/25)*Calculateur!DW139*Calculateur!DY139*VLOOKUP('Données projet'!$B$14,Paramètres!$A$1:$I$89,3,0)*0.475*44/12</f>
        <v>5.4881632411286461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18.847184603312627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-6.7984728957526396E-14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355.09162485318728</v>
      </c>
      <c r="T140" s="59">
        <f t="shared" si="142"/>
        <v>320.06572891923685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53.28258582114043</v>
      </c>
      <c r="AA140" s="21">
        <f>EXP(-LN(2)/25)*AA139+(1-EXP(-LN(2)/25))/(LN(2)/25)*Calculateur!V140*Calculateur!X140*VLOOKUP('Données projet'!$B$9,Paramètres!$A$1:$I$89,3,0)*0.475*44/12</f>
        <v>7.8145004510593941</v>
      </c>
      <c r="AB140" s="21">
        <f>EXP(-LN(2)/2)*AB139+(1-EXP(-LN(2)/2))/(LN(2)/2)*V140*Y140*VLOOKUP('Données projet'!$B$9,Paramètres!$A$1:$I$89,3,0)*0.475*44/12</f>
        <v>3.0747532453029472E-8</v>
      </c>
      <c r="AC140" s="22">
        <f t="shared" si="111"/>
        <v>61.097086302947353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5.1159076974727213E-13</v>
      </c>
      <c r="AJ140" s="13">
        <f>AI140*VLOOKUP('Données projet'!$B$10,Paramètres!$A$1:$I$89,3,0)*VLOOKUP('Données projet'!$B$10,Paramètres!$A$1:$I$89,5,0)</f>
        <v>2.3942448024172334E-13</v>
      </c>
      <c r="AK140" s="13">
        <f t="shared" si="143"/>
        <v>3.2492669905861755E-12</v>
      </c>
      <c r="AL140" s="20">
        <f t="shared" si="112"/>
        <v>6.0761376450252565E-12</v>
      </c>
      <c r="AM140" s="59">
        <f t="shared" si="113"/>
        <v>293.3333333333394</v>
      </c>
      <c r="AN140" s="59">
        <f ca="1">AVERAGE(OFFSET($AM$3,0,0,'Données projet'!$E$10+1,1))-AVERAGE(OFFSET($H$3,0,0,'Données projet'!$E$10+1,1))</f>
        <v>246.72166704460847</v>
      </c>
      <c r="AO140" s="59">
        <f t="shared" si="144"/>
        <v>145.54897745089966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76.798875950964813</v>
      </c>
      <c r="AV140" s="21">
        <f>EXP(-LN(2)/25)*AV139+(1-EXP(-LN(2)/25))/(LN(2)/25)*Calculateur!AQ140*Calculateur!AS140*VLOOKUP('Données projet'!$B$10,Paramètres!$A$1:$I$89,3,0)*0.475*44/12</f>
        <v>15.296859948976381</v>
      </c>
      <c r="AW140" s="21">
        <f>EXP(-LN(2)/2)*AW139+(1-EXP(-LN(2)/2))/(LN(2)/2)*AQ140*AT140*VLOOKUP('Données projet'!$B$10,Paramètres!$A$1:$I$89,3,0)*0.475*44/12</f>
        <v>1.1199151199165868E-3</v>
      </c>
      <c r="AX140" s="21">
        <f t="shared" si="114"/>
        <v>92.096855815061105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88.478637356802039</v>
      </c>
      <c r="BJ140" s="59">
        <f t="shared" si="146"/>
        <v>239.55411297259155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4.4484965631512905</v>
      </c>
      <c r="BQ140" s="21">
        <f>EXP(-LN(2)/25)*BQ139+(1-EXP(-LN(2)/25))/(LN(2)/25)*Calculateur!BL140*Calculateur!BN140*VLOOKUP('Données projet'!$B$11,Paramètres!$A$1:$I$89,3,0)*0.475*44/12</f>
        <v>0.37581404947636876</v>
      </c>
      <c r="BR140" s="21">
        <f>EXP(-LN(2)/2)*BR139+(1-EXP(-LN(2)/2))/(LN(2)/2)*BL140*BO140*VLOOKUP('Données projet'!$B$11,Paramètres!$A$1:$I$89,3,0)*0.475*44/12</f>
        <v>3.3752654638911379E-17</v>
      </c>
      <c r="BS140" s="22">
        <f t="shared" si="117"/>
        <v>4.8243106126276594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6.0499999999999945</v>
      </c>
      <c r="BY140" s="12">
        <f>IF('Données projet'!$A$114&gt;35,BY139+BX140-CG139,IF(A140&lt;'Données projet'!$A$114,$BV$205^A140,IF(A140='Données projet'!$A$114,'Données projet'!$B$114,BY139+BX140-CG139)))</f>
        <v>330.90512820512879</v>
      </c>
      <c r="BZ140" s="13">
        <f>BY140*VLOOKUP('Données projet'!$B$12,Paramètres!$A$1:$I$89,3,0)*VLOOKUP('Données projet'!$B$12,Paramètres!$A$1:$I$89,5,0)</f>
        <v>299.40296000000052</v>
      </c>
      <c r="CA140" s="13">
        <f t="shared" si="147"/>
        <v>71.051286451337646</v>
      </c>
      <c r="CB140" s="20">
        <f t="shared" si="118"/>
        <v>645.20781256941393</v>
      </c>
      <c r="CC140" s="59">
        <f t="shared" si="119"/>
        <v>938.5411459027473</v>
      </c>
      <c r="CD140" s="59">
        <f ca="1">AVERAGE(OFFSET($CC$3,0,0,'Données projet'!$E$12+1,1))-AVERAGE(OFFSET($H$3,0,0,'Données projet'!$E$12+1,1))</f>
        <v>437.94387006020412</v>
      </c>
      <c r="CE140" s="59">
        <f t="shared" si="148"/>
        <v>213.95083535531376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35.654399604967139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35.654399604967139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5.4001247917767614E-13</v>
      </c>
      <c r="CU140" s="17">
        <f>CT140*VLOOKUP('Données projet'!$B$13,Paramètres!$A$1:$I$89,3,0)*VLOOKUP('Données projet'!$B$13,Paramètres!$A$1:$I$89,5,0)</f>
        <v>2.5974600248446226E-13</v>
      </c>
      <c r="CV140" s="13">
        <f t="shared" si="149"/>
        <v>3.4917846266292826E-12</v>
      </c>
      <c r="CW140" s="20">
        <f t="shared" si="121"/>
        <v>6.5339158457064384E-12</v>
      </c>
      <c r="CX140" s="59">
        <f t="shared" si="122"/>
        <v>293.33333333333985</v>
      </c>
      <c r="CY140" s="59">
        <f ca="1">AVERAGE(OFFSET($CX$3,0,0,'Données projet'!$E$13+1,1))-AVERAGE(OFFSET($H$3,0,0,'Données projet'!$E$13+1,1))</f>
        <v>258.42493116335032</v>
      </c>
      <c r="CZ140" s="59">
        <f t="shared" si="150"/>
        <v>102.46122697336466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95.342985824237687</v>
      </c>
      <c r="DG140" s="21">
        <f>EXP(-LN(2)/25)*DG139+(1-EXP(-LN(2)/25))/(LN(2)/25)*Calculateur!DB140*Calculateur!DD140*VLOOKUP('Données projet'!$B$13,Paramètres!$A$1:$I$89,3,0)*0.475*44/12</f>
        <v>19.166051654928406</v>
      </c>
      <c r="DH140" s="21">
        <f>EXP(-LN(2)/2)*DH139+(1-EXP(-LN(2)/2))/(LN(2)/2)*DB140*DE140*VLOOKUP('Données projet'!$B$13,Paramètres!$A$1:$I$89,3,0)*0.475*44/12</f>
        <v>3.432195339824174E-2</v>
      </c>
      <c r="DI140" s="22">
        <f t="shared" si="123"/>
        <v>114.54335943256434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243</v>
      </c>
      <c r="DP140" s="17">
        <f>DO140*VLOOKUP('Données projet'!$B$14,Paramètres!$A$1:$I$89,3,0)*VLOOKUP('Données projet'!$B$14,Paramètres!$A$1:$I$89,5,0)</f>
        <v>212.28480000000002</v>
      </c>
      <c r="DQ140" s="13">
        <f t="shared" si="151"/>
        <v>52.434557099704193</v>
      </c>
      <c r="DR140" s="20">
        <f t="shared" si="124"/>
        <v>461.05288028198476</v>
      </c>
      <c r="DS140" s="59">
        <f t="shared" si="125"/>
        <v>754.38621361531807</v>
      </c>
      <c r="DT140" s="59">
        <f ca="1">AVERAGE(OFFSET($DS$3,0,0,'Données projet'!$E$14+1,1))-AVERAGE(OFFSET($H$3,0,0,'Données projet'!$E$14+1,1))</f>
        <v>354.24684313982857</v>
      </c>
      <c r="DU140" s="59">
        <f t="shared" si="152"/>
        <v>322.65043486962185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13.097059101470016</v>
      </c>
      <c r="EB140" s="21">
        <f>EXP(-LN(2)/25)*EB139+(1-EXP(-LN(2)/25))/(LN(2)/25)*Calculateur!DW140*Calculateur!DY140*VLOOKUP('Données projet'!$B$14,Paramètres!$A$1:$I$89,3,0)*0.475*44/12</f>
        <v>5.3380891286900214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18.435148230160038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-6.7984728957526396E-14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355.09162485318728</v>
      </c>
      <c r="T141" s="59">
        <f t="shared" si="142"/>
        <v>320.06572891923685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52.237746812356193</v>
      </c>
      <c r="AA141" s="21">
        <f>EXP(-LN(2)/25)*AA140+(1-EXP(-LN(2)/25))/(LN(2)/25)*Calculateur!V141*Calculateur!X141*VLOOKUP('Données projet'!$B$9,Paramètres!$A$1:$I$89,3,0)*0.475*44/12</f>
        <v>7.6008125252784566</v>
      </c>
      <c r="AB141" s="21">
        <f>EXP(-LN(2)/2)*AB140+(1-EXP(-LN(2)/2))/(LN(2)/2)*V141*Y141*VLOOKUP('Données projet'!$B$9,Paramètres!$A$1:$I$89,3,0)*0.475*44/12</f>
        <v>2.174178870229058E-8</v>
      </c>
      <c r="AC141" s="22">
        <f t="shared" si="111"/>
        <v>59.83855935937644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5.1159076974727213E-13</v>
      </c>
      <c r="AJ141" s="13">
        <f>AI141*VLOOKUP('Données projet'!$B$10,Paramètres!$A$1:$I$89,3,0)*VLOOKUP('Données projet'!$B$10,Paramètres!$A$1:$I$89,5,0)</f>
        <v>2.3942448024172334E-13</v>
      </c>
      <c r="AK141" s="13">
        <f t="shared" si="143"/>
        <v>3.2492669905861755E-12</v>
      </c>
      <c r="AL141" s="20">
        <f t="shared" si="112"/>
        <v>6.0761376450252565E-12</v>
      </c>
      <c r="AM141" s="59">
        <f t="shared" si="113"/>
        <v>293.3333333333394</v>
      </c>
      <c r="AN141" s="59">
        <f ca="1">AVERAGE(OFFSET($AM$3,0,0,'Données projet'!$E$10+1,1))-AVERAGE(OFFSET($H$3,0,0,'Données projet'!$E$10+1,1))</f>
        <v>246.72166704460847</v>
      </c>
      <c r="AO141" s="59">
        <f t="shared" si="144"/>
        <v>145.54897745089966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75.292896836255395</v>
      </c>
      <c r="AV141" s="21">
        <f>EXP(-LN(2)/25)*AV140+(1-EXP(-LN(2)/25))/(LN(2)/25)*Calculateur!AQ141*Calculateur!AS141*VLOOKUP('Données projet'!$B$10,Paramètres!$A$1:$I$89,3,0)*0.475*44/12</f>
        <v>14.878566509244719</v>
      </c>
      <c r="AW141" s="21">
        <f>EXP(-LN(2)/2)*AW140+(1-EXP(-LN(2)/2))/(LN(2)/2)*AQ141*AT141*VLOOKUP('Données projet'!$B$10,Paramètres!$A$1:$I$89,3,0)*0.475*44/12</f>
        <v>7.9189957564636411E-4</v>
      </c>
      <c r="AX141" s="21">
        <f t="shared" si="114"/>
        <v>90.17225524507576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88.478637356802039</v>
      </c>
      <c r="BJ141" s="59">
        <f t="shared" si="146"/>
        <v>239.55411297259155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4.3612642588628798</v>
      </c>
      <c r="BQ141" s="21">
        <f>EXP(-LN(2)/25)*BQ140+(1-EXP(-LN(2)/25))/(LN(2)/25)*Calculateur!BL141*Calculateur!BN141*VLOOKUP('Données projet'!$B$11,Paramètres!$A$1:$I$89,3,0)*0.475*44/12</f>
        <v>0.36553739453023554</v>
      </c>
      <c r="BR141" s="21">
        <f>EXP(-LN(2)/2)*BR140+(1-EXP(-LN(2)/2))/(LN(2)/2)*BL141*BO141*VLOOKUP('Données projet'!$B$11,Paramètres!$A$1:$I$89,3,0)*0.475*44/12</f>
        <v>2.3866730978221817E-17</v>
      </c>
      <c r="BS141" s="22">
        <f t="shared" si="117"/>
        <v>4.7268016533931156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>
        <f>VLOOKUP(A141,'Données projet'!$A$113:$I$133,2,0)</f>
        <v>336.95512820512818</v>
      </c>
      <c r="BW141" s="12">
        <f>VLOOKUP(A141,'Données projet'!$A$113:$I$133,9,0)</f>
        <v>6.0499999999999945</v>
      </c>
      <c r="BX141" s="12">
        <f t="array" ref="BX141">INDEX(BW:BW,MIN(IF(ISNUMBER(BW141:BW337),ROW(BW141:BW337),"")))</f>
        <v>6.0499999999999945</v>
      </c>
      <c r="BY141" s="12">
        <f>IF('Données projet'!$A$114&gt;35,BY140+BX141-CG140,IF(A141&lt;'Données projet'!$A$114,$BV$205^A141,IF(A141='Données projet'!$A$114,'Données projet'!$B$114,BY140+BX141-CG140)))</f>
        <v>336.9551282051288</v>
      </c>
      <c r="BZ141" s="13">
        <f>BY141*VLOOKUP('Données projet'!$B$12,Paramètres!$A$1:$I$89,3,0)*VLOOKUP('Données projet'!$B$12,Paramètres!$A$1:$I$89,5,0)</f>
        <v>304.87700000000052</v>
      </c>
      <c r="CA141" s="13">
        <f t="shared" si="147"/>
        <v>72.197908467878165</v>
      </c>
      <c r="CB141" s="20">
        <f t="shared" si="118"/>
        <v>656.73879891488866</v>
      </c>
      <c r="CC141" s="59">
        <f t="shared" si="119"/>
        <v>950.07213224822203</v>
      </c>
      <c r="CD141" s="59">
        <f ca="1">AVERAGE(OFFSET($CC$3,0,0,'Données projet'!$E$12+1,1))-AVERAGE(OFFSET($H$3,0,0,'Données projet'!$E$12+1,1))</f>
        <v>437.94387006020412</v>
      </c>
      <c r="CE141" s="59">
        <f t="shared" si="148"/>
        <v>213.95083535531376</v>
      </c>
      <c r="CF141" s="15">
        <f>IF(ISNA(VLOOKUP(A141,'Données projet'!$A$113:$I$133,3,0)),0,VLOOKUP(A141,'Données projet'!$A$113:$I$133,3,0))</f>
        <v>12</v>
      </c>
      <c r="CG141" s="15">
        <f>IF(ISNA(VLOOKUP(A141,'Données projet'!$A$113:$I$133,4,0)),0,VLOOKUP(A141,'Données projet'!$A$113:$I$133,4,0))</f>
        <v>41.987179487179489</v>
      </c>
      <c r="CH141" s="16">
        <f>IF(ISNA(VLOOKUP(A141,'Données projet'!$A$113:$I$133,5,0)),0%,VLOOKUP(A141,'Données projet'!$A$113:$I$133,5,0)*VLOOKUP('Données projet'!$B$12,Paramètres!$A$1:$I$89,7,0))</f>
        <v>0.30099999999999999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47.59628131100564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47.59628131100564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5.4001247917767614E-13</v>
      </c>
      <c r="CU141" s="17">
        <f>CT141*VLOOKUP('Données projet'!$B$13,Paramètres!$A$1:$I$89,3,0)*VLOOKUP('Données projet'!$B$13,Paramètres!$A$1:$I$89,5,0)</f>
        <v>2.5974600248446226E-13</v>
      </c>
      <c r="CV141" s="13">
        <f t="shared" si="149"/>
        <v>3.4917846266292826E-12</v>
      </c>
      <c r="CW141" s="20">
        <f t="shared" si="121"/>
        <v>6.5339158457064384E-12</v>
      </c>
      <c r="CX141" s="59">
        <f t="shared" si="122"/>
        <v>293.33333333333985</v>
      </c>
      <c r="CY141" s="59">
        <f ca="1">AVERAGE(OFFSET($CX$3,0,0,'Données projet'!$E$13+1,1))-AVERAGE(OFFSET($H$3,0,0,'Données projet'!$E$13+1,1))</f>
        <v>258.42493116335032</v>
      </c>
      <c r="CZ141" s="59">
        <f t="shared" si="150"/>
        <v>102.46122697336466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93.473368025703564</v>
      </c>
      <c r="DG141" s="21">
        <f>EXP(-LN(2)/25)*DG140+(1-EXP(-LN(2)/25))/(LN(2)/25)*Calculateur!DB141*Calculateur!DD141*VLOOKUP('Données projet'!$B$13,Paramètres!$A$1:$I$89,3,0)*0.475*44/12</f>
        <v>18.641954964525539</v>
      </c>
      <c r="DH141" s="21">
        <f>EXP(-LN(2)/2)*DH140+(1-EXP(-LN(2)/2))/(LN(2)/2)*DB141*DE141*VLOOKUP('Données projet'!$B$13,Paramètres!$A$1:$I$89,3,0)*0.475*44/12</f>
        <v>2.4269285991465404E-2</v>
      </c>
      <c r="DI141" s="22">
        <f t="shared" si="123"/>
        <v>112.13959227622057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243</v>
      </c>
      <c r="DP141" s="17">
        <f>DO141*VLOOKUP('Données projet'!$B$14,Paramètres!$A$1:$I$89,3,0)*VLOOKUP('Données projet'!$B$14,Paramètres!$A$1:$I$89,5,0)</f>
        <v>212.28480000000002</v>
      </c>
      <c r="DQ141" s="13">
        <f t="shared" si="151"/>
        <v>52.434557099704193</v>
      </c>
      <c r="DR141" s="20">
        <f t="shared" si="124"/>
        <v>461.05288028198476</v>
      </c>
      <c r="DS141" s="59">
        <f t="shared" si="125"/>
        <v>754.38621361531807</v>
      </c>
      <c r="DT141" s="59">
        <f ca="1">AVERAGE(OFFSET($DS$3,0,0,'Données projet'!$E$14+1,1))-AVERAGE(OFFSET($H$3,0,0,'Données projet'!$E$14+1,1))</f>
        <v>354.24684313982857</v>
      </c>
      <c r="DU141" s="59">
        <f t="shared" si="152"/>
        <v>322.65043486962185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12.84023376090745</v>
      </c>
      <c r="EB141" s="21">
        <f>EXP(-LN(2)/25)*EB140+(1-EXP(-LN(2)/25))/(LN(2)/25)*Calculateur!DW141*Calculateur!DY141*VLOOKUP('Données projet'!$B$14,Paramètres!$A$1:$I$89,3,0)*0.475*44/12</f>
        <v>5.1921188007480854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18.032352561655536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-6.7984728957526396E-14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355.09162485318728</v>
      </c>
      <c r="T142" s="59">
        <f t="shared" si="142"/>
        <v>320.06572891923685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51.213396459245345</v>
      </c>
      <c r="AA142" s="21">
        <f>EXP(-LN(2)/25)*AA141+(1-EXP(-LN(2)/25))/(LN(2)/25)*Calculateur!V142*Calculateur!X142*VLOOKUP('Données projet'!$B$9,Paramètres!$A$1:$I$89,3,0)*0.475*44/12</f>
        <v>7.3929679070653584</v>
      </c>
      <c r="AB142" s="21">
        <f>EXP(-LN(2)/2)*AB141+(1-EXP(-LN(2)/2))/(LN(2)/2)*V142*Y142*VLOOKUP('Données projet'!$B$9,Paramètres!$A$1:$I$89,3,0)*0.475*44/12</f>
        <v>1.5373766226514736E-8</v>
      </c>
      <c r="AC142" s="22">
        <f t="shared" si="111"/>
        <v>58.606364381684465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5.1159076974727213E-13</v>
      </c>
      <c r="AJ142" s="13">
        <f>AI142*VLOOKUP('Données projet'!$B$10,Paramètres!$A$1:$I$89,3,0)*VLOOKUP('Données projet'!$B$10,Paramètres!$A$1:$I$89,5,0)</f>
        <v>2.3942448024172334E-13</v>
      </c>
      <c r="AK142" s="13">
        <f t="shared" si="143"/>
        <v>3.2492669905861755E-12</v>
      </c>
      <c r="AL142" s="20">
        <f t="shared" si="112"/>
        <v>6.0761376450252565E-12</v>
      </c>
      <c r="AM142" s="59">
        <f t="shared" si="113"/>
        <v>293.3333333333394</v>
      </c>
      <c r="AN142" s="59">
        <f ca="1">AVERAGE(OFFSET($AM$3,0,0,'Données projet'!$E$10+1,1))-AVERAGE(OFFSET($H$3,0,0,'Données projet'!$E$10+1,1))</f>
        <v>246.72166704460847</v>
      </c>
      <c r="AO142" s="59">
        <f t="shared" si="144"/>
        <v>145.54897745089966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73.816449053428869</v>
      </c>
      <c r="AV142" s="21">
        <f>EXP(-LN(2)/25)*AV141+(1-EXP(-LN(2)/25))/(LN(2)/25)*Calculateur!AQ142*Calculateur!AS142*VLOOKUP('Données projet'!$B$10,Paramètres!$A$1:$I$89,3,0)*0.475*44/12</f>
        <v>14.471711325619614</v>
      </c>
      <c r="AW142" s="21">
        <f>EXP(-LN(2)/2)*AW141+(1-EXP(-LN(2)/2))/(LN(2)/2)*AQ142*AT142*VLOOKUP('Données projet'!$B$10,Paramètres!$A$1:$I$89,3,0)*0.475*44/12</f>
        <v>5.5995755995829342E-4</v>
      </c>
      <c r="AX142" s="21">
        <f t="shared" si="114"/>
        <v>88.288720336608435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88.478637356802039</v>
      </c>
      <c r="BJ142" s="59">
        <f t="shared" si="146"/>
        <v>239.55411297259155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4.2757425268551126</v>
      </c>
      <c r="BQ142" s="21">
        <f>EXP(-LN(2)/25)*BQ141+(1-EXP(-LN(2)/25))/(LN(2)/25)*Calculateur!BL142*Calculateur!BN142*VLOOKUP('Données projet'!$B$11,Paramètres!$A$1:$I$89,3,0)*0.475*44/12</f>
        <v>0.35554175525403009</v>
      </c>
      <c r="BR142" s="21">
        <f>EXP(-LN(2)/2)*BR141+(1-EXP(-LN(2)/2))/(LN(2)/2)*BL142*BO142*VLOOKUP('Données projet'!$B$11,Paramètres!$A$1:$I$89,3,0)*0.475*44/12</f>
        <v>1.6876327319455689E-17</v>
      </c>
      <c r="BS142" s="22">
        <f t="shared" si="117"/>
        <v>4.6312842821091422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6.1282051282051331</v>
      </c>
      <c r="BY142" s="12">
        <f>IF('Données projet'!$A$114&gt;35,BY141+BX142-CG141,IF(A142&lt;'Données projet'!$A$114,$BV$205^A142,IF(A142='Données projet'!$A$114,'Données projet'!$B$114,BY141+BX142-CG141)))</f>
        <v>301.09615384615444</v>
      </c>
      <c r="BZ142" s="13">
        <f>BY142*VLOOKUP('Données projet'!$B$12,Paramètres!$A$1:$I$89,3,0)*VLOOKUP('Données projet'!$B$12,Paramètres!$A$1:$I$89,5,0)</f>
        <v>272.43180000000052</v>
      </c>
      <c r="CA142" s="13">
        <f t="shared" si="147"/>
        <v>65.365088996942475</v>
      </c>
      <c r="CB142" s="20">
        <f t="shared" si="118"/>
        <v>588.32958166967569</v>
      </c>
      <c r="CC142" s="59">
        <f t="shared" si="119"/>
        <v>881.66291500300895</v>
      </c>
      <c r="CD142" s="59">
        <f ca="1">AVERAGE(OFFSET($CC$3,0,0,'Données projet'!$E$12+1,1))-AVERAGE(OFFSET($H$3,0,0,'Données projet'!$E$12+1,1))</f>
        <v>437.94387006020412</v>
      </c>
      <c r="CE142" s="59">
        <f t="shared" si="148"/>
        <v>213.95083535531376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46.662947265361858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46.662947265361858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5.4001247917767614E-13</v>
      </c>
      <c r="CU142" s="17">
        <f>CT142*VLOOKUP('Données projet'!$B$13,Paramètres!$A$1:$I$89,3,0)*VLOOKUP('Données projet'!$B$13,Paramètres!$A$1:$I$89,5,0)</f>
        <v>2.5974600248446226E-13</v>
      </c>
      <c r="CV142" s="13">
        <f t="shared" si="149"/>
        <v>3.4917846266292826E-12</v>
      </c>
      <c r="CW142" s="20">
        <f t="shared" si="121"/>
        <v>6.5339158457064384E-12</v>
      </c>
      <c r="CX142" s="59">
        <f t="shared" si="122"/>
        <v>293.33333333333985</v>
      </c>
      <c r="CY142" s="59">
        <f ca="1">AVERAGE(OFFSET($CX$3,0,0,'Données projet'!$E$13+1,1))-AVERAGE(OFFSET($H$3,0,0,'Données projet'!$E$13+1,1))</f>
        <v>258.42493116335032</v>
      </c>
      <c r="CZ142" s="59">
        <f t="shared" si="150"/>
        <v>102.46122697336466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91.640412291844441</v>
      </c>
      <c r="DG142" s="21">
        <f>EXP(-LN(2)/25)*DG141+(1-EXP(-LN(2)/25))/(LN(2)/25)*Calculateur!DB142*Calculateur!DD142*VLOOKUP('Données projet'!$B$13,Paramètres!$A$1:$I$89,3,0)*0.475*44/12</f>
        <v>18.132189725682782</v>
      </c>
      <c r="DH142" s="21">
        <f>EXP(-LN(2)/2)*DH141+(1-EXP(-LN(2)/2))/(LN(2)/2)*DB142*DE142*VLOOKUP('Données projet'!$B$13,Paramètres!$A$1:$I$89,3,0)*0.475*44/12</f>
        <v>1.716097669912087E-2</v>
      </c>
      <c r="DI142" s="22">
        <f t="shared" si="123"/>
        <v>109.78976299422634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243</v>
      </c>
      <c r="DP142" s="17">
        <f>DO142*VLOOKUP('Données projet'!$B$14,Paramètres!$A$1:$I$89,3,0)*VLOOKUP('Données projet'!$B$14,Paramètres!$A$1:$I$89,5,0)</f>
        <v>212.28480000000002</v>
      </c>
      <c r="DQ142" s="13">
        <f t="shared" si="151"/>
        <v>52.434557099704193</v>
      </c>
      <c r="DR142" s="20">
        <f t="shared" si="124"/>
        <v>461.05288028198476</v>
      </c>
      <c r="DS142" s="59">
        <f t="shared" si="125"/>
        <v>754.38621361531807</v>
      </c>
      <c r="DT142" s="59">
        <f ca="1">AVERAGE(OFFSET($DS$3,0,0,'Données projet'!$E$14+1,1))-AVERAGE(OFFSET($H$3,0,0,'Données projet'!$E$14+1,1))</f>
        <v>354.24684313982857</v>
      </c>
      <c r="DU142" s="59">
        <f t="shared" si="152"/>
        <v>322.65043486962185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12.588444608625327</v>
      </c>
      <c r="EB142" s="21">
        <f>EXP(-LN(2)/25)*EB141+(1-EXP(-LN(2)/25))/(LN(2)/25)*Calculateur!DW142*Calculateur!DY142*VLOOKUP('Données projet'!$B$14,Paramètres!$A$1:$I$89,3,0)*0.475*44/12</f>
        <v>5.0501400390999684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17.638584647725295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-6.7984728957526396E-14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355.09162485318728</v>
      </c>
      <c r="T143" s="59">
        <f t="shared" si="142"/>
        <v>320.06572891923685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50.209132991766978</v>
      </c>
      <c r="AA143" s="21">
        <f>EXP(-LN(2)/25)*AA142+(1-EXP(-LN(2)/25))/(LN(2)/25)*Calculateur!V143*Calculateur!X143*VLOOKUP('Données projet'!$B$9,Paramètres!$A$1:$I$89,3,0)*0.475*44/12</f>
        <v>7.1908068108673708</v>
      </c>
      <c r="AB143" s="21">
        <f>EXP(-LN(2)/2)*AB142+(1-EXP(-LN(2)/2))/(LN(2)/2)*V143*Y143*VLOOKUP('Données projet'!$B$9,Paramètres!$A$1:$I$89,3,0)*0.475*44/12</f>
        <v>1.087089435114529E-8</v>
      </c>
      <c r="AC143" s="22">
        <f t="shared" si="111"/>
        <v>57.399939813505242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5.1159076974727213E-13</v>
      </c>
      <c r="AJ143" s="13">
        <f>AI143*VLOOKUP('Données projet'!$B$10,Paramètres!$A$1:$I$89,3,0)*VLOOKUP('Données projet'!$B$10,Paramètres!$A$1:$I$89,5,0)</f>
        <v>2.3942448024172334E-13</v>
      </c>
      <c r="AK143" s="13">
        <f t="shared" si="143"/>
        <v>3.2492669905861755E-12</v>
      </c>
      <c r="AL143" s="20">
        <f t="shared" si="112"/>
        <v>6.0761376450252565E-12</v>
      </c>
      <c r="AM143" s="59">
        <f t="shared" si="113"/>
        <v>293.3333333333394</v>
      </c>
      <c r="AN143" s="59">
        <f ca="1">AVERAGE(OFFSET($AM$3,0,0,'Données projet'!$E$10+1,1))-AVERAGE(OFFSET($H$3,0,0,'Données projet'!$E$10+1,1))</f>
        <v>246.72166704460847</v>
      </c>
      <c r="AO143" s="59">
        <f t="shared" si="144"/>
        <v>145.54897745089966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72.36895351107934</v>
      </c>
      <c r="AV143" s="21">
        <f>EXP(-LN(2)/25)*AV142+(1-EXP(-LN(2)/25))/(LN(2)/25)*Calculateur!AQ143*Calculateur!AS143*VLOOKUP('Données projet'!$B$10,Paramètres!$A$1:$I$89,3,0)*0.475*44/12</f>
        <v>14.075981618386322</v>
      </c>
      <c r="AW143" s="21">
        <f>EXP(-LN(2)/2)*AW142+(1-EXP(-LN(2)/2))/(LN(2)/2)*AQ143*AT143*VLOOKUP('Données projet'!$B$10,Paramètres!$A$1:$I$89,3,0)*0.475*44/12</f>
        <v>3.9594978782318206E-4</v>
      </c>
      <c r="AX143" s="21">
        <f t="shared" si="114"/>
        <v>86.445331079253492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88.478637356802039</v>
      </c>
      <c r="BJ143" s="59">
        <f t="shared" si="146"/>
        <v>239.55411297259155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4.1918978238489117</v>
      </c>
      <c r="BQ143" s="21">
        <f>EXP(-LN(2)/25)*BQ142+(1-EXP(-LN(2)/25))/(LN(2)/25)*Calculateur!BL143*Calculateur!BN143*VLOOKUP('Données projet'!$B$11,Paramètres!$A$1:$I$89,3,0)*0.475*44/12</f>
        <v>0.34581944725948033</v>
      </c>
      <c r="BR143" s="21">
        <f>EXP(-LN(2)/2)*BR142+(1-EXP(-LN(2)/2))/(LN(2)/2)*BL143*BO143*VLOOKUP('Données projet'!$B$11,Paramètres!$A$1:$I$89,3,0)*0.475*44/12</f>
        <v>1.1933365489110908E-17</v>
      </c>
      <c r="BS143" s="22">
        <f t="shared" si="117"/>
        <v>4.5377172711083924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6.1282051282051331</v>
      </c>
      <c r="BY143" s="12">
        <f>IF('Données projet'!$A$114&gt;35,BY142+BX143-CG142,IF(A143&lt;'Données projet'!$A$114,$BV$205^A143,IF(A143='Données projet'!$A$114,'Données projet'!$B$114,BY142+BX143-CG142)))</f>
        <v>307.22435897435957</v>
      </c>
      <c r="BZ143" s="13">
        <f>BY143*VLOOKUP('Données projet'!$B$12,Paramètres!$A$1:$I$89,3,0)*VLOOKUP('Données projet'!$B$12,Paramètres!$A$1:$I$89,5,0)</f>
        <v>277.97660000000053</v>
      </c>
      <c r="CA143" s="13">
        <f t="shared" si="147"/>
        <v>66.539225969457817</v>
      </c>
      <c r="CB143" s="20">
        <f t="shared" si="118"/>
        <v>600.03173023013994</v>
      </c>
      <c r="CC143" s="59">
        <f t="shared" si="119"/>
        <v>893.36506356347331</v>
      </c>
      <c r="CD143" s="59">
        <f ca="1">AVERAGE(OFFSET($CC$3,0,0,'Données projet'!$E$12+1,1))-AVERAGE(OFFSET($H$3,0,0,'Données projet'!$E$12+1,1))</f>
        <v>437.94387006020412</v>
      </c>
      <c r="CE143" s="59">
        <f t="shared" si="148"/>
        <v>213.95083535531376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45.747915331075596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45.747915331075596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5.4001247917767614E-13</v>
      </c>
      <c r="CU143" s="17">
        <f>CT143*VLOOKUP('Données projet'!$B$13,Paramètres!$A$1:$I$89,3,0)*VLOOKUP('Données projet'!$B$13,Paramètres!$A$1:$I$89,5,0)</f>
        <v>2.5974600248446226E-13</v>
      </c>
      <c r="CV143" s="13">
        <f t="shared" si="149"/>
        <v>3.4917846266292826E-12</v>
      </c>
      <c r="CW143" s="20">
        <f t="shared" si="121"/>
        <v>6.5339158457064384E-12</v>
      </c>
      <c r="CX143" s="59">
        <f t="shared" si="122"/>
        <v>293.33333333333985</v>
      </c>
      <c r="CY143" s="59">
        <f ca="1">AVERAGE(OFFSET($CX$3,0,0,'Données projet'!$E$13+1,1))-AVERAGE(OFFSET($H$3,0,0,'Données projet'!$E$13+1,1))</f>
        <v>258.42493116335032</v>
      </c>
      <c r="CZ143" s="59">
        <f t="shared" si="150"/>
        <v>102.46122697336466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89.843399701933677</v>
      </c>
      <c r="DG143" s="21">
        <f>EXP(-LN(2)/25)*DG142+(1-EXP(-LN(2)/25))/(LN(2)/25)*Calculateur!DB143*Calculateur!DD143*VLOOKUP('Données projet'!$B$13,Paramètres!$A$1:$I$89,3,0)*0.475*44/12</f>
        <v>17.636364044103569</v>
      </c>
      <c r="DH143" s="21">
        <f>EXP(-LN(2)/2)*DH142+(1-EXP(-LN(2)/2))/(LN(2)/2)*DB143*DE143*VLOOKUP('Données projet'!$B$13,Paramètres!$A$1:$I$89,3,0)*0.475*44/12</f>
        <v>1.2134642995732702E-2</v>
      </c>
      <c r="DI143" s="22">
        <f t="shared" si="123"/>
        <v>107.49189838903298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243</v>
      </c>
      <c r="DP143" s="17">
        <f>DO143*VLOOKUP('Données projet'!$B$14,Paramètres!$A$1:$I$89,3,0)*VLOOKUP('Données projet'!$B$14,Paramètres!$A$1:$I$89,5,0)</f>
        <v>212.28480000000002</v>
      </c>
      <c r="DQ143" s="13">
        <f t="shared" si="151"/>
        <v>52.434557099704193</v>
      </c>
      <c r="DR143" s="20">
        <f t="shared" si="124"/>
        <v>461.05288028198476</v>
      </c>
      <c r="DS143" s="59">
        <f t="shared" si="125"/>
        <v>754.38621361531807</v>
      </c>
      <c r="DT143" s="59">
        <f ca="1">AVERAGE(OFFSET($DS$3,0,0,'Données projet'!$E$14+1,1))-AVERAGE(OFFSET($H$3,0,0,'Données projet'!$E$14+1,1))</f>
        <v>354.24684313982857</v>
      </c>
      <c r="DU143" s="59">
        <f t="shared" si="152"/>
        <v>322.65043486962185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12.341592888043238</v>
      </c>
      <c r="EB143" s="21">
        <f>EXP(-LN(2)/25)*EB142+(1-EXP(-LN(2)/25))/(LN(2)/25)*Calculateur!DW143*Calculateur!DY143*VLOOKUP('Données projet'!$B$14,Paramètres!$A$1:$I$89,3,0)*0.475*44/12</f>
        <v>4.9120436941554573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17.253636582198695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-6.7984728957526396E-14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355.09162485318728</v>
      </c>
      <c r="T144" s="59">
        <f t="shared" si="142"/>
        <v>320.06572891923685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49.224562518345628</v>
      </c>
      <c r="AA144" s="21">
        <f>EXP(-LN(2)/25)*AA143+(1-EXP(-LN(2)/25))/(LN(2)/25)*Calculateur!V144*Calculateur!X144*VLOOKUP('Données projet'!$B$9,Paramètres!$A$1:$I$89,3,0)*0.475*44/12</f>
        <v>6.9941738204761075</v>
      </c>
      <c r="AB144" s="21">
        <f>EXP(-LN(2)/2)*AB143+(1-EXP(-LN(2)/2))/(LN(2)/2)*V144*Y144*VLOOKUP('Données projet'!$B$9,Paramètres!$A$1:$I$89,3,0)*0.475*44/12</f>
        <v>7.686883113257368E-9</v>
      </c>
      <c r="AC144" s="22">
        <f t="shared" si="111"/>
        <v>56.218736346508621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5.1159076974727213E-13</v>
      </c>
      <c r="AJ144" s="13">
        <f>AI144*VLOOKUP('Données projet'!$B$10,Paramètres!$A$1:$I$89,3,0)*VLOOKUP('Données projet'!$B$10,Paramètres!$A$1:$I$89,5,0)</f>
        <v>2.3942448024172334E-13</v>
      </c>
      <c r="AK144" s="13">
        <f t="shared" si="143"/>
        <v>3.2492669905861755E-12</v>
      </c>
      <c r="AL144" s="20">
        <f t="shared" si="112"/>
        <v>6.0761376450252565E-12</v>
      </c>
      <c r="AM144" s="59">
        <f t="shared" si="113"/>
        <v>293.3333333333394</v>
      </c>
      <c r="AN144" s="59">
        <f ca="1">AVERAGE(OFFSET($AM$3,0,0,'Données projet'!$E$10+1,1))-AVERAGE(OFFSET($H$3,0,0,'Données projet'!$E$10+1,1))</f>
        <v>246.72166704460847</v>
      </c>
      <c r="AO144" s="59">
        <f t="shared" si="144"/>
        <v>145.54897745089966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70.949842473430181</v>
      </c>
      <c r="AV144" s="21">
        <f>EXP(-LN(2)/25)*AV143+(1-EXP(-LN(2)/25))/(LN(2)/25)*Calculateur!AQ144*Calculateur!AS144*VLOOKUP('Données projet'!$B$10,Paramètres!$A$1:$I$89,3,0)*0.475*44/12</f>
        <v>13.691073160807846</v>
      </c>
      <c r="AW144" s="21">
        <f>EXP(-LN(2)/2)*AW143+(1-EXP(-LN(2)/2))/(LN(2)/2)*AQ144*AT144*VLOOKUP('Données projet'!$B$10,Paramètres!$A$1:$I$89,3,0)*0.475*44/12</f>
        <v>2.7997877997914671E-4</v>
      </c>
      <c r="AX144" s="21">
        <f t="shared" si="114"/>
        <v>84.641195613018013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88.478637356802039</v>
      </c>
      <c r="BJ144" s="59">
        <f t="shared" si="146"/>
        <v>239.55411297259155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4.1096972643284433</v>
      </c>
      <c r="BQ144" s="21">
        <f>EXP(-LN(2)/25)*BQ143+(1-EXP(-LN(2)/25))/(LN(2)/25)*Calculateur!BL144*Calculateur!BN144*VLOOKUP('Données projet'!$B$11,Paramètres!$A$1:$I$89,3,0)*0.475*44/12</f>
        <v>0.33636299628831551</v>
      </c>
      <c r="BR144" s="21">
        <f>EXP(-LN(2)/2)*BR143+(1-EXP(-LN(2)/2))/(LN(2)/2)*BL144*BO144*VLOOKUP('Données projet'!$B$11,Paramètres!$A$1:$I$89,3,0)*0.475*44/12</f>
        <v>8.4381636597278447E-18</v>
      </c>
      <c r="BS144" s="22">
        <f t="shared" si="117"/>
        <v>4.4460602606167585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6.1282051282051331</v>
      </c>
      <c r="BY144" s="12">
        <f>IF('Données projet'!$A$114&gt;35,BY143+BX144-CG143,IF(A144&lt;'Données projet'!$A$114,$BV$205^A144,IF(A144='Données projet'!$A$114,'Données projet'!$B$114,BY143+BX144-CG143)))</f>
        <v>313.35256410256471</v>
      </c>
      <c r="BZ144" s="13">
        <f>BY144*VLOOKUP('Données projet'!$B$12,Paramètres!$A$1:$I$89,3,0)*VLOOKUP('Données projet'!$B$12,Paramètres!$A$1:$I$89,5,0)</f>
        <v>283.52140000000054</v>
      </c>
      <c r="CA144" s="13">
        <f t="shared" si="147"/>
        <v>67.710639765701856</v>
      </c>
      <c r="CB144" s="20">
        <f t="shared" si="118"/>
        <v>611.72913592526493</v>
      </c>
      <c r="CC144" s="59">
        <f t="shared" si="119"/>
        <v>905.06246925859818</v>
      </c>
      <c r="CD144" s="59">
        <f ca="1">AVERAGE(OFFSET($CC$3,0,0,'Données projet'!$E$12+1,1))-AVERAGE(OFFSET($H$3,0,0,'Données projet'!$E$12+1,1))</f>
        <v>437.94387006020412</v>
      </c>
      <c r="CE144" s="59">
        <f t="shared" si="148"/>
        <v>213.95083535531376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44.850826614906318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44.850826614906318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5.4001247917767614E-13</v>
      </c>
      <c r="CU144" s="17">
        <f>CT144*VLOOKUP('Données projet'!$B$13,Paramètres!$A$1:$I$89,3,0)*VLOOKUP('Données projet'!$B$13,Paramètres!$A$1:$I$89,5,0)</f>
        <v>2.5974600248446226E-13</v>
      </c>
      <c r="CV144" s="13">
        <f t="shared" si="149"/>
        <v>3.4917846266292826E-12</v>
      </c>
      <c r="CW144" s="20">
        <f t="shared" si="121"/>
        <v>6.5339158457064384E-12</v>
      </c>
      <c r="CX144" s="59">
        <f t="shared" si="122"/>
        <v>293.33333333333985</v>
      </c>
      <c r="CY144" s="59">
        <f ca="1">AVERAGE(OFFSET($CX$3,0,0,'Données projet'!$E$13+1,1))-AVERAGE(OFFSET($H$3,0,0,'Données projet'!$E$13+1,1))</f>
        <v>258.42493116335032</v>
      </c>
      <c r="CZ144" s="59">
        <f t="shared" si="150"/>
        <v>102.46122697336466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88.081625432841619</v>
      </c>
      <c r="DG144" s="21">
        <f>EXP(-LN(2)/25)*DG143+(1-EXP(-LN(2)/25))/(LN(2)/25)*Calculateur!DB144*Calculateur!DD144*VLOOKUP('Données projet'!$B$13,Paramètres!$A$1:$I$89,3,0)*0.475*44/12</f>
        <v>17.15409674186148</v>
      </c>
      <c r="DH144" s="21">
        <f>EXP(-LN(2)/2)*DH143+(1-EXP(-LN(2)/2))/(LN(2)/2)*DB144*DE144*VLOOKUP('Données projet'!$B$13,Paramètres!$A$1:$I$89,3,0)*0.475*44/12</f>
        <v>8.5804883495604351E-3</v>
      </c>
      <c r="DI144" s="22">
        <f t="shared" si="123"/>
        <v>105.24430266305266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243</v>
      </c>
      <c r="DP144" s="17">
        <f>DO144*VLOOKUP('Données projet'!$B$14,Paramètres!$A$1:$I$89,3,0)*VLOOKUP('Données projet'!$B$14,Paramètres!$A$1:$I$89,5,0)</f>
        <v>212.28480000000002</v>
      </c>
      <c r="DQ144" s="13">
        <f t="shared" si="151"/>
        <v>52.434557099704193</v>
      </c>
      <c r="DR144" s="20">
        <f t="shared" si="124"/>
        <v>461.05288028198476</v>
      </c>
      <c r="DS144" s="59">
        <f t="shared" si="125"/>
        <v>754.38621361531807</v>
      </c>
      <c r="DT144" s="59">
        <f ca="1">AVERAGE(OFFSET($DS$3,0,0,'Données projet'!$E$14+1,1))-AVERAGE(OFFSET($H$3,0,0,'Données projet'!$E$14+1,1))</f>
        <v>354.24684313982857</v>
      </c>
      <c r="DU144" s="59">
        <f t="shared" si="152"/>
        <v>322.65043486962185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12.099581779137079</v>
      </c>
      <c r="EB144" s="21">
        <f>EXP(-LN(2)/25)*EB143+(1-EXP(-LN(2)/25))/(LN(2)/25)*Calculateur!DW144*Calculateur!DY144*VLOOKUP('Données projet'!$B$14,Paramètres!$A$1:$I$89,3,0)*0.475*44/12</f>
        <v>4.7777236010256248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16.877305380162703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-6.7984728957526396E-14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355.09162485318728</v>
      </c>
      <c r="T145" s="59">
        <f t="shared" si="142"/>
        <v>320.06572891923685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48.259298871379379</v>
      </c>
      <c r="AA145" s="21">
        <f>EXP(-LN(2)/25)*AA144+(1-EXP(-LN(2)/25))/(LN(2)/25)*Calculateur!V145*Calculateur!X145*VLOOKUP('Données projet'!$B$9,Paramètres!$A$1:$I$89,3,0)*0.475*44/12</f>
        <v>6.8029177695475722</v>
      </c>
      <c r="AB145" s="21">
        <f>EXP(-LN(2)/2)*AB144+(1-EXP(-LN(2)/2))/(LN(2)/2)*V145*Y145*VLOOKUP('Données projet'!$B$9,Paramètres!$A$1:$I$89,3,0)*0.475*44/12</f>
        <v>5.4354471755726449E-9</v>
      </c>
      <c r="AC145" s="22">
        <f t="shared" si="111"/>
        <v>55.062216646362394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5.1159076974727213E-13</v>
      </c>
      <c r="AJ145" s="13">
        <f>AI145*VLOOKUP('Données projet'!$B$10,Paramètres!$A$1:$I$89,3,0)*VLOOKUP('Données projet'!$B$10,Paramètres!$A$1:$I$89,5,0)</f>
        <v>2.3942448024172334E-13</v>
      </c>
      <c r="AK145" s="13">
        <f t="shared" si="143"/>
        <v>3.2492669905861755E-12</v>
      </c>
      <c r="AL145" s="20">
        <f t="shared" si="112"/>
        <v>6.0761376450252565E-12</v>
      </c>
      <c r="AM145" s="59">
        <f t="shared" si="113"/>
        <v>293.3333333333394</v>
      </c>
      <c r="AN145" s="59">
        <f ca="1">AVERAGE(OFFSET($AM$3,0,0,'Données projet'!$E$10+1,1))-AVERAGE(OFFSET($H$3,0,0,'Données projet'!$E$10+1,1))</f>
        <v>246.72166704460847</v>
      </c>
      <c r="AO145" s="59">
        <f t="shared" si="144"/>
        <v>145.54897745089966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69.558559337657059</v>
      </c>
      <c r="AV145" s="21">
        <f>EXP(-LN(2)/25)*AV144+(1-EXP(-LN(2)/25))/(LN(2)/25)*Calculateur!AQ145*Calculateur!AS145*VLOOKUP('Données projet'!$B$10,Paramètres!$A$1:$I$89,3,0)*0.475*44/12</f>
        <v>13.316690045243309</v>
      </c>
      <c r="AW145" s="21">
        <f>EXP(-LN(2)/2)*AW144+(1-EXP(-LN(2)/2))/(LN(2)/2)*AQ145*AT145*VLOOKUP('Données projet'!$B$10,Paramètres!$A$1:$I$89,3,0)*0.475*44/12</f>
        <v>1.9797489391159103E-4</v>
      </c>
      <c r="AX145" s="21">
        <f t="shared" si="114"/>
        <v>82.875447357794272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88.478637356802039</v>
      </c>
      <c r="BJ145" s="59">
        <f t="shared" si="146"/>
        <v>239.55411297259155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4.0291086076427804</v>
      </c>
      <c r="BQ145" s="21">
        <f>EXP(-LN(2)/25)*BQ144+(1-EXP(-LN(2)/25))/(LN(2)/25)*Calculateur!BL145*Calculateur!BN145*VLOOKUP('Données projet'!$B$11,Paramètres!$A$1:$I$89,3,0)*0.475*44/12</f>
        <v>0.32716513246625029</v>
      </c>
      <c r="BR145" s="21">
        <f>EXP(-LN(2)/2)*BR144+(1-EXP(-LN(2)/2))/(LN(2)/2)*BL145*BO145*VLOOKUP('Données projet'!$B$11,Paramètres!$A$1:$I$89,3,0)*0.475*44/12</f>
        <v>5.9666827445554542E-18</v>
      </c>
      <c r="BS145" s="22">
        <f t="shared" si="117"/>
        <v>4.3562737401090308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6.1282051282051331</v>
      </c>
      <c r="BY145" s="12">
        <f>IF('Données projet'!$A$114&gt;35,BY144+BX145-CG144,IF(A145&lt;'Données projet'!$A$114,$BV$205^A145,IF(A145='Données projet'!$A$114,'Données projet'!$B$114,BY144+BX145-CG144)))</f>
        <v>319.48076923076985</v>
      </c>
      <c r="BZ145" s="13">
        <f>BY145*VLOOKUP('Données projet'!$B$12,Paramètres!$A$1:$I$89,3,0)*VLOOKUP('Données projet'!$B$12,Paramètres!$A$1:$I$89,5,0)</f>
        <v>289.06620000000055</v>
      </c>
      <c r="CA145" s="13">
        <f t="shared" si="147"/>
        <v>68.879389781683543</v>
      </c>
      <c r="CB145" s="20">
        <f t="shared" si="118"/>
        <v>623.42190220309976</v>
      </c>
      <c r="CC145" s="59">
        <f t="shared" si="119"/>
        <v>916.75523553643302</v>
      </c>
      <c r="CD145" s="59">
        <f ca="1">AVERAGE(OFFSET($CC$3,0,0,'Données projet'!$E$12+1,1))-AVERAGE(OFFSET($H$3,0,0,'Données projet'!$E$12+1,1))</f>
        <v>437.94387006020412</v>
      </c>
      <c r="CE145" s="59">
        <f t="shared" si="148"/>
        <v>213.95083535531376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43.971329261291032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43.971329261291032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5.4001247917767614E-13</v>
      </c>
      <c r="CU145" s="17">
        <f>CT145*VLOOKUP('Données projet'!$B$13,Paramètres!$A$1:$I$89,3,0)*VLOOKUP('Données projet'!$B$13,Paramètres!$A$1:$I$89,5,0)</f>
        <v>2.5974600248446226E-13</v>
      </c>
      <c r="CV145" s="13">
        <f t="shared" si="149"/>
        <v>3.4917846266292826E-12</v>
      </c>
      <c r="CW145" s="20">
        <f t="shared" si="121"/>
        <v>6.5339158457064384E-12</v>
      </c>
      <c r="CX145" s="59">
        <f t="shared" si="122"/>
        <v>293.33333333333985</v>
      </c>
      <c r="CY145" s="59">
        <f ca="1">AVERAGE(OFFSET($CX$3,0,0,'Données projet'!$E$13+1,1))-AVERAGE(OFFSET($H$3,0,0,'Données projet'!$E$13+1,1))</f>
        <v>258.42493116335032</v>
      </c>
      <c r="CZ145" s="59">
        <f t="shared" si="150"/>
        <v>102.46122697336466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86.354398482590256</v>
      </c>
      <c r="DG145" s="21">
        <f>EXP(-LN(2)/25)*DG144+(1-EXP(-LN(2)/25))/(LN(2)/25)*Calculateur!DB145*Calculateur!DD145*VLOOKUP('Données projet'!$B$13,Paramètres!$A$1:$I$89,3,0)*0.475*44/12</f>
        <v>16.685017064360537</v>
      </c>
      <c r="DH145" s="21">
        <f>EXP(-LN(2)/2)*DH144+(1-EXP(-LN(2)/2))/(LN(2)/2)*DB145*DE145*VLOOKUP('Données projet'!$B$13,Paramètres!$A$1:$I$89,3,0)*0.475*44/12</f>
        <v>6.0673214978663511E-3</v>
      </c>
      <c r="DI145" s="22">
        <f t="shared" si="123"/>
        <v>103.04548286844866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243</v>
      </c>
      <c r="DP145" s="17">
        <f>DO145*VLOOKUP('Données projet'!$B$14,Paramètres!$A$1:$I$89,3,0)*VLOOKUP('Données projet'!$B$14,Paramètres!$A$1:$I$89,5,0)</f>
        <v>212.28480000000002</v>
      </c>
      <c r="DQ145" s="13">
        <f t="shared" si="151"/>
        <v>52.434557099704193</v>
      </c>
      <c r="DR145" s="20">
        <f t="shared" si="124"/>
        <v>461.05288028198476</v>
      </c>
      <c r="DS145" s="59">
        <f t="shared" si="125"/>
        <v>754.38621361531807</v>
      </c>
      <c r="DT145" s="59">
        <f ca="1">AVERAGE(OFFSET($DS$3,0,0,'Données projet'!$E$14+1,1))-AVERAGE(OFFSET($H$3,0,0,'Données projet'!$E$14+1,1))</f>
        <v>354.24684313982857</v>
      </c>
      <c r="DU145" s="59">
        <f t="shared" si="152"/>
        <v>322.65043486962185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11.862316360464369</v>
      </c>
      <c r="EB145" s="21">
        <f>EXP(-LN(2)/25)*EB144+(1-EXP(-LN(2)/25))/(LN(2)/25)*Calculateur!DW145*Calculateur!DY145*VLOOKUP('Données projet'!$B$14,Paramètres!$A$1:$I$89,3,0)*0.475*44/12</f>
        <v>4.6470764979060144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16.509392858370383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-6.7984728957526396E-14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355.09162485318728</v>
      </c>
      <c r="T146" s="59">
        <f t="shared" si="142"/>
        <v>320.06572891923685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47.312963455777449</v>
      </c>
      <c r="AA146" s="21">
        <f>EXP(-LN(2)/25)*AA145+(1-EXP(-LN(2)/25))/(LN(2)/25)*Calculateur!V146*Calculateur!X146*VLOOKUP('Données projet'!$B$9,Paramètres!$A$1:$I$89,3,0)*0.475*44/12</f>
        <v>6.616891625389397</v>
      </c>
      <c r="AB146" s="21">
        <f>EXP(-LN(2)/2)*AB145+(1-EXP(-LN(2)/2))/(LN(2)/2)*V146*Y146*VLOOKUP('Données projet'!$B$9,Paramètres!$A$1:$I$89,3,0)*0.475*44/12</f>
        <v>3.843441556628684E-9</v>
      </c>
      <c r="AC146" s="22">
        <f t="shared" si="111"/>
        <v>53.929855085010288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5.1159076974727213E-13</v>
      </c>
      <c r="AJ146" s="13">
        <f>AI146*VLOOKUP('Données projet'!$B$10,Paramètres!$A$1:$I$89,3,0)*VLOOKUP('Données projet'!$B$10,Paramètres!$A$1:$I$89,5,0)</f>
        <v>2.3942448024172334E-13</v>
      </c>
      <c r="AK146" s="13">
        <f t="shared" si="143"/>
        <v>3.2492669905861755E-12</v>
      </c>
      <c r="AL146" s="20">
        <f t="shared" si="112"/>
        <v>6.0761376450252565E-12</v>
      </c>
      <c r="AM146" s="59">
        <f t="shared" si="113"/>
        <v>293.3333333333394</v>
      </c>
      <c r="AN146" s="59">
        <f ca="1">AVERAGE(OFFSET($AM$3,0,0,'Données projet'!$E$10+1,1))-AVERAGE(OFFSET($H$3,0,0,'Données projet'!$E$10+1,1))</f>
        <v>246.72166704460847</v>
      </c>
      <c r="AO146" s="59">
        <f t="shared" si="144"/>
        <v>145.54897745089966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68.194558415577532</v>
      </c>
      <c r="AV146" s="21">
        <f>EXP(-LN(2)/25)*AV145+(1-EXP(-LN(2)/25))/(LN(2)/25)*Calculateur!AQ146*Calculateur!AS146*VLOOKUP('Données projet'!$B$10,Paramètres!$A$1:$I$89,3,0)*0.475*44/12</f>
        <v>12.952544455661837</v>
      </c>
      <c r="AW146" s="21">
        <f>EXP(-LN(2)/2)*AW145+(1-EXP(-LN(2)/2))/(LN(2)/2)*AQ146*AT146*VLOOKUP('Données projet'!$B$10,Paramètres!$A$1:$I$89,3,0)*0.475*44/12</f>
        <v>1.3998938998957335E-4</v>
      </c>
      <c r="AX146" s="21">
        <f t="shared" si="114"/>
        <v>81.147242860629362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88.478637356802039</v>
      </c>
      <c r="BJ146" s="59">
        <f t="shared" si="146"/>
        <v>239.55411297259155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3.9501002453604968</v>
      </c>
      <c r="BQ146" s="21">
        <f>EXP(-LN(2)/25)*BQ145+(1-EXP(-LN(2)/25))/(LN(2)/25)*Calculateur!BL146*Calculateur!BN146*VLOOKUP('Données projet'!$B$11,Paramètres!$A$1:$I$89,3,0)*0.475*44/12</f>
        <v>0.31821878471409409</v>
      </c>
      <c r="BR146" s="21">
        <f>EXP(-LN(2)/2)*BR145+(1-EXP(-LN(2)/2))/(LN(2)/2)*BL146*BO146*VLOOKUP('Données projet'!$B$11,Paramètres!$A$1:$I$89,3,0)*0.475*44/12</f>
        <v>4.2190818298639223E-18</v>
      </c>
      <c r="BS146" s="22">
        <f t="shared" si="117"/>
        <v>4.2683190300745908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6.1282051282051331</v>
      </c>
      <c r="BY146" s="12">
        <f>IF('Données projet'!$A$114&gt;35,BY145+BX146-CG145,IF(A146&lt;'Données projet'!$A$114,$BV$205^A146,IF(A146='Données projet'!$A$114,'Données projet'!$B$114,BY145+BX146-CG145)))</f>
        <v>325.60897435897499</v>
      </c>
      <c r="BZ146" s="13">
        <f>BY146*VLOOKUP('Données projet'!$B$12,Paramètres!$A$1:$I$89,3,0)*VLOOKUP('Données projet'!$B$12,Paramètres!$A$1:$I$89,5,0)</f>
        <v>294.61100000000056</v>
      </c>
      <c r="CA146" s="13">
        <f t="shared" si="147"/>
        <v>70.04553300440142</v>
      </c>
      <c r="CB146" s="20">
        <f t="shared" si="118"/>
        <v>635.1101283160001</v>
      </c>
      <c r="CC146" s="59">
        <f t="shared" si="119"/>
        <v>928.44346164933336</v>
      </c>
      <c r="CD146" s="59">
        <f ca="1">AVERAGE(OFFSET($CC$3,0,0,'Données projet'!$E$12+1,1))-AVERAGE(OFFSET($H$3,0,0,'Données projet'!$E$12+1,1))</f>
        <v>437.94387006020412</v>
      </c>
      <c r="CE146" s="59">
        <f t="shared" si="148"/>
        <v>213.95083535531376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43.109078314339726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43.109078314339726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5.4001247917767614E-13</v>
      </c>
      <c r="CU146" s="17">
        <f>CT146*VLOOKUP('Données projet'!$B$13,Paramètres!$A$1:$I$89,3,0)*VLOOKUP('Données projet'!$B$13,Paramètres!$A$1:$I$89,5,0)</f>
        <v>2.5974600248446226E-13</v>
      </c>
      <c r="CV146" s="13">
        <f t="shared" si="149"/>
        <v>3.4917846266292826E-12</v>
      </c>
      <c r="CW146" s="20">
        <f t="shared" si="121"/>
        <v>6.5339158457064384E-12</v>
      </c>
      <c r="CX146" s="59">
        <f t="shared" si="122"/>
        <v>293.33333333333985</v>
      </c>
      <c r="CY146" s="59">
        <f ca="1">AVERAGE(OFFSET($CX$3,0,0,'Données projet'!$E$13+1,1))-AVERAGE(OFFSET($H$3,0,0,'Données projet'!$E$13+1,1))</f>
        <v>258.42493116335032</v>
      </c>
      <c r="CZ146" s="59">
        <f t="shared" si="150"/>
        <v>102.46122697336466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84.661041399328909</v>
      </c>
      <c r="DG146" s="21">
        <f>EXP(-LN(2)/25)*DG145+(1-EXP(-LN(2)/25))/(LN(2)/25)*Calculateur!DB146*Calculateur!DD146*VLOOKUP('Données projet'!$B$13,Paramètres!$A$1:$I$89,3,0)*0.475*44/12</f>
        <v>16.228764395308684</v>
      </c>
      <c r="DH146" s="21">
        <f>EXP(-LN(2)/2)*DH145+(1-EXP(-LN(2)/2))/(LN(2)/2)*DB146*DE146*VLOOKUP('Données projet'!$B$13,Paramètres!$A$1:$I$89,3,0)*0.475*44/12</f>
        <v>4.2902441747802176E-3</v>
      </c>
      <c r="DI146" s="22">
        <f t="shared" si="123"/>
        <v>100.89409603881238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243</v>
      </c>
      <c r="DP146" s="17">
        <f>DO146*VLOOKUP('Données projet'!$B$14,Paramètres!$A$1:$I$89,3,0)*VLOOKUP('Données projet'!$B$14,Paramètres!$A$1:$I$89,5,0)</f>
        <v>212.28480000000002</v>
      </c>
      <c r="DQ146" s="13">
        <f t="shared" si="151"/>
        <v>52.434557099704193</v>
      </c>
      <c r="DR146" s="20">
        <f t="shared" si="124"/>
        <v>461.05288028198476</v>
      </c>
      <c r="DS146" s="59">
        <f t="shared" si="125"/>
        <v>754.38621361531807</v>
      </c>
      <c r="DT146" s="59">
        <f ca="1">AVERAGE(OFFSET($DS$3,0,0,'Données projet'!$E$14+1,1))-AVERAGE(OFFSET($H$3,0,0,'Données projet'!$E$14+1,1))</f>
        <v>354.24684313982857</v>
      </c>
      <c r="DU146" s="59">
        <f t="shared" si="152"/>
        <v>322.65043486962185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11.629703571934217</v>
      </c>
      <c r="EB146" s="21">
        <f>EXP(-LN(2)/25)*EB145+(1-EXP(-LN(2)/25))/(LN(2)/25)*Calculateur!DW146*Calculateur!DY146*VLOOKUP('Données projet'!$B$14,Paramètres!$A$1:$I$89,3,0)*0.475*44/12</f>
        <v>4.5200019466916421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16.149705518625858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-6.7984728957526396E-14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355.09162485318728</v>
      </c>
      <c r="T147" s="59">
        <f t="shared" si="142"/>
        <v>320.06572891923685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46.385185100467865</v>
      </c>
      <c r="AA147" s="21">
        <f>EXP(-LN(2)/25)*AA146+(1-EXP(-LN(2)/25))/(LN(2)/25)*Calculateur!V147*Calculateur!X147*VLOOKUP('Données projet'!$B$9,Paramètres!$A$1:$I$89,3,0)*0.475*44/12</f>
        <v>6.4359523759259165</v>
      </c>
      <c r="AB147" s="21">
        <f>EXP(-LN(2)/2)*AB146+(1-EXP(-LN(2)/2))/(LN(2)/2)*V147*Y147*VLOOKUP('Données projet'!$B$9,Paramètres!$A$1:$I$89,3,0)*0.475*44/12</f>
        <v>2.7177235877863225E-9</v>
      </c>
      <c r="AC147" s="22">
        <f t="shared" si="111"/>
        <v>52.821137479111506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5.1159076974727213E-13</v>
      </c>
      <c r="AJ147" s="13">
        <f>AI147*VLOOKUP('Données projet'!$B$10,Paramètres!$A$1:$I$89,3,0)*VLOOKUP('Données projet'!$B$10,Paramètres!$A$1:$I$89,5,0)</f>
        <v>2.3942448024172334E-13</v>
      </c>
      <c r="AK147" s="13">
        <f t="shared" si="143"/>
        <v>3.2492669905861755E-12</v>
      </c>
      <c r="AL147" s="20">
        <f t="shared" si="112"/>
        <v>6.0761376450252565E-12</v>
      </c>
      <c r="AM147" s="59">
        <f t="shared" si="113"/>
        <v>293.3333333333394</v>
      </c>
      <c r="AN147" s="59">
        <f ca="1">AVERAGE(OFFSET($AM$3,0,0,'Données projet'!$E$10+1,1))-AVERAGE(OFFSET($H$3,0,0,'Données projet'!$E$10+1,1))</f>
        <v>246.72166704460847</v>
      </c>
      <c r="AO147" s="59">
        <f t="shared" si="144"/>
        <v>145.54897745089966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66.857304719621567</v>
      </c>
      <c r="AV147" s="21">
        <f>EXP(-LN(2)/25)*AV146+(1-EXP(-LN(2)/25))/(LN(2)/25)*Calculateur!AQ147*Calculateur!AS147*VLOOKUP('Données projet'!$B$10,Paramètres!$A$1:$I$89,3,0)*0.475*44/12</f>
        <v>12.598356446377055</v>
      </c>
      <c r="AW147" s="21">
        <f>EXP(-LN(2)/2)*AW146+(1-EXP(-LN(2)/2))/(LN(2)/2)*AQ147*AT147*VLOOKUP('Données projet'!$B$10,Paramètres!$A$1:$I$89,3,0)*0.475*44/12</f>
        <v>9.8987446955795514E-5</v>
      </c>
      <c r="AX147" s="21">
        <f t="shared" si="114"/>
        <v>79.455760153445581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88.478637356802039</v>
      </c>
      <c r="BJ147" s="59">
        <f t="shared" si="146"/>
        <v>239.55411297259155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3.8726411888722261</v>
      </c>
      <c r="BQ147" s="21">
        <f>EXP(-LN(2)/25)*BQ146+(1-EXP(-LN(2)/25))/(LN(2)/25)*Calculateur!BL147*Calculateur!BN147*VLOOKUP('Données projet'!$B$11,Paramètres!$A$1:$I$89,3,0)*0.475*44/12</f>
        <v>0.30951707531168859</v>
      </c>
      <c r="BR147" s="21">
        <f>EXP(-LN(2)/2)*BR146+(1-EXP(-LN(2)/2))/(LN(2)/2)*BL147*BO147*VLOOKUP('Données projet'!$B$11,Paramètres!$A$1:$I$89,3,0)*0.475*44/12</f>
        <v>2.9833413722777271E-18</v>
      </c>
      <c r="BS147" s="22">
        <f t="shared" si="117"/>
        <v>4.182158264183915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6.1282051282051331</v>
      </c>
      <c r="BY147" s="12">
        <f>IF('Données projet'!$A$114&gt;35,BY146+BX147-CG146,IF(A147&lt;'Données projet'!$A$114,$BV$205^A147,IF(A147='Données projet'!$A$114,'Données projet'!$B$114,BY146+BX147-CG146)))</f>
        <v>331.73717948718013</v>
      </c>
      <c r="BZ147" s="13">
        <f>BY147*VLOOKUP('Données projet'!$B$12,Paramètres!$A$1:$I$89,3,0)*VLOOKUP('Données projet'!$B$12,Paramètres!$A$1:$I$89,5,0)</f>
        <v>300.15580000000057</v>
      </c>
      <c r="CA147" s="13">
        <f t="shared" si="147"/>
        <v>71.209124153017854</v>
      </c>
      <c r="CB147" s="20">
        <f t="shared" si="118"/>
        <v>646.79390956650707</v>
      </c>
      <c r="CC147" s="59">
        <f t="shared" si="119"/>
        <v>940.12724289984044</v>
      </c>
      <c r="CD147" s="59">
        <f ca="1">AVERAGE(OFFSET($CC$3,0,0,'Données projet'!$E$12+1,1))-AVERAGE(OFFSET($H$3,0,0,'Données projet'!$E$12+1,1))</f>
        <v>437.94387006020412</v>
      </c>
      <c r="CE147" s="59">
        <f t="shared" si="148"/>
        <v>213.95083535531376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42.263735582536988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42.263735582536988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5.4001247917767614E-13</v>
      </c>
      <c r="CU147" s="17">
        <f>CT147*VLOOKUP('Données projet'!$B$13,Paramètres!$A$1:$I$89,3,0)*VLOOKUP('Données projet'!$B$13,Paramètres!$A$1:$I$89,5,0)</f>
        <v>2.5974600248446226E-13</v>
      </c>
      <c r="CV147" s="13">
        <f t="shared" si="149"/>
        <v>3.4917846266292826E-12</v>
      </c>
      <c r="CW147" s="20">
        <f t="shared" si="121"/>
        <v>6.5339158457064384E-12</v>
      </c>
      <c r="CX147" s="59">
        <f t="shared" si="122"/>
        <v>293.33333333333985</v>
      </c>
      <c r="CY147" s="59">
        <f ca="1">AVERAGE(OFFSET($CX$3,0,0,'Données projet'!$E$13+1,1))-AVERAGE(OFFSET($H$3,0,0,'Données projet'!$E$13+1,1))</f>
        <v>258.42493116335032</v>
      </c>
      <c r="CZ147" s="59">
        <f t="shared" si="150"/>
        <v>102.46122697336466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83.000890015624478</v>
      </c>
      <c r="DG147" s="21">
        <f>EXP(-LN(2)/25)*DG146+(1-EXP(-LN(2)/25))/(LN(2)/25)*Calculateur!DB147*Calculateur!DD147*VLOOKUP('Données projet'!$B$13,Paramètres!$A$1:$I$89,3,0)*0.475*44/12</f>
        <v>15.78498797948534</v>
      </c>
      <c r="DH147" s="21">
        <f>EXP(-LN(2)/2)*DH146+(1-EXP(-LN(2)/2))/(LN(2)/2)*DB147*DE147*VLOOKUP('Données projet'!$B$13,Paramètres!$A$1:$I$89,3,0)*0.475*44/12</f>
        <v>3.0336607489331755E-3</v>
      </c>
      <c r="DI147" s="22">
        <f t="shared" si="123"/>
        <v>98.78891165585874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243</v>
      </c>
      <c r="DP147" s="17">
        <f>DO147*VLOOKUP('Données projet'!$B$14,Paramètres!$A$1:$I$89,3,0)*VLOOKUP('Données projet'!$B$14,Paramètres!$A$1:$I$89,5,0)</f>
        <v>212.28480000000002</v>
      </c>
      <c r="DQ147" s="13">
        <f t="shared" si="151"/>
        <v>52.434557099704193</v>
      </c>
      <c r="DR147" s="20">
        <f t="shared" si="124"/>
        <v>461.05288028198476</v>
      </c>
      <c r="DS147" s="59">
        <f t="shared" si="125"/>
        <v>754.38621361531807</v>
      </c>
      <c r="DT147" s="59">
        <f ca="1">AVERAGE(OFFSET($DS$3,0,0,'Données projet'!$E$14+1,1))-AVERAGE(OFFSET($H$3,0,0,'Données projet'!$E$14+1,1))</f>
        <v>354.24684313982857</v>
      </c>
      <c r="DU147" s="59">
        <f t="shared" si="152"/>
        <v>322.65043486962185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11.401652178307348</v>
      </c>
      <c r="EB147" s="21">
        <f>EXP(-LN(2)/25)*EB146+(1-EXP(-LN(2)/25))/(LN(2)/25)*Calculateur!DW147*Calculateur!DY147*VLOOKUP('Données projet'!$B$14,Paramètres!$A$1:$I$89,3,0)*0.475*44/12</f>
        <v>4.3964022557627871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15.798054434070135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-6.7984728957526396E-14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355.09162485318728</v>
      </c>
      <c r="T148" s="59">
        <f t="shared" si="142"/>
        <v>320.06572891923685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45.475599912816982</v>
      </c>
      <c r="AA148" s="21">
        <f>EXP(-LN(2)/25)*AA147+(1-EXP(-LN(2)/25))/(LN(2)/25)*Calculateur!V148*Calculateur!X148*VLOOKUP('Données projet'!$B$9,Paramètres!$A$1:$I$89,3,0)*0.475*44/12</f>
        <v>6.2599609197541968</v>
      </c>
      <c r="AB148" s="21">
        <f>EXP(-LN(2)/2)*AB147+(1-EXP(-LN(2)/2))/(LN(2)/2)*V148*Y148*VLOOKUP('Données projet'!$B$9,Paramètres!$A$1:$I$89,3,0)*0.475*44/12</f>
        <v>1.921720778314342E-9</v>
      </c>
      <c r="AC148" s="22">
        <f t="shared" si="111"/>
        <v>51.735560834492901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5.1159076974727213E-13</v>
      </c>
      <c r="AJ148" s="13">
        <f>AI148*VLOOKUP('Données projet'!$B$10,Paramètres!$A$1:$I$89,3,0)*VLOOKUP('Données projet'!$B$10,Paramètres!$A$1:$I$89,5,0)</f>
        <v>2.3942448024172334E-13</v>
      </c>
      <c r="AK148" s="13">
        <f t="shared" si="143"/>
        <v>3.2492669905861755E-12</v>
      </c>
      <c r="AL148" s="20">
        <f t="shared" si="112"/>
        <v>6.0761376450252565E-12</v>
      </c>
      <c r="AM148" s="59">
        <f t="shared" si="113"/>
        <v>293.3333333333394</v>
      </c>
      <c r="AN148" s="59">
        <f ca="1">AVERAGE(OFFSET($AM$3,0,0,'Données projet'!$E$10+1,1))-AVERAGE(OFFSET($H$3,0,0,'Données projet'!$E$10+1,1))</f>
        <v>246.72166704460847</v>
      </c>
      <c r="AO148" s="59">
        <f t="shared" si="144"/>
        <v>145.54897745089966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65.546273752999085</v>
      </c>
      <c r="AV148" s="21">
        <f>EXP(-LN(2)/25)*AV147+(1-EXP(-LN(2)/25))/(LN(2)/25)*Calculateur!AQ148*Calculateur!AS148*VLOOKUP('Données projet'!$B$10,Paramètres!$A$1:$I$89,3,0)*0.475*44/12</f>
        <v>12.253853726832103</v>
      </c>
      <c r="AW148" s="21">
        <f>EXP(-LN(2)/2)*AW147+(1-EXP(-LN(2)/2))/(LN(2)/2)*AQ148*AT148*VLOOKUP('Données projet'!$B$10,Paramètres!$A$1:$I$89,3,0)*0.475*44/12</f>
        <v>6.9994694994786677E-5</v>
      </c>
      <c r="AX148" s="21">
        <f t="shared" si="114"/>
        <v>77.800197474526186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88.478637356802039</v>
      </c>
      <c r="BJ148" s="59">
        <f t="shared" si="146"/>
        <v>239.55411297259155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3.7967010572363313</v>
      </c>
      <c r="BQ148" s="21">
        <f>EXP(-LN(2)/25)*BQ147+(1-EXP(-LN(2)/25))/(LN(2)/25)*Calculateur!BL148*Calculateur!BN148*VLOOKUP('Données projet'!$B$11,Paramètres!$A$1:$I$89,3,0)*0.475*44/12</f>
        <v>0.30105331461049489</v>
      </c>
      <c r="BR148" s="21">
        <f>EXP(-LN(2)/2)*BR147+(1-EXP(-LN(2)/2))/(LN(2)/2)*BL148*BO148*VLOOKUP('Données projet'!$B$11,Paramètres!$A$1:$I$89,3,0)*0.475*44/12</f>
        <v>2.1095409149319612E-18</v>
      </c>
      <c r="BS148" s="22">
        <f t="shared" si="117"/>
        <v>4.0977543718468263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6.1282051282051331</v>
      </c>
      <c r="BY148" s="12">
        <f>IF('Données projet'!$A$114&gt;35,BY147+BX148-CG147,IF(A148&lt;'Données projet'!$A$114,$BV$205^A148,IF(A148='Données projet'!$A$114,'Données projet'!$B$114,BY147+BX148-CG147)))</f>
        <v>337.86538461538527</v>
      </c>
      <c r="BZ148" s="13">
        <f>BY148*VLOOKUP('Données projet'!$B$12,Paramètres!$A$1:$I$89,3,0)*VLOOKUP('Données projet'!$B$12,Paramètres!$A$1:$I$89,5,0)</f>
        <v>305.70060000000058</v>
      </c>
      <c r="CA148" s="13">
        <f t="shared" si="147"/>
        <v>72.370215809306757</v>
      </c>
      <c r="CB148" s="20">
        <f t="shared" si="118"/>
        <v>658.47333753454348</v>
      </c>
      <c r="CC148" s="59">
        <f t="shared" si="119"/>
        <v>951.80667086787685</v>
      </c>
      <c r="CD148" s="59">
        <f ca="1">AVERAGE(OFFSET($CC$3,0,0,'Données projet'!$E$12+1,1))-AVERAGE(OFFSET($H$3,0,0,'Données projet'!$E$12+1,1))</f>
        <v>437.94387006020412</v>
      </c>
      <c r="CE148" s="59">
        <f t="shared" si="148"/>
        <v>213.95083535531376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41.434969506096742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41.434969506096742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5.4001247917767614E-13</v>
      </c>
      <c r="CU148" s="17">
        <f>CT148*VLOOKUP('Données projet'!$B$13,Paramètres!$A$1:$I$89,3,0)*VLOOKUP('Données projet'!$B$13,Paramètres!$A$1:$I$89,5,0)</f>
        <v>2.5974600248446226E-13</v>
      </c>
      <c r="CV148" s="13">
        <f t="shared" si="149"/>
        <v>3.4917846266292826E-12</v>
      </c>
      <c r="CW148" s="20">
        <f t="shared" si="121"/>
        <v>6.5339158457064384E-12</v>
      </c>
      <c r="CX148" s="59">
        <f t="shared" si="122"/>
        <v>293.33333333333985</v>
      </c>
      <c r="CY148" s="59">
        <f ca="1">AVERAGE(OFFSET($CX$3,0,0,'Données projet'!$E$13+1,1))-AVERAGE(OFFSET($H$3,0,0,'Données projet'!$E$13+1,1))</f>
        <v>258.42493116335032</v>
      </c>
      <c r="CZ148" s="59">
        <f t="shared" si="150"/>
        <v>102.46122697336466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81.373293187962133</v>
      </c>
      <c r="DG148" s="21">
        <f>EXP(-LN(2)/25)*DG147+(1-EXP(-LN(2)/25))/(LN(2)/25)*Calculateur!DB148*Calculateur!DD148*VLOOKUP('Données projet'!$B$13,Paramètres!$A$1:$I$89,3,0)*0.475*44/12</f>
        <v>15.353346653089872</v>
      </c>
      <c r="DH148" s="21">
        <f>EXP(-LN(2)/2)*DH147+(1-EXP(-LN(2)/2))/(LN(2)/2)*DB148*DE148*VLOOKUP('Données projet'!$B$13,Paramètres!$A$1:$I$89,3,0)*0.475*44/12</f>
        <v>2.1451220873901088E-3</v>
      </c>
      <c r="DI148" s="22">
        <f t="shared" si="123"/>
        <v>96.72878496313939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243</v>
      </c>
      <c r="DP148" s="17">
        <f>DO148*VLOOKUP('Données projet'!$B$14,Paramètres!$A$1:$I$89,3,0)*VLOOKUP('Données projet'!$B$14,Paramètres!$A$1:$I$89,5,0)</f>
        <v>212.28480000000002</v>
      </c>
      <c r="DQ148" s="13">
        <f t="shared" si="151"/>
        <v>52.434557099704193</v>
      </c>
      <c r="DR148" s="20">
        <f t="shared" si="124"/>
        <v>461.05288028198476</v>
      </c>
      <c r="DS148" s="59">
        <f t="shared" si="125"/>
        <v>754.38621361531807</v>
      </c>
      <c r="DT148" s="59">
        <f ca="1">AVERAGE(OFFSET($DS$3,0,0,'Données projet'!$E$14+1,1))-AVERAGE(OFFSET($H$3,0,0,'Données projet'!$E$14+1,1))</f>
        <v>354.24684313982857</v>
      </c>
      <c r="DU148" s="59">
        <f t="shared" si="152"/>
        <v>322.65043486962185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11.178072733411888</v>
      </c>
      <c r="EB148" s="21">
        <f>EXP(-LN(2)/25)*EB147+(1-EXP(-LN(2)/25))/(LN(2)/25)*Calculateur!DW148*Calculateur!DY148*VLOOKUP('Données projet'!$B$14,Paramètres!$A$1:$I$89,3,0)*0.475*44/12</f>
        <v>4.2761824048822072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15.454255138294094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-6.7984728957526396E-14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355.09162485318728</v>
      </c>
      <c r="T149" s="59">
        <f t="shared" si="142"/>
        <v>320.06572891923685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44.58385113590375</v>
      </c>
      <c r="AA149" s="21">
        <f>EXP(-LN(2)/25)*AA148+(1-EXP(-LN(2)/25))/(LN(2)/25)*Calculateur!V149*Calculateur!X149*VLOOKUP('Données projet'!$B$9,Paramètres!$A$1:$I$89,3,0)*0.475*44/12</f>
        <v>6.0887819592064805</v>
      </c>
      <c r="AB149" s="21">
        <f>EXP(-LN(2)/2)*AB148+(1-EXP(-LN(2)/2))/(LN(2)/2)*V149*Y149*VLOOKUP('Données projet'!$B$9,Paramètres!$A$1:$I$89,3,0)*0.475*44/12</f>
        <v>1.3588617938931612E-9</v>
      </c>
      <c r="AC149" s="22">
        <f t="shared" si="111"/>
        <v>50.672633096469092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5.1159076974727213E-13</v>
      </c>
      <c r="AJ149" s="13">
        <f>AI149*VLOOKUP('Données projet'!$B$10,Paramètres!$A$1:$I$89,3,0)*VLOOKUP('Données projet'!$B$10,Paramètres!$A$1:$I$89,5,0)</f>
        <v>2.3942448024172334E-13</v>
      </c>
      <c r="AK149" s="13">
        <f t="shared" si="143"/>
        <v>3.2492669905861755E-12</v>
      </c>
      <c r="AL149" s="20">
        <f t="shared" si="112"/>
        <v>6.0761376450252565E-12</v>
      </c>
      <c r="AM149" s="59">
        <f t="shared" si="113"/>
        <v>293.3333333333394</v>
      </c>
      <c r="AN149" s="59">
        <f ca="1">AVERAGE(OFFSET($AM$3,0,0,'Données projet'!$E$10+1,1))-AVERAGE(OFFSET($H$3,0,0,'Données projet'!$E$10+1,1))</f>
        <v>246.72166704460847</v>
      </c>
      <c r="AO149" s="59">
        <f t="shared" si="144"/>
        <v>145.54897745089966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64.260951303982139</v>
      </c>
      <c r="AV149" s="21">
        <f>EXP(-LN(2)/25)*AV148+(1-EXP(-LN(2)/25))/(LN(2)/25)*Calculateur!AQ149*Calculateur!AS149*VLOOKUP('Données projet'!$B$10,Paramètres!$A$1:$I$89,3,0)*0.475*44/12</f>
        <v>11.918771452269718</v>
      </c>
      <c r="AW149" s="21">
        <f>EXP(-LN(2)/2)*AW148+(1-EXP(-LN(2)/2))/(LN(2)/2)*AQ149*AT149*VLOOKUP('Données projet'!$B$10,Paramètres!$A$1:$I$89,3,0)*0.475*44/12</f>
        <v>4.9493723477897757E-5</v>
      </c>
      <c r="AX149" s="21">
        <f t="shared" si="114"/>
        <v>76.179772249975343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88.478637356802039</v>
      </c>
      <c r="BJ149" s="59">
        <f t="shared" si="146"/>
        <v>239.55411297259155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3.7222500652629096</v>
      </c>
      <c r="BQ149" s="21">
        <f>EXP(-LN(2)/25)*BQ148+(1-EXP(-LN(2)/25))/(LN(2)/25)*Calculateur!BL149*Calculateur!BN149*VLOOKUP('Données projet'!$B$11,Paramètres!$A$1:$I$89,3,0)*0.475*44/12</f>
        <v>0.29282099589076516</v>
      </c>
      <c r="BR149" s="21">
        <f>EXP(-LN(2)/2)*BR148+(1-EXP(-LN(2)/2))/(LN(2)/2)*BL149*BO149*VLOOKUP('Données projet'!$B$11,Paramètres!$A$1:$I$89,3,0)*0.475*44/12</f>
        <v>1.4916706861388635E-18</v>
      </c>
      <c r="BS149" s="22">
        <f t="shared" si="117"/>
        <v>4.0150710611536748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6.1282051282051331</v>
      </c>
      <c r="BY149" s="12">
        <f>IF('Données projet'!$A$114&gt;35,BY148+BX149-CG148,IF(A149&lt;'Données projet'!$A$114,$BV$205^A149,IF(A149='Données projet'!$A$114,'Données projet'!$B$114,BY148+BX149-CG148)))</f>
        <v>343.99358974359041</v>
      </c>
      <c r="BZ149" s="13">
        <f>BY149*VLOOKUP('Données projet'!$B$12,Paramètres!$A$1:$I$89,3,0)*VLOOKUP('Données projet'!$B$12,Paramètres!$A$1:$I$89,5,0)</f>
        <v>311.24540000000059</v>
      </c>
      <c r="CA149" s="13">
        <f t="shared" si="147"/>
        <v>73.528858538368965</v>
      </c>
      <c r="CB149" s="20">
        <f t="shared" si="118"/>
        <v>670.14850028766034</v>
      </c>
      <c r="CC149" s="59">
        <f t="shared" si="119"/>
        <v>963.48183362099371</v>
      </c>
      <c r="CD149" s="59">
        <f ca="1">AVERAGE(OFFSET($CC$3,0,0,'Données projet'!$E$12+1,1))-AVERAGE(OFFSET($H$3,0,0,'Données projet'!$E$12+1,1))</f>
        <v>437.94387006020412</v>
      </c>
      <c r="CE149" s="59">
        <f t="shared" si="148"/>
        <v>213.95083535531376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40.622455026918097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40.622455026918097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5.4001247917767614E-13</v>
      </c>
      <c r="CU149" s="17">
        <f>CT149*VLOOKUP('Données projet'!$B$13,Paramètres!$A$1:$I$89,3,0)*VLOOKUP('Données projet'!$B$13,Paramètres!$A$1:$I$89,5,0)</f>
        <v>2.5974600248446226E-13</v>
      </c>
      <c r="CV149" s="13">
        <f t="shared" si="149"/>
        <v>3.4917846266292826E-12</v>
      </c>
      <c r="CW149" s="20">
        <f t="shared" si="121"/>
        <v>6.5339158457064384E-12</v>
      </c>
      <c r="CX149" s="59">
        <f t="shared" si="122"/>
        <v>293.33333333333985</v>
      </c>
      <c r="CY149" s="59">
        <f ca="1">AVERAGE(OFFSET($CX$3,0,0,'Données projet'!$E$13+1,1))-AVERAGE(OFFSET($H$3,0,0,'Données projet'!$E$13+1,1))</f>
        <v>258.42493116335032</v>
      </c>
      <c r="CZ149" s="59">
        <f t="shared" si="150"/>
        <v>102.46122697336466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79.777612541354202</v>
      </c>
      <c r="DG149" s="21">
        <f>EXP(-LN(2)/25)*DG148+(1-EXP(-LN(2)/25))/(LN(2)/25)*Calculateur!DB149*Calculateur!DD149*VLOOKUP('Données projet'!$B$13,Paramètres!$A$1:$I$89,3,0)*0.475*44/12</f>
        <v>14.93350858146372</v>
      </c>
      <c r="DH149" s="21">
        <f>EXP(-LN(2)/2)*DH148+(1-EXP(-LN(2)/2))/(LN(2)/2)*DB149*DE149*VLOOKUP('Données projet'!$B$13,Paramètres!$A$1:$I$89,3,0)*0.475*44/12</f>
        <v>1.5168303744665878E-3</v>
      </c>
      <c r="DI149" s="22">
        <f t="shared" si="123"/>
        <v>94.712637953192399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243</v>
      </c>
      <c r="DP149" s="17">
        <f>DO149*VLOOKUP('Données projet'!$B$14,Paramètres!$A$1:$I$89,3,0)*VLOOKUP('Données projet'!$B$14,Paramètres!$A$1:$I$89,5,0)</f>
        <v>212.28480000000002</v>
      </c>
      <c r="DQ149" s="13">
        <f t="shared" si="151"/>
        <v>52.434557099704193</v>
      </c>
      <c r="DR149" s="20">
        <f t="shared" si="124"/>
        <v>461.05288028198476</v>
      </c>
      <c r="DS149" s="59">
        <f t="shared" si="125"/>
        <v>754.38621361531807</v>
      </c>
      <c r="DT149" s="59">
        <f ca="1">AVERAGE(OFFSET($DS$3,0,0,'Données projet'!$E$14+1,1))-AVERAGE(OFFSET($H$3,0,0,'Données projet'!$E$14+1,1))</f>
        <v>354.24684313982857</v>
      </c>
      <c r="DU149" s="59">
        <f t="shared" si="152"/>
        <v>322.65043486962185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10.958877545060831</v>
      </c>
      <c r="EB149" s="21">
        <f>EXP(-LN(2)/25)*EB148+(1-EXP(-LN(2)/25))/(LN(2)/25)*Calculateur!DW149*Calculateur!DY149*VLOOKUP('Données projet'!$B$14,Paramètres!$A$1:$I$89,3,0)*0.475*44/12</f>
        <v>4.1592499721460436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15.118127517206876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-6.7984728957526396E-14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355.09162485318728</v>
      </c>
      <c r="T150" s="59">
        <f t="shared" si="142"/>
        <v>320.06572891923685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43.709589008592737</v>
      </c>
      <c r="AA150" s="21">
        <f>EXP(-LN(2)/25)*AA149+(1-EXP(-LN(2)/25))/(LN(2)/25)*Calculateur!V150*Calculateur!X150*VLOOKUP('Données projet'!$B$9,Paramètres!$A$1:$I$89,3,0)*0.475*44/12</f>
        <v>5.922283896336852</v>
      </c>
      <c r="AB150" s="21">
        <f>EXP(-LN(2)/2)*AB149+(1-EXP(-LN(2)/2))/(LN(2)/2)*V150*Y150*VLOOKUP('Données projet'!$B$9,Paramètres!$A$1:$I$89,3,0)*0.475*44/12</f>
        <v>9.60860389157171E-10</v>
      </c>
      <c r="AC150" s="22">
        <f t="shared" si="111"/>
        <v>49.631872905890447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5.1159076974727213E-13</v>
      </c>
      <c r="AJ150" s="13">
        <f>AI150*VLOOKUP('Données projet'!$B$10,Paramètres!$A$1:$I$89,3,0)*VLOOKUP('Données projet'!$B$10,Paramètres!$A$1:$I$89,5,0)</f>
        <v>2.3942448024172334E-13</v>
      </c>
      <c r="AK150" s="13">
        <f t="shared" si="143"/>
        <v>3.2492669905861755E-12</v>
      </c>
      <c r="AL150" s="20">
        <f t="shared" si="112"/>
        <v>6.0761376450252565E-12</v>
      </c>
      <c r="AM150" s="59">
        <f t="shared" si="113"/>
        <v>293.3333333333394</v>
      </c>
      <c r="AN150" s="59">
        <f ca="1">AVERAGE(OFFSET($AM$3,0,0,'Données projet'!$E$10+1,1))-AVERAGE(OFFSET($H$3,0,0,'Données projet'!$E$10+1,1))</f>
        <v>246.72166704460847</v>
      </c>
      <c r="AO150" s="59">
        <f t="shared" si="144"/>
        <v>145.54897745089966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63.000833244221127</v>
      </c>
      <c r="AV150" s="21">
        <f>EXP(-LN(2)/25)*AV149+(1-EXP(-LN(2)/25))/(LN(2)/25)*Calculateur!AQ150*Calculateur!AS150*VLOOKUP('Données projet'!$B$10,Paramètres!$A$1:$I$89,3,0)*0.475*44/12</f>
        <v>11.592852020126452</v>
      </c>
      <c r="AW150" s="21">
        <f>EXP(-LN(2)/2)*AW149+(1-EXP(-LN(2)/2))/(LN(2)/2)*AQ150*AT150*VLOOKUP('Données projet'!$B$10,Paramètres!$A$1:$I$89,3,0)*0.475*44/12</f>
        <v>3.4997347497393339E-5</v>
      </c>
      <c r="AX150" s="21">
        <f t="shared" si="114"/>
        <v>74.593720261695083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88.478637356802039</v>
      </c>
      <c r="BJ150" s="59">
        <f t="shared" si="146"/>
        <v>239.55411297259155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3.6492590118314654</v>
      </c>
      <c r="BQ150" s="21">
        <f>EXP(-LN(2)/25)*BQ149+(1-EXP(-LN(2)/25))/(LN(2)/25)*Calculateur!BL150*Calculateur!BN150*VLOOKUP('Données projet'!$B$11,Paramètres!$A$1:$I$89,3,0)*0.475*44/12</f>
        <v>0.28481379035934529</v>
      </c>
      <c r="BR150" s="21">
        <f>EXP(-LN(2)/2)*BR149+(1-EXP(-LN(2)/2))/(LN(2)/2)*BL150*BO150*VLOOKUP('Données projet'!$B$11,Paramètres!$A$1:$I$89,3,0)*0.475*44/12</f>
        <v>1.0547704574659806E-18</v>
      </c>
      <c r="BS150" s="22">
        <f t="shared" si="117"/>
        <v>3.9340728021908107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6.1282051282051331</v>
      </c>
      <c r="BY150" s="12">
        <f>IF('Données projet'!$A$114&gt;35,BY149+BX150-CG149,IF(A150&lt;'Données projet'!$A$114,$BV$205^A150,IF(A150='Données projet'!$A$114,'Données projet'!$B$114,BY149+BX150-CG149)))</f>
        <v>350.12179487179554</v>
      </c>
      <c r="BZ150" s="13">
        <f>BY150*VLOOKUP('Données projet'!$B$12,Paramètres!$A$1:$I$89,3,0)*VLOOKUP('Données projet'!$B$12,Paramètres!$A$1:$I$89,5,0)</f>
        <v>316.7902000000006</v>
      </c>
      <c r="CA150" s="13">
        <f t="shared" si="147"/>
        <v>74.685101000501959</v>
      </c>
      <c r="CB150" s="20">
        <f t="shared" si="118"/>
        <v>681.81948257587521</v>
      </c>
      <c r="CC150" s="59">
        <f t="shared" si="119"/>
        <v>975.15281590920858</v>
      </c>
      <c r="CD150" s="59">
        <f ca="1">AVERAGE(OFFSET($CC$3,0,0,'Données projet'!$E$12+1,1))-AVERAGE(OFFSET($H$3,0,0,'Données projet'!$E$12+1,1))</f>
        <v>437.94387006020412</v>
      </c>
      <c r="CE150" s="59">
        <f t="shared" si="148"/>
        <v>213.95083535531376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39.825873461091248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39.825873461091248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5.4001247917767614E-13</v>
      </c>
      <c r="CU150" s="17">
        <f>CT150*VLOOKUP('Données projet'!$B$13,Paramètres!$A$1:$I$89,3,0)*VLOOKUP('Données projet'!$B$13,Paramètres!$A$1:$I$89,5,0)</f>
        <v>2.5974600248446226E-13</v>
      </c>
      <c r="CV150" s="13">
        <f t="shared" si="149"/>
        <v>3.4917846266292826E-12</v>
      </c>
      <c r="CW150" s="20">
        <f t="shared" si="121"/>
        <v>6.5339158457064384E-12</v>
      </c>
      <c r="CX150" s="59">
        <f t="shared" si="122"/>
        <v>293.33333333333985</v>
      </c>
      <c r="CY150" s="59">
        <f ca="1">AVERAGE(OFFSET($CX$3,0,0,'Données projet'!$E$13+1,1))-AVERAGE(OFFSET($H$3,0,0,'Données projet'!$E$13+1,1))</f>
        <v>258.42493116335032</v>
      </c>
      <c r="CZ150" s="59">
        <f t="shared" si="150"/>
        <v>102.46122697336466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78.213222218957171</v>
      </c>
      <c r="DG150" s="21">
        <f>EXP(-LN(2)/25)*DG149+(1-EXP(-LN(2)/25))/(LN(2)/25)*Calculateur!DB150*Calculateur!DD150*VLOOKUP('Données projet'!$B$13,Paramètres!$A$1:$I$89,3,0)*0.475*44/12</f>
        <v>14.52515100398451</v>
      </c>
      <c r="DH150" s="21">
        <f>EXP(-LN(2)/2)*DH149+(1-EXP(-LN(2)/2))/(LN(2)/2)*DB150*DE150*VLOOKUP('Données projet'!$B$13,Paramètres!$A$1:$I$89,3,0)*0.475*44/12</f>
        <v>1.0725610436950544E-3</v>
      </c>
      <c r="DI150" s="22">
        <f t="shared" si="123"/>
        <v>92.739445783985374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243</v>
      </c>
      <c r="DP150" s="17">
        <f>DO150*VLOOKUP('Données projet'!$B$14,Paramètres!$A$1:$I$89,3,0)*VLOOKUP('Données projet'!$B$14,Paramètres!$A$1:$I$89,5,0)</f>
        <v>212.28480000000002</v>
      </c>
      <c r="DQ150" s="13">
        <f t="shared" si="151"/>
        <v>52.434557099704193</v>
      </c>
      <c r="DR150" s="20">
        <f t="shared" si="124"/>
        <v>461.05288028198476</v>
      </c>
      <c r="DS150" s="59">
        <f t="shared" si="125"/>
        <v>754.38621361531807</v>
      </c>
      <c r="DT150" s="59">
        <f ca="1">AVERAGE(OFFSET($DS$3,0,0,'Données projet'!$E$14+1,1))-AVERAGE(OFFSET($H$3,0,0,'Données projet'!$E$14+1,1))</f>
        <v>354.24684313982857</v>
      </c>
      <c r="DU150" s="59">
        <f t="shared" si="152"/>
        <v>322.65043486962185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10.743980640657476</v>
      </c>
      <c r="EB150" s="21">
        <f>EXP(-LN(2)/25)*EB149+(1-EXP(-LN(2)/25))/(LN(2)/25)*Calculateur!DW150*Calculateur!DY150*VLOOKUP('Données projet'!$B$14,Paramètres!$A$1:$I$89,3,0)*0.475*44/12</f>
        <v>4.0455150629322603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14.789495703589736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-6.7984728957526396E-14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355.09162485318728</v>
      </c>
      <c r="T151" s="59">
        <f t="shared" si="142"/>
        <v>320.06572891923685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42.85247062835105</v>
      </c>
      <c r="AA151" s="21">
        <f>EXP(-LN(2)/25)*AA150+(1-EXP(-LN(2)/25))/(LN(2)/25)*Calculateur!V151*Calculateur!X151*VLOOKUP('Données projet'!$B$9,Paramètres!$A$1:$I$89,3,0)*0.475*44/12</f>
        <v>5.7603387317521459</v>
      </c>
      <c r="AB151" s="21">
        <f>EXP(-LN(2)/2)*AB150+(1-EXP(-LN(2)/2))/(LN(2)/2)*V151*Y151*VLOOKUP('Données projet'!$B$9,Paramètres!$A$1:$I$89,3,0)*0.475*44/12</f>
        <v>6.7943089694658062E-10</v>
      </c>
      <c r="AC151" s="22">
        <f t="shared" si="111"/>
        <v>48.612809360782627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5.1159076974727213E-13</v>
      </c>
      <c r="AJ151" s="13">
        <f>AI151*VLOOKUP('Données projet'!$B$10,Paramètres!$A$1:$I$89,3,0)*VLOOKUP('Données projet'!$B$10,Paramètres!$A$1:$I$89,5,0)</f>
        <v>2.3942448024172334E-13</v>
      </c>
      <c r="AK151" s="13">
        <f t="shared" si="143"/>
        <v>3.2492669905861755E-12</v>
      </c>
      <c r="AL151" s="20">
        <f t="shared" si="112"/>
        <v>6.0761376450252565E-12</v>
      </c>
      <c r="AM151" s="59">
        <f t="shared" si="113"/>
        <v>293.3333333333394</v>
      </c>
      <c r="AN151" s="59">
        <f ca="1">AVERAGE(OFFSET($AM$3,0,0,'Données projet'!$E$10+1,1))-AVERAGE(OFFSET($H$3,0,0,'Données projet'!$E$10+1,1))</f>
        <v>246.72166704460847</v>
      </c>
      <c r="AO151" s="59">
        <f t="shared" si="144"/>
        <v>145.54897745089966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61.765425331015905</v>
      </c>
      <c r="AV151" s="21">
        <f>EXP(-LN(2)/25)*AV150+(1-EXP(-LN(2)/25))/(LN(2)/25)*Calculateur!AQ151*Calculateur!AS151*VLOOKUP('Données projet'!$B$10,Paramètres!$A$1:$I$89,3,0)*0.475*44/12</f>
        <v>11.275844871994503</v>
      </c>
      <c r="AW151" s="21">
        <f>EXP(-LN(2)/2)*AW150+(1-EXP(-LN(2)/2))/(LN(2)/2)*AQ151*AT151*VLOOKUP('Données projet'!$B$10,Paramètres!$A$1:$I$89,3,0)*0.475*44/12</f>
        <v>2.4746861738948879E-5</v>
      </c>
      <c r="AX151" s="21">
        <f t="shared" si="114"/>
        <v>73.041294949872153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88.478637356802039</v>
      </c>
      <c r="BJ151" s="59">
        <f t="shared" si="146"/>
        <v>239.55411297259155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3.5776992684376654</v>
      </c>
      <c r="BQ151" s="21">
        <f>EXP(-LN(2)/25)*BQ150+(1-EXP(-LN(2)/25))/(LN(2)/25)*Calculateur!BL151*Calculateur!BN151*VLOOKUP('Données projet'!$B$11,Paramètres!$A$1:$I$89,3,0)*0.475*44/12</f>
        <v>0.27702554228426268</v>
      </c>
      <c r="BR151" s="21">
        <f>EXP(-LN(2)/2)*BR150+(1-EXP(-LN(2)/2))/(LN(2)/2)*BL151*BO151*VLOOKUP('Données projet'!$B$11,Paramètres!$A$1:$I$89,3,0)*0.475*44/12</f>
        <v>7.4583534306943177E-19</v>
      </c>
      <c r="BS151" s="22">
        <f t="shared" si="117"/>
        <v>3.8547248107219279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>
        <f>VLOOKUP(A151,'Données projet'!$A$113:$I$133,2,0)</f>
        <v>356.25</v>
      </c>
      <c r="BW151" s="12">
        <f>VLOOKUP(A151,'Données projet'!$A$113:$I$133,9,0)</f>
        <v>6.1282051282051331</v>
      </c>
      <c r="BX151" s="12">
        <f t="array" ref="BX151">INDEX(BW:BW,MIN(IF(ISNUMBER(BW151:BW347),ROW(BW151:BW347),"")))</f>
        <v>6.1282051282051331</v>
      </c>
      <c r="BY151" s="12">
        <f>IF('Données projet'!$A$114&gt;35,BY150+BX151-CG150,IF(A151&lt;'Données projet'!$A$114,$BV$205^A151,IF(A151='Données projet'!$A$114,'Données projet'!$B$114,BY150+BX151-CG150)))</f>
        <v>356.25000000000068</v>
      </c>
      <c r="BZ151" s="13">
        <f>BY151*VLOOKUP('Données projet'!$B$12,Paramètres!$A$1:$I$89,3,0)*VLOOKUP('Données projet'!$B$12,Paramètres!$A$1:$I$89,5,0)</f>
        <v>322.3350000000006</v>
      </c>
      <c r="CA151" s="13">
        <f t="shared" si="147"/>
        <v>75.838990055015898</v>
      </c>
      <c r="CB151" s="20">
        <f t="shared" si="118"/>
        <v>693.486366012487</v>
      </c>
      <c r="CC151" s="59">
        <f t="shared" si="119"/>
        <v>986.81969934582025</v>
      </c>
      <c r="CD151" s="59">
        <f ca="1">AVERAGE(OFFSET($CC$3,0,0,'Données projet'!$E$12+1,1))-AVERAGE(OFFSET($H$3,0,0,'Données projet'!$E$12+1,1))</f>
        <v>437.94387006020412</v>
      </c>
      <c r="CE151" s="59">
        <f t="shared" si="148"/>
        <v>213.95083535531376</v>
      </c>
      <c r="CF151" s="15">
        <f>IF(ISNA(VLOOKUP(A151,'Données projet'!$A$113:$I$133,3,0)),0,VLOOKUP(A151,'Données projet'!$A$113:$I$133,3,0))</f>
        <v>13</v>
      </c>
      <c r="CG151" s="15">
        <f>IF(ISNA(VLOOKUP(A151,'Données projet'!$A$113:$I$133,4,0)),0,VLOOKUP(A151,'Données projet'!$A$113:$I$133,4,0))</f>
        <v>42.621794871794869</v>
      </c>
      <c r="CH151" s="16">
        <f>IF(ISNA(VLOOKUP(A151,'Données projet'!$A$113:$I$133,5,0)),0%,VLOOKUP(A151,'Données projet'!$A$113:$I$133,5,0)*VLOOKUP('Données projet'!$B$12,Paramètres!$A$1:$I$89,7,0))</f>
        <v>0.38700000000000001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55.54333414752233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55.54333414752233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5.4001247917767614E-13</v>
      </c>
      <c r="CU151" s="17">
        <f>CT151*VLOOKUP('Données projet'!$B$13,Paramètres!$A$1:$I$89,3,0)*VLOOKUP('Données projet'!$B$13,Paramètres!$A$1:$I$89,5,0)</f>
        <v>2.5974600248446226E-13</v>
      </c>
      <c r="CV151" s="13">
        <f t="shared" si="149"/>
        <v>3.4917846266292826E-12</v>
      </c>
      <c r="CW151" s="20">
        <f t="shared" si="121"/>
        <v>6.5339158457064384E-12</v>
      </c>
      <c r="CX151" s="59">
        <f t="shared" si="122"/>
        <v>293.33333333333985</v>
      </c>
      <c r="CY151" s="59">
        <f ca="1">AVERAGE(OFFSET($CX$3,0,0,'Données projet'!$E$13+1,1))-AVERAGE(OFFSET($H$3,0,0,'Données projet'!$E$13+1,1))</f>
        <v>258.42493116335032</v>
      </c>
      <c r="CZ151" s="59">
        <f t="shared" si="150"/>
        <v>102.46122697336466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76.679508636598456</v>
      </c>
      <c r="DG151" s="21">
        <f>EXP(-LN(2)/25)*DG150+(1-EXP(-LN(2)/25))/(LN(2)/25)*Calculateur!DB151*Calculateur!DD151*VLOOKUP('Données projet'!$B$13,Paramètres!$A$1:$I$89,3,0)*0.475*44/12</f>
        <v>14.127959985936061</v>
      </c>
      <c r="DH151" s="21">
        <f>EXP(-LN(2)/2)*DH150+(1-EXP(-LN(2)/2))/(LN(2)/2)*DB151*DE151*VLOOKUP('Données projet'!$B$13,Paramètres!$A$1:$I$89,3,0)*0.475*44/12</f>
        <v>7.5841518723329389E-4</v>
      </c>
      <c r="DI151" s="22">
        <f t="shared" si="123"/>
        <v>90.80822703772175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243</v>
      </c>
      <c r="DP151" s="17">
        <f>DO151*VLOOKUP('Données projet'!$B$14,Paramètres!$A$1:$I$89,3,0)*VLOOKUP('Données projet'!$B$14,Paramètres!$A$1:$I$89,5,0)</f>
        <v>212.28480000000002</v>
      </c>
      <c r="DQ151" s="13">
        <f t="shared" si="151"/>
        <v>52.434557099704193</v>
      </c>
      <c r="DR151" s="20">
        <f t="shared" si="124"/>
        <v>461.05288028198476</v>
      </c>
      <c r="DS151" s="59">
        <f t="shared" si="125"/>
        <v>754.38621361531807</v>
      </c>
      <c r="DT151" s="59">
        <f ca="1">AVERAGE(OFFSET($DS$3,0,0,'Données projet'!$E$14+1,1))-AVERAGE(OFFSET($H$3,0,0,'Données projet'!$E$14+1,1))</f>
        <v>354.24684313982857</v>
      </c>
      <c r="DU151" s="59">
        <f t="shared" si="152"/>
        <v>322.65043486962185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10.533297733475301</v>
      </c>
      <c r="EB151" s="21">
        <f>EXP(-LN(2)/25)*EB150+(1-EXP(-LN(2)/25))/(LN(2)/25)*Calculateur!DW151*Calculateur!DY151*VLOOKUP('Données projet'!$B$14,Paramètres!$A$1:$I$89,3,0)*0.475*44/12</f>
        <v>3.9348902407919866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14.468187974267288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-6.7984728957526396E-14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355.09162485318728</v>
      </c>
      <c r="T152" s="59">
        <f t="shared" si="142"/>
        <v>320.06572891923685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42.012159816755315</v>
      </c>
      <c r="AA152" s="21">
        <f>EXP(-LN(2)/25)*AA151+(1-EXP(-LN(2)/25))/(LN(2)/25)*Calculateur!V152*Calculateur!X152*VLOOKUP('Données projet'!$B$9,Paramètres!$A$1:$I$89,3,0)*0.475*44/12</f>
        <v>5.6028219662093353</v>
      </c>
      <c r="AB152" s="21">
        <f>EXP(-LN(2)/2)*AB151+(1-EXP(-LN(2)/2))/(LN(2)/2)*V152*Y152*VLOOKUP('Données projet'!$B$9,Paramètres!$A$1:$I$89,3,0)*0.475*44/12</f>
        <v>4.804301945785855E-10</v>
      </c>
      <c r="AC152" s="22">
        <f t="shared" si="111"/>
        <v>47.614981783445081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5.1159076974727213E-13</v>
      </c>
      <c r="AJ152" s="13">
        <f>AI152*VLOOKUP('Données projet'!$B$10,Paramètres!$A$1:$I$89,3,0)*VLOOKUP('Données projet'!$B$10,Paramètres!$A$1:$I$89,5,0)</f>
        <v>2.3942448024172334E-13</v>
      </c>
      <c r="AK152" s="13">
        <f t="shared" si="143"/>
        <v>3.2492669905861755E-12</v>
      </c>
      <c r="AL152" s="20">
        <f t="shared" si="112"/>
        <v>6.0761376450252565E-12</v>
      </c>
      <c r="AM152" s="59">
        <f t="shared" si="113"/>
        <v>293.3333333333394</v>
      </c>
      <c r="AN152" s="59">
        <f ca="1">AVERAGE(OFFSET($AM$3,0,0,'Données projet'!$E$10+1,1))-AVERAGE(OFFSET($H$3,0,0,'Données projet'!$E$10+1,1))</f>
        <v>246.72166704460847</v>
      </c>
      <c r="AO152" s="59">
        <f t="shared" si="144"/>
        <v>145.54897745089966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60.554243013464216</v>
      </c>
      <c r="AV152" s="21">
        <f>EXP(-LN(2)/25)*AV151+(1-EXP(-LN(2)/25))/(LN(2)/25)*Calculateur!AQ152*Calculateur!AS152*VLOOKUP('Données projet'!$B$10,Paramètres!$A$1:$I$89,3,0)*0.475*44/12</f>
        <v>10.967506300998902</v>
      </c>
      <c r="AW152" s="21">
        <f>EXP(-LN(2)/2)*AW151+(1-EXP(-LN(2)/2))/(LN(2)/2)*AQ152*AT152*VLOOKUP('Données projet'!$B$10,Paramètres!$A$1:$I$89,3,0)*0.475*44/12</f>
        <v>1.7498673748696669E-5</v>
      </c>
      <c r="AX152" s="21">
        <f t="shared" si="114"/>
        <v>71.521766813136864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88.478637356802039</v>
      </c>
      <c r="BJ152" s="59">
        <f t="shared" si="146"/>
        <v>239.55411297259155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3.5075427679646842</v>
      </c>
      <c r="BQ152" s="21">
        <f>EXP(-LN(2)/25)*BQ151+(1-EXP(-LN(2)/25))/(LN(2)/25)*Calculateur!BL152*Calculateur!BN152*VLOOKUP('Données projet'!$B$11,Paramètres!$A$1:$I$89,3,0)*0.475*44/12</f>
        <v>0.26945026426235941</v>
      </c>
      <c r="BR152" s="21">
        <f>EXP(-LN(2)/2)*BR151+(1-EXP(-LN(2)/2))/(LN(2)/2)*BL152*BO152*VLOOKUP('Données projet'!$B$11,Paramètres!$A$1:$I$89,3,0)*0.475*44/12</f>
        <v>5.2738522873299029E-19</v>
      </c>
      <c r="BS152" s="22">
        <f t="shared" si="117"/>
        <v>3.7769930322270437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6.2506410256410216</v>
      </c>
      <c r="BY152" s="12">
        <f>IF('Données projet'!$A$114&gt;35,BY151+BX152-CG151,IF(A152&lt;'Données projet'!$A$114,$BV$205^A152,IF(A152='Données projet'!$A$114,'Données projet'!$B$114,BY151+BX152-CG151)))</f>
        <v>319.87884615384684</v>
      </c>
      <c r="BZ152" s="13">
        <f>BY152*VLOOKUP('Données projet'!$B$12,Paramètres!$A$1:$I$89,3,0)*VLOOKUP('Données projet'!$B$12,Paramètres!$A$1:$I$89,5,0)</f>
        <v>289.42638000000062</v>
      </c>
      <c r="CA152" s="13">
        <f t="shared" si="147"/>
        <v>68.955218863593728</v>
      </c>
      <c r="CB152" s="20">
        <f t="shared" si="118"/>
        <v>624.18128468742691</v>
      </c>
      <c r="CC152" s="59">
        <f t="shared" si="119"/>
        <v>917.51461802076028</v>
      </c>
      <c r="CD152" s="59">
        <f ca="1">AVERAGE(OFFSET($CC$3,0,0,'Données projet'!$E$12+1,1))-AVERAGE(OFFSET($H$3,0,0,'Données projet'!$E$12+1,1))</f>
        <v>437.94387006020412</v>
      </c>
      <c r="CE152" s="59">
        <f t="shared" si="148"/>
        <v>213.95083535531376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54.454163242978062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54.454163242978062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5.4001247917767614E-13</v>
      </c>
      <c r="CU152" s="17">
        <f>CT152*VLOOKUP('Données projet'!$B$13,Paramètres!$A$1:$I$89,3,0)*VLOOKUP('Données projet'!$B$13,Paramètres!$A$1:$I$89,5,0)</f>
        <v>2.5974600248446226E-13</v>
      </c>
      <c r="CV152" s="13">
        <f t="shared" si="149"/>
        <v>3.4917846266292826E-12</v>
      </c>
      <c r="CW152" s="20">
        <f t="shared" si="121"/>
        <v>6.5339158457064384E-12</v>
      </c>
      <c r="CX152" s="59">
        <f t="shared" si="122"/>
        <v>293.33333333333985</v>
      </c>
      <c r="CY152" s="59">
        <f ca="1">AVERAGE(OFFSET($CX$3,0,0,'Données projet'!$E$13+1,1))-AVERAGE(OFFSET($H$3,0,0,'Données projet'!$E$13+1,1))</f>
        <v>258.42493116335032</v>
      </c>
      <c r="CZ152" s="59">
        <f t="shared" si="150"/>
        <v>102.46122697336466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75.175870242116886</v>
      </c>
      <c r="DG152" s="21">
        <f>EXP(-LN(2)/25)*DG151+(1-EXP(-LN(2)/25))/(LN(2)/25)*Calculateur!DB152*Calculateur!DD152*VLOOKUP('Données projet'!$B$13,Paramètres!$A$1:$I$89,3,0)*0.475*44/12</f>
        <v>13.741630177163513</v>
      </c>
      <c r="DH152" s="21">
        <f>EXP(-LN(2)/2)*DH151+(1-EXP(-LN(2)/2))/(LN(2)/2)*DB152*DE152*VLOOKUP('Données projet'!$B$13,Paramètres!$A$1:$I$89,3,0)*0.475*44/12</f>
        <v>5.3628052184752719E-4</v>
      </c>
      <c r="DI152" s="22">
        <f t="shared" si="123"/>
        <v>88.918036699802244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243</v>
      </c>
      <c r="DP152" s="17">
        <f>DO152*VLOOKUP('Données projet'!$B$14,Paramètres!$A$1:$I$89,3,0)*VLOOKUP('Données projet'!$B$14,Paramètres!$A$1:$I$89,5,0)</f>
        <v>212.28480000000002</v>
      </c>
      <c r="DQ152" s="13">
        <f t="shared" si="151"/>
        <v>52.434557099704193</v>
      </c>
      <c r="DR152" s="20">
        <f t="shared" si="124"/>
        <v>461.05288028198476</v>
      </c>
      <c r="DS152" s="59">
        <f t="shared" si="125"/>
        <v>754.38621361531807</v>
      </c>
      <c r="DT152" s="59">
        <f ca="1">AVERAGE(OFFSET($DS$3,0,0,'Données projet'!$E$14+1,1))-AVERAGE(OFFSET($H$3,0,0,'Données projet'!$E$14+1,1))</f>
        <v>354.24684313982857</v>
      </c>
      <c r="DU152" s="59">
        <f t="shared" si="152"/>
        <v>322.65043486962185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10.326746189599083</v>
      </c>
      <c r="EB152" s="21">
        <f>EXP(-LN(2)/25)*EB151+(1-EXP(-LN(2)/25))/(LN(2)/25)*Calculateur!DW152*Calculateur!DY152*VLOOKUP('Données projet'!$B$14,Paramètres!$A$1:$I$89,3,0)*0.475*44/12</f>
        <v>3.8272904602306452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14.154036649829727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-6.7984728957526396E-14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355.09162485318728</v>
      </c>
      <c r="T153" s="59">
        <f t="shared" si="142"/>
        <v>320.06572891923685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41.188326987635982</v>
      </c>
      <c r="AA153" s="21">
        <f>EXP(-LN(2)/25)*AA152+(1-EXP(-LN(2)/25))/(LN(2)/25)*Calculateur!V153*Calculateur!X153*VLOOKUP('Données projet'!$B$9,Paramètres!$A$1:$I$89,3,0)*0.475*44/12</f>
        <v>5.4496125049037394</v>
      </c>
      <c r="AB153" s="21">
        <f>EXP(-LN(2)/2)*AB152+(1-EXP(-LN(2)/2))/(LN(2)/2)*V153*Y153*VLOOKUP('Données projet'!$B$9,Paramètres!$A$1:$I$89,3,0)*0.475*44/12</f>
        <v>3.3971544847329031E-10</v>
      </c>
      <c r="AC153" s="22">
        <f t="shared" si="111"/>
        <v>46.63793949287944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5.1159076974727213E-13</v>
      </c>
      <c r="AJ153" s="13">
        <f>AI153*VLOOKUP('Données projet'!$B$10,Paramètres!$A$1:$I$89,3,0)*VLOOKUP('Données projet'!$B$10,Paramètres!$A$1:$I$89,5,0)</f>
        <v>2.3942448024172334E-13</v>
      </c>
      <c r="AK153" s="13">
        <f t="shared" si="143"/>
        <v>3.2492669905861755E-12</v>
      </c>
      <c r="AL153" s="20">
        <f t="shared" si="112"/>
        <v>6.0761376450252565E-12</v>
      </c>
      <c r="AM153" s="59">
        <f t="shared" si="113"/>
        <v>293.3333333333394</v>
      </c>
      <c r="AN153" s="59">
        <f ca="1">AVERAGE(OFFSET($AM$3,0,0,'Données projet'!$E$10+1,1))-AVERAGE(OFFSET($H$3,0,0,'Données projet'!$E$10+1,1))</f>
        <v>246.72166704460847</v>
      </c>
      <c r="AO153" s="59">
        <f t="shared" si="144"/>
        <v>145.54897745089966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59.366811242411451</v>
      </c>
      <c r="AV153" s="21">
        <f>EXP(-LN(2)/25)*AV152+(1-EXP(-LN(2)/25))/(LN(2)/25)*Calculateur!AQ153*Calculateur!AS153*VLOOKUP('Données projet'!$B$10,Paramètres!$A$1:$I$89,3,0)*0.475*44/12</f>
        <v>10.667599264441998</v>
      </c>
      <c r="AW153" s="21">
        <f>EXP(-LN(2)/2)*AW152+(1-EXP(-LN(2)/2))/(LN(2)/2)*AQ153*AT153*VLOOKUP('Données projet'!$B$10,Paramètres!$A$1:$I$89,3,0)*0.475*44/12</f>
        <v>1.2373430869474439E-5</v>
      </c>
      <c r="AX153" s="21">
        <f t="shared" si="114"/>
        <v>70.034422880284311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88.478637356802039</v>
      </c>
      <c r="BJ153" s="59">
        <f t="shared" si="146"/>
        <v>239.55411297259155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3.438761993674738</v>
      </c>
      <c r="BQ153" s="21">
        <f>EXP(-LN(2)/25)*BQ152+(1-EXP(-LN(2)/25))/(LN(2)/25)*Calculateur!BL153*Calculateur!BN153*VLOOKUP('Données projet'!$B$11,Paramètres!$A$1:$I$89,3,0)*0.475*44/12</f>
        <v>0.26208213261633162</v>
      </c>
      <c r="BR153" s="21">
        <f>EXP(-LN(2)/2)*BR152+(1-EXP(-LN(2)/2))/(LN(2)/2)*BL153*BO153*VLOOKUP('Données projet'!$B$11,Paramètres!$A$1:$I$89,3,0)*0.475*44/12</f>
        <v>3.7291767153471588E-19</v>
      </c>
      <c r="BS153" s="22">
        <f t="shared" si="117"/>
        <v>3.7008441262910696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6.2506410256410216</v>
      </c>
      <c r="BY153" s="12">
        <f>IF('Données projet'!$A$114&gt;35,BY152+BX153-CG152,IF(A153&lt;'Données projet'!$A$114,$BV$205^A153,IF(A153='Données projet'!$A$114,'Données projet'!$B$114,BY152+BX153-CG152)))</f>
        <v>326.12948717948785</v>
      </c>
      <c r="BZ153" s="13">
        <f>BY153*VLOOKUP('Données projet'!$B$12,Paramètres!$A$1:$I$89,3,0)*VLOOKUP('Données projet'!$B$12,Paramètres!$A$1:$I$89,5,0)</f>
        <v>295.08196000000061</v>
      </c>
      <c r="CA153" s="13">
        <f t="shared" si="147"/>
        <v>70.144463647587187</v>
      </c>
      <c r="CB153" s="20">
        <f t="shared" si="118"/>
        <v>636.10268785288213</v>
      </c>
      <c r="CC153" s="59">
        <f t="shared" si="119"/>
        <v>929.43602118621538</v>
      </c>
      <c r="CD153" s="59">
        <f ca="1">AVERAGE(OFFSET($CC$3,0,0,'Données projet'!$E$12+1,1))-AVERAGE(OFFSET($H$3,0,0,'Données projet'!$E$12+1,1))</f>
        <v>437.94387006020412</v>
      </c>
      <c r="CE153" s="59">
        <f t="shared" si="148"/>
        <v>213.95083535531376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53.386350315543254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53.386350315543254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5.4001247917767614E-13</v>
      </c>
      <c r="CU153" s="17">
        <f>CT153*VLOOKUP('Données projet'!$B$13,Paramètres!$A$1:$I$89,3,0)*VLOOKUP('Données projet'!$B$13,Paramètres!$A$1:$I$89,5,0)</f>
        <v>2.5974600248446226E-13</v>
      </c>
      <c r="CV153" s="13">
        <f t="shared" si="149"/>
        <v>3.4917846266292826E-12</v>
      </c>
      <c r="CW153" s="20">
        <f t="shared" si="121"/>
        <v>6.5339158457064384E-12</v>
      </c>
      <c r="CX153" s="59">
        <f t="shared" si="122"/>
        <v>293.33333333333985</v>
      </c>
      <c r="CY153" s="59">
        <f ca="1">AVERAGE(OFFSET($CX$3,0,0,'Données projet'!$E$13+1,1))-AVERAGE(OFFSET($H$3,0,0,'Données projet'!$E$13+1,1))</f>
        <v>258.42493116335032</v>
      </c>
      <c r="CZ153" s="59">
        <f t="shared" si="150"/>
        <v>102.46122697336466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73.70171727942224</v>
      </c>
      <c r="DG153" s="21">
        <f>EXP(-LN(2)/25)*DG152+(1-EXP(-LN(2)/25))/(LN(2)/25)*Calculateur!DB153*Calculateur!DD153*VLOOKUP('Données projet'!$B$13,Paramètres!$A$1:$I$89,3,0)*0.475*44/12</f>
        <v>13.365864577328052</v>
      </c>
      <c r="DH153" s="21">
        <f>EXP(-LN(2)/2)*DH152+(1-EXP(-LN(2)/2))/(LN(2)/2)*DB153*DE153*VLOOKUP('Données projet'!$B$13,Paramètres!$A$1:$I$89,3,0)*0.475*44/12</f>
        <v>3.7920759361664694E-4</v>
      </c>
      <c r="DI153" s="22">
        <f t="shared" si="123"/>
        <v>87.067961064343905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243</v>
      </c>
      <c r="DP153" s="17">
        <f>DO153*VLOOKUP('Données projet'!$B$14,Paramètres!$A$1:$I$89,3,0)*VLOOKUP('Données projet'!$B$14,Paramètres!$A$1:$I$89,5,0)</f>
        <v>212.28480000000002</v>
      </c>
      <c r="DQ153" s="13">
        <f t="shared" si="151"/>
        <v>52.434557099704193</v>
      </c>
      <c r="DR153" s="20">
        <f t="shared" si="124"/>
        <v>461.05288028198476</v>
      </c>
      <c r="DS153" s="59">
        <f t="shared" si="125"/>
        <v>754.38621361531807</v>
      </c>
      <c r="DT153" s="59">
        <f ca="1">AVERAGE(OFFSET($DS$3,0,0,'Données projet'!$E$14+1,1))-AVERAGE(OFFSET($H$3,0,0,'Données projet'!$E$14+1,1))</f>
        <v>354.24684313982857</v>
      </c>
      <c r="DU153" s="59">
        <f t="shared" si="152"/>
        <v>322.65043486962185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10.124244995514276</v>
      </c>
      <c r="EB153" s="21">
        <f>EXP(-LN(2)/25)*EB152+(1-EXP(-LN(2)/25))/(LN(2)/25)*Calculateur!DW153*Calculateur!DY153*VLOOKUP('Données projet'!$B$14,Paramètres!$A$1:$I$89,3,0)*0.475*44/12</f>
        <v>3.7226330013271802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13.846877996841457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-6.7984728957526396E-14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355.09162485318728</v>
      </c>
      <c r="T154" s="59">
        <f t="shared" si="142"/>
        <v>320.06572891923685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40.380649017807272</v>
      </c>
      <c r="AA154" s="21">
        <f>EXP(-LN(2)/25)*AA153+(1-EXP(-LN(2)/25))/(LN(2)/25)*Calculateur!V154*Calculateur!X154*VLOOKUP('Données projet'!$B$9,Paramètres!$A$1:$I$89,3,0)*0.475*44/12</f>
        <v>5.3005925643744805</v>
      </c>
      <c r="AB154" s="21">
        <f>EXP(-LN(2)/2)*AB153+(1-EXP(-LN(2)/2))/(LN(2)/2)*V154*Y154*VLOOKUP('Données projet'!$B$9,Paramètres!$A$1:$I$89,3,0)*0.475*44/12</f>
        <v>2.4021509728929275E-10</v>
      </c>
      <c r="AC154" s="22">
        <f t="shared" ref="AC154:AC203" si="163">SUM(Z154:AB154)</f>
        <v>45.681241582421968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5.1159076974727213E-13</v>
      </c>
      <c r="AJ154" s="13">
        <f>AI154*VLOOKUP('Données projet'!$B$10,Paramètres!$A$1:$I$89,3,0)*VLOOKUP('Données projet'!$B$10,Paramètres!$A$1:$I$89,5,0)</f>
        <v>2.3942448024172334E-13</v>
      </c>
      <c r="AK154" s="13">
        <f t="shared" ref="AK154:AK203" si="164">EXP(-1.0587+0.8836*LN(AJ154)+0.284)</f>
        <v>3.2492669905861755E-12</v>
      </c>
      <c r="AL154" s="20">
        <f t="shared" ref="AL154:AL203" si="165">(AJ154+AK154)*0.475*44/12</f>
        <v>6.0761376450252565E-12</v>
      </c>
      <c r="AM154" s="59">
        <f t="shared" si="113"/>
        <v>293.3333333333394</v>
      </c>
      <c r="AN154" s="59">
        <f ca="1">AVERAGE(OFFSET($AM$3,0,0,'Données projet'!$E$10+1,1))-AVERAGE(OFFSET($H$3,0,0,'Données projet'!$E$10+1,1))</f>
        <v>246.72166704460847</v>
      </c>
      <c r="AO154" s="59">
        <f t="shared" si="144"/>
        <v>145.54897745089966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58.20266428412716</v>
      </c>
      <c r="AV154" s="21">
        <f>EXP(-LN(2)/25)*AV153+(1-EXP(-LN(2)/25))/(LN(2)/25)*Calculateur!AQ154*Calculateur!AS154*VLOOKUP('Données projet'!$B$10,Paramètres!$A$1:$I$89,3,0)*0.475*44/12</f>
        <v>10.375893201571168</v>
      </c>
      <c r="AW154" s="21">
        <f>EXP(-LN(2)/2)*AW153+(1-EXP(-LN(2)/2))/(LN(2)/2)*AQ154*AT154*VLOOKUP('Données projet'!$B$10,Paramètres!$A$1:$I$89,3,0)*0.475*44/12</f>
        <v>8.7493368743483346E-6</v>
      </c>
      <c r="AX154" s="21">
        <f t="shared" ref="AX154:AX203" si="166">SUM(AU154:AW154)</f>
        <v>68.578566235035197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88.478637356802039</v>
      </c>
      <c r="BJ154" s="59">
        <f t="shared" si="146"/>
        <v>239.55411297259155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3.3713299684164877</v>
      </c>
      <c r="BQ154" s="21">
        <f>EXP(-LN(2)/25)*BQ153+(1-EXP(-LN(2)/25))/(LN(2)/25)*Calculateur!BL154*Calculateur!BN154*VLOOKUP('Données projet'!$B$11,Paramètres!$A$1:$I$89,3,0)*0.475*44/12</f>
        <v>0.25491548291763766</v>
      </c>
      <c r="BR154" s="21">
        <f>EXP(-LN(2)/2)*BR153+(1-EXP(-LN(2)/2))/(LN(2)/2)*BL154*BO154*VLOOKUP('Données projet'!$B$11,Paramètres!$A$1:$I$89,3,0)*0.475*44/12</f>
        <v>2.6369261436649515E-19</v>
      </c>
      <c r="BS154" s="22">
        <f t="shared" ref="BS154:BS203" si="169">SUM(BP154:BR154)</f>
        <v>3.6262454513341256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6.2506410256410216</v>
      </c>
      <c r="BY154" s="12">
        <f>IF('Données projet'!$A$114&gt;35,BY153+BX154-CG153,IF(A154&lt;'Données projet'!$A$114,$BV$205^A154,IF(A154='Données projet'!$A$114,'Données projet'!$B$114,BY153+BX154-CG153)))</f>
        <v>332.38012820512887</v>
      </c>
      <c r="BZ154" s="13">
        <f>BY154*VLOOKUP('Données projet'!$B$12,Paramètres!$A$1:$I$89,3,0)*VLOOKUP('Données projet'!$B$12,Paramètres!$A$1:$I$89,5,0)</f>
        <v>300.73754000000059</v>
      </c>
      <c r="CA154" s="13">
        <f t="shared" ref="CA154:CA203" si="170">EXP(-1.0587+0.8836*LN(BZ154)+0.284)</f>
        <v>71.331058086139777</v>
      </c>
      <c r="CB154" s="20">
        <f t="shared" ref="CB154:CB203" si="171">(BZ154+CA154)*0.475*44/12</f>
        <v>648.0194750000278</v>
      </c>
      <c r="CC154" s="59">
        <f t="shared" si="119"/>
        <v>941.35280833336105</v>
      </c>
      <c r="CD154" s="59">
        <f ca="1">AVERAGE(OFFSET($CC$3,0,0,'Données projet'!$E$12+1,1))-AVERAGE(OFFSET($H$3,0,0,'Données projet'!$E$12+1,1))</f>
        <v>437.94387006020412</v>
      </c>
      <c r="CE154" s="59">
        <f t="shared" si="148"/>
        <v>213.95083535531376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52.339476548313868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52.339476548313868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5.4001247917767614E-13</v>
      </c>
      <c r="CU154" s="17">
        <f>CT154*VLOOKUP('Données projet'!$B$13,Paramètres!$A$1:$I$89,3,0)*VLOOKUP('Données projet'!$B$13,Paramètres!$A$1:$I$89,5,0)</f>
        <v>2.5974600248446226E-13</v>
      </c>
      <c r="CV154" s="13">
        <f t="shared" ref="CV154:CV203" si="173">EXP(-1.0587+0.8836*LN(CU154)+0.284)</f>
        <v>3.4917846266292826E-12</v>
      </c>
      <c r="CW154" s="20">
        <f t="shared" ref="CW154:CW203" si="174">(CU154+CV154)*0.475*44/12</f>
        <v>6.5339158457064384E-12</v>
      </c>
      <c r="CX154" s="59">
        <f t="shared" si="122"/>
        <v>293.33333333333985</v>
      </c>
      <c r="CY154" s="59">
        <f ca="1">AVERAGE(OFFSET($CX$3,0,0,'Données projet'!$E$13+1,1))-AVERAGE(OFFSET($H$3,0,0,'Données projet'!$E$13+1,1))</f>
        <v>258.42493116335032</v>
      </c>
      <c r="CZ154" s="59">
        <f t="shared" si="150"/>
        <v>102.46122697336466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72.256471557181513</v>
      </c>
      <c r="DG154" s="21">
        <f>EXP(-LN(2)/25)*DG153+(1-EXP(-LN(2)/25))/(LN(2)/25)*Calculateur!DB154*Calculateur!DD154*VLOOKUP('Données projet'!$B$13,Paramètres!$A$1:$I$89,3,0)*0.475*44/12</f>
        <v>13.000374307580747</v>
      </c>
      <c r="DH154" s="21">
        <f>EXP(-LN(2)/2)*DH153+(1-EXP(-LN(2)/2))/(LN(2)/2)*DB154*DE154*VLOOKUP('Données projet'!$B$13,Paramètres!$A$1:$I$89,3,0)*0.475*44/12</f>
        <v>2.681402609237636E-4</v>
      </c>
      <c r="DI154" s="22">
        <f t="shared" ref="DI154:DI203" si="175">SUM(DF154:DH154)</f>
        <v>85.257114005023183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243</v>
      </c>
      <c r="DP154" s="17">
        <f>DO154*VLOOKUP('Données projet'!$B$14,Paramètres!$A$1:$I$89,3,0)*VLOOKUP('Données projet'!$B$14,Paramètres!$A$1:$I$89,5,0)</f>
        <v>212.28480000000002</v>
      </c>
      <c r="DQ154" s="13">
        <f t="shared" ref="DQ154:DQ203" si="176">EXP(-1.0587+0.8836*LN(DP154)+0.284)</f>
        <v>52.434557099704193</v>
      </c>
      <c r="DR154" s="20">
        <f t="shared" ref="DR154:DR203" si="177">(DP154+DQ154)*0.475*44/12</f>
        <v>461.05288028198476</v>
      </c>
      <c r="DS154" s="59">
        <f t="shared" si="125"/>
        <v>754.38621361531807</v>
      </c>
      <c r="DT154" s="59">
        <f ca="1">AVERAGE(OFFSET($DS$3,0,0,'Données projet'!$E$14+1,1))-AVERAGE(OFFSET($H$3,0,0,'Données projet'!$E$14+1,1))</f>
        <v>354.24684313982857</v>
      </c>
      <c r="DU154" s="59">
        <f t="shared" si="152"/>
        <v>322.65043486962185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9.9257147263319396</v>
      </c>
      <c r="EB154" s="21">
        <f>EXP(-LN(2)/25)*EB153+(1-EXP(-LN(2)/25))/(LN(2)/25)*Calculateur!DW154*Calculateur!DY154*VLOOKUP('Données projet'!$B$14,Paramètres!$A$1:$I$89,3,0)*0.475*44/12</f>
        <v>3.6208374061411273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13.546552132473067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-6.7984728957526396E-14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355.09162485318728</v>
      </c>
      <c r="T155" s="59">
        <f t="shared" si="142"/>
        <v>320.06572891923685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39.588809120331987</v>
      </c>
      <c r="AA155" s="21">
        <f>EXP(-LN(2)/25)*AA154+(1-EXP(-LN(2)/25))/(LN(2)/25)*Calculateur!V155*Calculateur!X155*VLOOKUP('Données projet'!$B$9,Paramètres!$A$1:$I$89,3,0)*0.475*44/12</f>
        <v>5.1556475819556118</v>
      </c>
      <c r="AB155" s="21">
        <f>EXP(-LN(2)/2)*AB154+(1-EXP(-LN(2)/2))/(LN(2)/2)*V155*Y155*VLOOKUP('Données projet'!$B$9,Paramètres!$A$1:$I$89,3,0)*0.475*44/12</f>
        <v>1.6985772423664515E-10</v>
      </c>
      <c r="AC155" s="22">
        <f t="shared" si="163"/>
        <v>44.744456702457455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5.1159076974727213E-13</v>
      </c>
      <c r="AJ155" s="13">
        <f>AI155*VLOOKUP('Données projet'!$B$10,Paramètres!$A$1:$I$89,3,0)*VLOOKUP('Données projet'!$B$10,Paramètres!$A$1:$I$89,5,0)</f>
        <v>2.3942448024172334E-13</v>
      </c>
      <c r="AK155" s="13">
        <f t="shared" si="164"/>
        <v>3.2492669905861755E-12</v>
      </c>
      <c r="AL155" s="20">
        <f t="shared" si="165"/>
        <v>6.0761376450252565E-12</v>
      </c>
      <c r="AM155" s="59">
        <f t="shared" si="113"/>
        <v>293.3333333333394</v>
      </c>
      <c r="AN155" s="59">
        <f ca="1">AVERAGE(OFFSET($AM$3,0,0,'Données projet'!$E$10+1,1))-AVERAGE(OFFSET($H$3,0,0,'Données projet'!$E$10+1,1))</f>
        <v>246.72166704460847</v>
      </c>
      <c r="AO155" s="59">
        <f t="shared" si="144"/>
        <v>145.54897745089966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57.06134553763529</v>
      </c>
      <c r="AV155" s="21">
        <f>EXP(-LN(2)/25)*AV154+(1-EXP(-LN(2)/25))/(LN(2)/25)*Calculateur!AQ155*Calculateur!AS155*VLOOKUP('Données projet'!$B$10,Paramètres!$A$1:$I$89,3,0)*0.475*44/12</f>
        <v>10.092163856329696</v>
      </c>
      <c r="AW155" s="21">
        <f>EXP(-LN(2)/2)*AW154+(1-EXP(-LN(2)/2))/(LN(2)/2)*AQ155*AT155*VLOOKUP('Données projet'!$B$10,Paramètres!$A$1:$I$89,3,0)*0.475*44/12</f>
        <v>6.1867154347372196E-6</v>
      </c>
      <c r="AX155" s="21">
        <f t="shared" si="166"/>
        <v>67.15351558068042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88.478637356802039</v>
      </c>
      <c r="BJ155" s="59">
        <f t="shared" si="146"/>
        <v>239.55411297259155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3.3052202440440777</v>
      </c>
      <c r="BQ155" s="21">
        <f>EXP(-LN(2)/25)*BQ154+(1-EXP(-LN(2)/25))/(LN(2)/25)*Calculateur!BL155*Calculateur!BN155*VLOOKUP('Données projet'!$B$11,Paramètres!$A$1:$I$89,3,0)*0.475*44/12</f>
        <v>0.24794480563183222</v>
      </c>
      <c r="BR155" s="21">
        <f>EXP(-LN(2)/2)*BR154+(1-EXP(-LN(2)/2))/(LN(2)/2)*BL155*BO155*VLOOKUP('Données projet'!$B$11,Paramètres!$A$1:$I$89,3,0)*0.475*44/12</f>
        <v>1.8645883576735794E-19</v>
      </c>
      <c r="BS155" s="22">
        <f t="shared" si="169"/>
        <v>3.55316504967591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6.2506410256410216</v>
      </c>
      <c r="BY155" s="12">
        <f>IF('Données projet'!$A$114&gt;35,BY154+BX155-CG154,IF(A155&lt;'Données projet'!$A$114,$BV$205^A155,IF(A155='Données projet'!$A$114,'Données projet'!$B$114,BY154+BX155-CG154)))</f>
        <v>338.63076923076989</v>
      </c>
      <c r="BZ155" s="13">
        <f>BY155*VLOOKUP('Données projet'!$B$12,Paramètres!$A$1:$I$89,3,0)*VLOOKUP('Données projet'!$B$12,Paramètres!$A$1:$I$89,5,0)</f>
        <v>306.39312000000058</v>
      </c>
      <c r="CA155" s="13">
        <f t="shared" si="170"/>
        <v>72.515057768168319</v>
      </c>
      <c r="CB155" s="20">
        <f t="shared" si="171"/>
        <v>659.93174294622747</v>
      </c>
      <c r="CC155" s="59">
        <f t="shared" si="119"/>
        <v>953.26507627956084</v>
      </c>
      <c r="CD155" s="59">
        <f ca="1">AVERAGE(OFFSET($CC$3,0,0,'Données projet'!$E$12+1,1))-AVERAGE(OFFSET($H$3,0,0,'Données projet'!$E$12+1,1))</f>
        <v>437.94387006020412</v>
      </c>
      <c r="CE155" s="59">
        <f t="shared" si="148"/>
        <v>213.95083535531376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51.313131337129903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51.313131337129903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5.4001247917767614E-13</v>
      </c>
      <c r="CU155" s="17">
        <f>CT155*VLOOKUP('Données projet'!$B$13,Paramètres!$A$1:$I$89,3,0)*VLOOKUP('Données projet'!$B$13,Paramètres!$A$1:$I$89,5,0)</f>
        <v>2.5974600248446226E-13</v>
      </c>
      <c r="CV155" s="13">
        <f t="shared" si="173"/>
        <v>3.4917846266292826E-12</v>
      </c>
      <c r="CW155" s="20">
        <f t="shared" si="174"/>
        <v>6.5339158457064384E-12</v>
      </c>
      <c r="CX155" s="59">
        <f t="shared" si="122"/>
        <v>293.33333333333985</v>
      </c>
      <c r="CY155" s="59">
        <f ca="1">AVERAGE(OFFSET($CX$3,0,0,'Données projet'!$E$13+1,1))-AVERAGE(OFFSET($H$3,0,0,'Données projet'!$E$13+1,1))</f>
        <v>258.42493116335032</v>
      </c>
      <c r="CZ155" s="59">
        <f t="shared" si="150"/>
        <v>102.46122697336466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70.839566222041071</v>
      </c>
      <c r="DG155" s="21">
        <f>EXP(-LN(2)/25)*DG154+(1-EXP(-LN(2)/25))/(LN(2)/25)*Calculateur!DB155*Calculateur!DD155*VLOOKUP('Données projet'!$B$13,Paramètres!$A$1:$I$89,3,0)*0.475*44/12</f>
        <v>12.644878388479979</v>
      </c>
      <c r="DH155" s="21">
        <f>EXP(-LN(2)/2)*DH154+(1-EXP(-LN(2)/2))/(LN(2)/2)*DB155*DE155*VLOOKUP('Données projet'!$B$13,Paramètres!$A$1:$I$89,3,0)*0.475*44/12</f>
        <v>1.8960379680832347E-4</v>
      </c>
      <c r="DI155" s="22">
        <f t="shared" si="175"/>
        <v>83.484634214317865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243</v>
      </c>
      <c r="DP155" s="17">
        <f>DO155*VLOOKUP('Données projet'!$B$14,Paramètres!$A$1:$I$89,3,0)*VLOOKUP('Données projet'!$B$14,Paramètres!$A$1:$I$89,5,0)</f>
        <v>212.28480000000002</v>
      </c>
      <c r="DQ155" s="13">
        <f t="shared" si="176"/>
        <v>52.434557099704193</v>
      </c>
      <c r="DR155" s="20">
        <f t="shared" si="177"/>
        <v>461.05288028198476</v>
      </c>
      <c r="DS155" s="59">
        <f t="shared" si="125"/>
        <v>754.38621361531807</v>
      </c>
      <c r="DT155" s="59">
        <f ca="1">AVERAGE(OFFSET($DS$3,0,0,'Données projet'!$E$14+1,1))-AVERAGE(OFFSET($H$3,0,0,'Données projet'!$E$14+1,1))</f>
        <v>354.24684313982857</v>
      </c>
      <c r="DU155" s="59">
        <f t="shared" si="152"/>
        <v>322.65043486962185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9.7310775146367625</v>
      </c>
      <c r="EB155" s="21">
        <f>EXP(-LN(2)/25)*EB154+(1-EXP(-LN(2)/25))/(LN(2)/25)*Calculateur!DW155*Calculateur!DY155*VLOOKUP('Données projet'!$B$14,Paramètres!$A$1:$I$89,3,0)*0.475*44/12</f>
        <v>3.5218254168586345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13.252902931495397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-6.7984728957526396E-14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355.09162485318728</v>
      </c>
      <c r="T156" s="59">
        <f t="shared" si="142"/>
        <v>320.06572891923685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38.81249672027154</v>
      </c>
      <c r="AA156" s="21">
        <f>EXP(-LN(2)/25)*AA155+(1-EXP(-LN(2)/25))/(LN(2)/25)*Calculateur!V156*Calculateur!X156*VLOOKUP('Données projet'!$B$9,Paramètres!$A$1:$I$89,3,0)*0.475*44/12</f>
        <v>5.0146661277033129</v>
      </c>
      <c r="AB156" s="21">
        <f>EXP(-LN(2)/2)*AB155+(1-EXP(-LN(2)/2))/(LN(2)/2)*V156*Y156*VLOOKUP('Données projet'!$B$9,Paramètres!$A$1:$I$89,3,0)*0.475*44/12</f>
        <v>1.2010754864464638E-10</v>
      </c>
      <c r="AC156" s="22">
        <f t="shared" si="163"/>
        <v>43.827162848094964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5.1159076974727213E-13</v>
      </c>
      <c r="AJ156" s="13">
        <f>AI156*VLOOKUP('Données projet'!$B$10,Paramètres!$A$1:$I$89,3,0)*VLOOKUP('Données projet'!$B$10,Paramètres!$A$1:$I$89,5,0)</f>
        <v>2.3942448024172334E-13</v>
      </c>
      <c r="AK156" s="13">
        <f t="shared" si="164"/>
        <v>3.2492669905861755E-12</v>
      </c>
      <c r="AL156" s="20">
        <f t="shared" si="165"/>
        <v>6.0761376450252565E-12</v>
      </c>
      <c r="AM156" s="59">
        <f t="shared" si="113"/>
        <v>293.3333333333394</v>
      </c>
      <c r="AN156" s="59">
        <f ca="1">AVERAGE(OFFSET($AM$3,0,0,'Données projet'!$E$10+1,1))-AVERAGE(OFFSET($H$3,0,0,'Données projet'!$E$10+1,1))</f>
        <v>246.72166704460847</v>
      </c>
      <c r="AO156" s="59">
        <f t="shared" si="144"/>
        <v>145.54897745089966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55.942407355626429</v>
      </c>
      <c r="AV156" s="21">
        <f>EXP(-LN(2)/25)*AV155+(1-EXP(-LN(2)/25))/(LN(2)/25)*Calculateur!AQ156*Calculateur!AS156*VLOOKUP('Données projet'!$B$10,Paramètres!$A$1:$I$89,3,0)*0.475*44/12</f>
        <v>9.8161931049545288</v>
      </c>
      <c r="AW156" s="21">
        <f>EXP(-LN(2)/2)*AW155+(1-EXP(-LN(2)/2))/(LN(2)/2)*AQ156*AT156*VLOOKUP('Données projet'!$B$10,Paramètres!$A$1:$I$89,3,0)*0.475*44/12</f>
        <v>4.3746684371741673E-6</v>
      </c>
      <c r="AX156" s="21">
        <f t="shared" si="166"/>
        <v>65.7586048352494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88.478637356802039</v>
      </c>
      <c r="BJ156" s="59">
        <f t="shared" si="146"/>
        <v>239.55411297259155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3.2404068910436603</v>
      </c>
      <c r="BQ156" s="21">
        <f>EXP(-LN(2)/25)*BQ155+(1-EXP(-LN(2)/25))/(LN(2)/25)*Calculateur!BL156*Calculateur!BN156*VLOOKUP('Données projet'!$B$11,Paramètres!$A$1:$I$89,3,0)*0.475*44/12</f>
        <v>0.24116474188297912</v>
      </c>
      <c r="BR156" s="21">
        <f>EXP(-LN(2)/2)*BR155+(1-EXP(-LN(2)/2))/(LN(2)/2)*BL156*BO156*VLOOKUP('Données projet'!$B$11,Paramètres!$A$1:$I$89,3,0)*0.475*44/12</f>
        <v>1.3184630718324757E-19</v>
      </c>
      <c r="BS156" s="22">
        <f t="shared" si="169"/>
        <v>3.4815716329266393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6.2506410256410216</v>
      </c>
      <c r="BY156" s="12">
        <f>IF('Données projet'!$A$114&gt;35,BY155+BX156-CG155,IF(A156&lt;'Données projet'!$A$114,$BV$205^A156,IF(A156='Données projet'!$A$114,'Données projet'!$B$114,BY155+BX156-CG155)))</f>
        <v>344.8814102564109</v>
      </c>
      <c r="BZ156" s="13">
        <f>BY156*VLOOKUP('Données projet'!$B$12,Paramètres!$A$1:$I$89,3,0)*VLOOKUP('Données projet'!$B$12,Paramètres!$A$1:$I$89,5,0)</f>
        <v>312.04870000000057</v>
      </c>
      <c r="CA156" s="13">
        <f t="shared" si="170"/>
        <v>73.696516112930311</v>
      </c>
      <c r="CB156" s="20">
        <f t="shared" si="171"/>
        <v>671.83958473002122</v>
      </c>
      <c r="CC156" s="59">
        <f t="shared" si="119"/>
        <v>965.17291806335447</v>
      </c>
      <c r="CD156" s="59">
        <f ca="1">AVERAGE(OFFSET($CC$3,0,0,'Données projet'!$E$12+1,1))-AVERAGE(OFFSET($H$3,0,0,'Données projet'!$E$12+1,1))</f>
        <v>437.94387006020412</v>
      </c>
      <c r="CE156" s="59">
        <f t="shared" si="148"/>
        <v>213.95083535531376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50.306912129528492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50.306912129528492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5.4001247917767614E-13</v>
      </c>
      <c r="CU156" s="17">
        <f>CT156*VLOOKUP('Données projet'!$B$13,Paramètres!$A$1:$I$89,3,0)*VLOOKUP('Données projet'!$B$13,Paramètres!$A$1:$I$89,5,0)</f>
        <v>2.5974600248446226E-13</v>
      </c>
      <c r="CV156" s="13">
        <f t="shared" si="173"/>
        <v>3.4917846266292826E-12</v>
      </c>
      <c r="CW156" s="20">
        <f t="shared" si="174"/>
        <v>6.5339158457064384E-12</v>
      </c>
      <c r="CX156" s="59">
        <f t="shared" si="122"/>
        <v>293.33333333333985</v>
      </c>
      <c r="CY156" s="59">
        <f ca="1">AVERAGE(OFFSET($CX$3,0,0,'Données projet'!$E$13+1,1))-AVERAGE(OFFSET($H$3,0,0,'Données projet'!$E$13+1,1))</f>
        <v>258.42493116335032</v>
      </c>
      <c r="CZ156" s="59">
        <f t="shared" si="150"/>
        <v>102.46122697336466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69.450445536295817</v>
      </c>
      <c r="DG156" s="21">
        <f>EXP(-LN(2)/25)*DG155+(1-EXP(-LN(2)/25))/(LN(2)/25)*Calculateur!DB156*Calculateur!DD156*VLOOKUP('Données projet'!$B$13,Paramètres!$A$1:$I$89,3,0)*0.475*44/12</f>
        <v>12.29910352398174</v>
      </c>
      <c r="DH156" s="21">
        <f>EXP(-LN(2)/2)*DH155+(1-EXP(-LN(2)/2))/(LN(2)/2)*DB156*DE156*VLOOKUP('Données projet'!$B$13,Paramètres!$A$1:$I$89,3,0)*0.475*44/12</f>
        <v>1.340701304618818E-4</v>
      </c>
      <c r="DI156" s="22">
        <f t="shared" si="175"/>
        <v>81.749683130408016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243</v>
      </c>
      <c r="DP156" s="17">
        <f>DO156*VLOOKUP('Données projet'!$B$14,Paramètres!$A$1:$I$89,3,0)*VLOOKUP('Données projet'!$B$14,Paramètres!$A$1:$I$89,5,0)</f>
        <v>212.28480000000002</v>
      </c>
      <c r="DQ156" s="13">
        <f t="shared" si="176"/>
        <v>52.434557099704193</v>
      </c>
      <c r="DR156" s="20">
        <f t="shared" si="177"/>
        <v>461.05288028198476</v>
      </c>
      <c r="DS156" s="59">
        <f t="shared" si="125"/>
        <v>754.38621361531807</v>
      </c>
      <c r="DT156" s="59">
        <f ca="1">AVERAGE(OFFSET($DS$3,0,0,'Données projet'!$E$14+1,1))-AVERAGE(OFFSET($H$3,0,0,'Données projet'!$E$14+1,1))</f>
        <v>354.24684313982857</v>
      </c>
      <c r="DU156" s="59">
        <f t="shared" si="152"/>
        <v>322.65043486962185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9.5402570199459511</v>
      </c>
      <c r="EB156" s="21">
        <f>EXP(-LN(2)/25)*EB155+(1-EXP(-LN(2)/25))/(LN(2)/25)*Calculateur!DW156*Calculateur!DY156*VLOOKUP('Données projet'!$B$14,Paramètres!$A$1:$I$89,3,0)*0.475*44/12</f>
        <v>3.4255209156298858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12.965777935575836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-6.7984728957526396E-14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355.09162485318728</v>
      </c>
      <c r="T157" s="59">
        <f t="shared" si="142"/>
        <v>320.06572891923685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38.051407332872472</v>
      </c>
      <c r="AA157" s="21">
        <f>EXP(-LN(2)/25)*AA156+(1-EXP(-LN(2)/25))/(LN(2)/25)*Calculateur!V157*Calculateur!X157*VLOOKUP('Données projet'!$B$9,Paramètres!$A$1:$I$89,3,0)*0.475*44/12</f>
        <v>4.8775398187314352</v>
      </c>
      <c r="AB157" s="21">
        <f>EXP(-LN(2)/2)*AB156+(1-EXP(-LN(2)/2))/(LN(2)/2)*V157*Y157*VLOOKUP('Données projet'!$B$9,Paramètres!$A$1:$I$89,3,0)*0.475*44/12</f>
        <v>8.4928862118322577E-11</v>
      </c>
      <c r="AC157" s="22">
        <f t="shared" si="163"/>
        <v>42.928947151688838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5.1159076974727213E-13</v>
      </c>
      <c r="AJ157" s="13">
        <f>AI157*VLOOKUP('Données projet'!$B$10,Paramètres!$A$1:$I$89,3,0)*VLOOKUP('Données projet'!$B$10,Paramètres!$A$1:$I$89,5,0)</f>
        <v>2.3942448024172334E-13</v>
      </c>
      <c r="AK157" s="13">
        <f t="shared" si="164"/>
        <v>3.2492669905861755E-12</v>
      </c>
      <c r="AL157" s="20">
        <f t="shared" si="165"/>
        <v>6.0761376450252565E-12</v>
      </c>
      <c r="AM157" s="59">
        <f t="shared" si="113"/>
        <v>293.3333333333394</v>
      </c>
      <c r="AN157" s="59">
        <f ca="1">AVERAGE(OFFSET($AM$3,0,0,'Données projet'!$E$10+1,1))-AVERAGE(OFFSET($H$3,0,0,'Données projet'!$E$10+1,1))</f>
        <v>246.72166704460847</v>
      </c>
      <c r="AO157" s="59">
        <f t="shared" si="144"/>
        <v>145.54897745089966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54.845410868881864</v>
      </c>
      <c r="AV157" s="21">
        <f>EXP(-LN(2)/25)*AV156+(1-EXP(-LN(2)/25))/(LN(2)/25)*Calculateur!AQ157*Calculateur!AS157*VLOOKUP('Données projet'!$B$10,Paramètres!$A$1:$I$89,3,0)*0.475*44/12</f>
        <v>9.547768788288387</v>
      </c>
      <c r="AW157" s="21">
        <f>EXP(-LN(2)/2)*AW156+(1-EXP(-LN(2)/2))/(LN(2)/2)*AQ157*AT157*VLOOKUP('Données projet'!$B$10,Paramètres!$A$1:$I$89,3,0)*0.475*44/12</f>
        <v>3.0933577173686098E-6</v>
      </c>
      <c r="AX157" s="21">
        <f t="shared" si="166"/>
        <v>64.39318275052797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88.478637356802039</v>
      </c>
      <c r="BJ157" s="59">
        <f t="shared" si="146"/>
        <v>239.55411297259155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3.1768644883633392</v>
      </c>
      <c r="BQ157" s="21">
        <f>EXP(-LN(2)/25)*BQ156+(1-EXP(-LN(2)/25))/(LN(2)/25)*Calculateur!BL157*Calculateur!BN157*VLOOKUP('Données projet'!$B$11,Paramètres!$A$1:$I$89,3,0)*0.475*44/12</f>
        <v>0.23457007933388646</v>
      </c>
      <c r="BR157" s="21">
        <f>EXP(-LN(2)/2)*BR156+(1-EXP(-LN(2)/2))/(LN(2)/2)*BL157*BO157*VLOOKUP('Données projet'!$B$11,Paramètres!$A$1:$I$89,3,0)*0.475*44/12</f>
        <v>9.3229417883678971E-20</v>
      </c>
      <c r="BS157" s="22">
        <f t="shared" si="169"/>
        <v>3.4114345676972255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6.2506410256410216</v>
      </c>
      <c r="BY157" s="12">
        <f>IF('Données projet'!$A$114&gt;35,BY156+BX157-CG156,IF(A157&lt;'Données projet'!$A$114,$BV$205^A157,IF(A157='Données projet'!$A$114,'Données projet'!$B$114,BY156+BX157-CG156)))</f>
        <v>351.13205128205192</v>
      </c>
      <c r="BZ157" s="13">
        <f>BY157*VLOOKUP('Données projet'!$B$12,Paramètres!$A$1:$I$89,3,0)*VLOOKUP('Données projet'!$B$12,Paramètres!$A$1:$I$89,5,0)</f>
        <v>317.70428000000055</v>
      </c>
      <c r="CA157" s="13">
        <f t="shared" si="170"/>
        <v>74.875484492468047</v>
      </c>
      <c r="CB157" s="20">
        <f t="shared" si="171"/>
        <v>683.74308982438276</v>
      </c>
      <c r="CC157" s="59">
        <f t="shared" si="119"/>
        <v>977.07642315771614</v>
      </c>
      <c r="CD157" s="59">
        <f ca="1">AVERAGE(OFFSET($CC$3,0,0,'Données projet'!$E$12+1,1))-AVERAGE(OFFSET($H$3,0,0,'Données projet'!$E$12+1,1))</f>
        <v>437.94387006020412</v>
      </c>
      <c r="CE157" s="59">
        <f t="shared" si="148"/>
        <v>213.95083535531376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49.320424266855028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49.320424266855028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5.4001247917767614E-13</v>
      </c>
      <c r="CU157" s="17">
        <f>CT157*VLOOKUP('Données projet'!$B$13,Paramètres!$A$1:$I$89,3,0)*VLOOKUP('Données projet'!$B$13,Paramètres!$A$1:$I$89,5,0)</f>
        <v>2.5974600248446226E-13</v>
      </c>
      <c r="CV157" s="13">
        <f t="shared" si="173"/>
        <v>3.4917846266292826E-12</v>
      </c>
      <c r="CW157" s="20">
        <f t="shared" si="174"/>
        <v>6.5339158457064384E-12</v>
      </c>
      <c r="CX157" s="59">
        <f t="shared" si="122"/>
        <v>293.33333333333985</v>
      </c>
      <c r="CY157" s="59">
        <f ca="1">AVERAGE(OFFSET($CX$3,0,0,'Données projet'!$E$13+1,1))-AVERAGE(OFFSET($H$3,0,0,'Données projet'!$E$13+1,1))</f>
        <v>258.42493116335032</v>
      </c>
      <c r="CZ157" s="59">
        <f t="shared" si="150"/>
        <v>102.46122697336466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68.088564659918077</v>
      </c>
      <c r="DG157" s="21">
        <f>EXP(-LN(2)/25)*DG156+(1-EXP(-LN(2)/25))/(LN(2)/25)*Calculateur!DB157*Calculateur!DD157*VLOOKUP('Données projet'!$B$13,Paramètres!$A$1:$I$89,3,0)*0.475*44/12</f>
        <v>11.962783891336715</v>
      </c>
      <c r="DH157" s="21">
        <f>EXP(-LN(2)/2)*DH156+(1-EXP(-LN(2)/2))/(LN(2)/2)*DB157*DE157*VLOOKUP('Données projet'!$B$13,Paramètres!$A$1:$I$89,3,0)*0.475*44/12</f>
        <v>9.4801898404161736E-5</v>
      </c>
      <c r="DI157" s="22">
        <f t="shared" si="175"/>
        <v>80.051443353153189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243</v>
      </c>
      <c r="DP157" s="17">
        <f>DO157*VLOOKUP('Données projet'!$B$14,Paramètres!$A$1:$I$89,3,0)*VLOOKUP('Données projet'!$B$14,Paramètres!$A$1:$I$89,5,0)</f>
        <v>212.28480000000002</v>
      </c>
      <c r="DQ157" s="13">
        <f t="shared" si="176"/>
        <v>52.434557099704193</v>
      </c>
      <c r="DR157" s="20">
        <f t="shared" si="177"/>
        <v>461.05288028198476</v>
      </c>
      <c r="DS157" s="59">
        <f t="shared" si="125"/>
        <v>754.38621361531807</v>
      </c>
      <c r="DT157" s="59">
        <f ca="1">AVERAGE(OFFSET($DS$3,0,0,'Données projet'!$E$14+1,1))-AVERAGE(OFFSET($H$3,0,0,'Données projet'!$E$14+1,1))</f>
        <v>354.24684313982857</v>
      </c>
      <c r="DU157" s="59">
        <f t="shared" si="152"/>
        <v>322.65043486962185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9.3531783987670156</v>
      </c>
      <c r="EB157" s="21">
        <f>EXP(-LN(2)/25)*EB156+(1-EXP(-LN(2)/25))/(LN(2)/25)*Calculateur!DW157*Calculateur!DY157*VLOOKUP('Données projet'!$B$14,Paramètres!$A$1:$I$89,3,0)*0.475*44/12</f>
        <v>3.3318498660516709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12.685028264818687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-6.7984728957526396E-14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355.09162485318728</v>
      </c>
      <c r="T158" s="59">
        <f t="shared" si="142"/>
        <v>320.06572891923685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37.305242444141612</v>
      </c>
      <c r="AA158" s="21">
        <f>EXP(-LN(2)/25)*AA157+(1-EXP(-LN(2)/25))/(LN(2)/25)*Calculateur!V158*Calculateur!X158*VLOOKUP('Données projet'!$B$9,Paramètres!$A$1:$I$89,3,0)*0.475*44/12</f>
        <v>4.7441632358895527</v>
      </c>
      <c r="AB158" s="21">
        <f>EXP(-LN(2)/2)*AB157+(1-EXP(-LN(2)/2))/(LN(2)/2)*V158*Y158*VLOOKUP('Données projet'!$B$9,Paramètres!$A$1:$I$89,3,0)*0.475*44/12</f>
        <v>6.0053774322323188E-11</v>
      </c>
      <c r="AC158" s="22">
        <f t="shared" si="163"/>
        <v>42.049405680091219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5.1159076974727213E-13</v>
      </c>
      <c r="AJ158" s="13">
        <f>AI158*VLOOKUP('Données projet'!$B$10,Paramètres!$A$1:$I$89,3,0)*VLOOKUP('Données projet'!$B$10,Paramètres!$A$1:$I$89,5,0)</f>
        <v>2.3942448024172334E-13</v>
      </c>
      <c r="AK158" s="13">
        <f t="shared" si="164"/>
        <v>3.2492669905861755E-12</v>
      </c>
      <c r="AL158" s="20">
        <f t="shared" si="165"/>
        <v>6.0761376450252565E-12</v>
      </c>
      <c r="AM158" s="59">
        <f t="shared" si="113"/>
        <v>293.3333333333394</v>
      </c>
      <c r="AN158" s="59">
        <f ca="1">AVERAGE(OFFSET($AM$3,0,0,'Données projet'!$E$10+1,1))-AVERAGE(OFFSET($H$3,0,0,'Données projet'!$E$10+1,1))</f>
        <v>246.72166704460847</v>
      </c>
      <c r="AO158" s="59">
        <f t="shared" si="144"/>
        <v>145.54897745089966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53.769925814140571</v>
      </c>
      <c r="AV158" s="21">
        <f>EXP(-LN(2)/25)*AV157+(1-EXP(-LN(2)/25))/(LN(2)/25)*Calculateur!AQ158*Calculateur!AS158*VLOOKUP('Données projet'!$B$10,Paramètres!$A$1:$I$89,3,0)*0.475*44/12</f>
        <v>9.286684548677302</v>
      </c>
      <c r="AW158" s="21">
        <f>EXP(-LN(2)/2)*AW157+(1-EXP(-LN(2)/2))/(LN(2)/2)*AQ158*AT158*VLOOKUP('Données projet'!$B$10,Paramètres!$A$1:$I$89,3,0)*0.475*44/12</f>
        <v>2.1873342185870837E-6</v>
      </c>
      <c r="AX158" s="21">
        <f t="shared" si="166"/>
        <v>63.056612550152089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88.478637356802039</v>
      </c>
      <c r="BJ158" s="59">
        <f t="shared" si="146"/>
        <v>239.55411297259155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3.1145681134425405</v>
      </c>
      <c r="BQ158" s="21">
        <f>EXP(-LN(2)/25)*BQ157+(1-EXP(-LN(2)/25))/(LN(2)/25)*Calculateur!BL158*Calculateur!BN158*VLOOKUP('Données projet'!$B$11,Paramètres!$A$1:$I$89,3,0)*0.475*44/12</f>
        <v>0.22815574817899698</v>
      </c>
      <c r="BR158" s="21">
        <f>EXP(-LN(2)/2)*BR157+(1-EXP(-LN(2)/2))/(LN(2)/2)*BL158*BO158*VLOOKUP('Données projet'!$B$11,Paramètres!$A$1:$I$89,3,0)*0.475*44/12</f>
        <v>6.5923153591623786E-20</v>
      </c>
      <c r="BS158" s="22">
        <f t="shared" si="169"/>
        <v>3.3427238616215376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6.2506410256410216</v>
      </c>
      <c r="BY158" s="12">
        <f>IF('Données projet'!$A$114&gt;35,BY157+BX158-CG157,IF(A158&lt;'Données projet'!$A$114,$BV$205^A158,IF(A158='Données projet'!$A$114,'Données projet'!$B$114,BY157+BX158-CG157)))</f>
        <v>357.38269230769293</v>
      </c>
      <c r="BZ158" s="13">
        <f>BY158*VLOOKUP('Données projet'!$B$12,Paramètres!$A$1:$I$89,3,0)*VLOOKUP('Données projet'!$B$12,Paramètres!$A$1:$I$89,5,0)</f>
        <v>323.35986000000059</v>
      </c>
      <c r="CA158" s="13">
        <f t="shared" si="170"/>
        <v>76.052012345086553</v>
      </c>
      <c r="CB158" s="20">
        <f t="shared" si="171"/>
        <v>695.64234433436002</v>
      </c>
      <c r="CC158" s="59">
        <f t="shared" si="119"/>
        <v>988.97567766769339</v>
      </c>
      <c r="CD158" s="59">
        <f ca="1">AVERAGE(OFFSET($CC$3,0,0,'Données projet'!$E$12+1,1))-AVERAGE(OFFSET($H$3,0,0,'Données projet'!$E$12+1,1))</f>
        <v>437.94387006020412</v>
      </c>
      <c r="CE158" s="59">
        <f t="shared" si="148"/>
        <v>213.95083535531376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48.353280829470407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48.353280829470407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5.4001247917767614E-13</v>
      </c>
      <c r="CU158" s="17">
        <f>CT158*VLOOKUP('Données projet'!$B$13,Paramètres!$A$1:$I$89,3,0)*VLOOKUP('Données projet'!$B$13,Paramètres!$A$1:$I$89,5,0)</f>
        <v>2.5974600248446226E-13</v>
      </c>
      <c r="CV158" s="13">
        <f t="shared" si="173"/>
        <v>3.4917846266292826E-12</v>
      </c>
      <c r="CW158" s="20">
        <f t="shared" si="174"/>
        <v>6.5339158457064384E-12</v>
      </c>
      <c r="CX158" s="59">
        <f t="shared" si="122"/>
        <v>293.33333333333985</v>
      </c>
      <c r="CY158" s="59">
        <f ca="1">AVERAGE(OFFSET($CX$3,0,0,'Données projet'!$E$13+1,1))-AVERAGE(OFFSET($H$3,0,0,'Données projet'!$E$13+1,1))</f>
        <v>258.42493116335032</v>
      </c>
      <c r="CZ158" s="59">
        <f t="shared" si="150"/>
        <v>102.46122697336466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66.753389436860786</v>
      </c>
      <c r="DG158" s="21">
        <f>EXP(-LN(2)/25)*DG157+(1-EXP(-LN(2)/25))/(LN(2)/25)*Calculateur!DB158*Calculateur!DD158*VLOOKUP('Données projet'!$B$13,Paramètres!$A$1:$I$89,3,0)*0.475*44/12</f>
        <v>11.635660936732648</v>
      </c>
      <c r="DH158" s="21">
        <f>EXP(-LN(2)/2)*DH157+(1-EXP(-LN(2)/2))/(LN(2)/2)*DB158*DE158*VLOOKUP('Données projet'!$B$13,Paramètres!$A$1:$I$89,3,0)*0.475*44/12</f>
        <v>6.7035065230940899E-5</v>
      </c>
      <c r="DI158" s="22">
        <f t="shared" si="175"/>
        <v>78.389117408658663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243</v>
      </c>
      <c r="DP158" s="17">
        <f>DO158*VLOOKUP('Données projet'!$B$14,Paramètres!$A$1:$I$89,3,0)*VLOOKUP('Données projet'!$B$14,Paramètres!$A$1:$I$89,5,0)</f>
        <v>212.28480000000002</v>
      </c>
      <c r="DQ158" s="13">
        <f t="shared" si="176"/>
        <v>52.434557099704193</v>
      </c>
      <c r="DR158" s="20">
        <f t="shared" si="177"/>
        <v>461.05288028198476</v>
      </c>
      <c r="DS158" s="59">
        <f t="shared" si="125"/>
        <v>754.38621361531807</v>
      </c>
      <c r="DT158" s="59">
        <f ca="1">AVERAGE(OFFSET($DS$3,0,0,'Données projet'!$E$14+1,1))-AVERAGE(OFFSET($H$3,0,0,'Données projet'!$E$14+1,1))</f>
        <v>354.24684313982857</v>
      </c>
      <c r="DU158" s="59">
        <f t="shared" si="152"/>
        <v>322.65043486962185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9.1697682752427081</v>
      </c>
      <c r="EB158" s="21">
        <f>EXP(-LN(2)/25)*EB157+(1-EXP(-LN(2)/25))/(LN(2)/25)*Calculateur!DW158*Calculateur!DY158*VLOOKUP('Données projet'!$B$14,Paramètres!$A$1:$I$89,3,0)*0.475*44/12</f>
        <v>3.2407402562501186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12.410508531492827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-6.7984728957526396E-14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355.09162485318728</v>
      </c>
      <c r="T159" s="59">
        <f t="shared" si="142"/>
        <v>320.06572891923685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36.573709393763117</v>
      </c>
      <c r="AA159" s="21">
        <f>EXP(-LN(2)/25)*AA158+(1-EXP(-LN(2)/25))/(LN(2)/25)*Calculateur!V159*Calculateur!X159*VLOOKUP('Données projet'!$B$9,Paramètres!$A$1:$I$89,3,0)*0.475*44/12</f>
        <v>4.6144338427194516</v>
      </c>
      <c r="AB159" s="21">
        <f>EXP(-LN(2)/2)*AB158+(1-EXP(-LN(2)/2))/(LN(2)/2)*V159*Y159*VLOOKUP('Données projet'!$B$9,Paramètres!$A$1:$I$89,3,0)*0.475*44/12</f>
        <v>4.2464431059161289E-11</v>
      </c>
      <c r="AC159" s="22">
        <f t="shared" si="163"/>
        <v>41.188143236525029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5.1159076974727213E-13</v>
      </c>
      <c r="AJ159" s="13">
        <f>AI159*VLOOKUP('Données projet'!$B$10,Paramètres!$A$1:$I$89,3,0)*VLOOKUP('Données projet'!$B$10,Paramètres!$A$1:$I$89,5,0)</f>
        <v>2.3942448024172334E-13</v>
      </c>
      <c r="AK159" s="13">
        <f t="shared" si="164"/>
        <v>3.2492669905861755E-12</v>
      </c>
      <c r="AL159" s="20">
        <f t="shared" si="165"/>
        <v>6.0761376450252565E-12</v>
      </c>
      <c r="AM159" s="59">
        <f t="shared" si="113"/>
        <v>293.3333333333394</v>
      </c>
      <c r="AN159" s="59">
        <f ca="1">AVERAGE(OFFSET($AM$3,0,0,'Données projet'!$E$10+1,1))-AVERAGE(OFFSET($H$3,0,0,'Données projet'!$E$10+1,1))</f>
        <v>246.72166704460847</v>
      </c>
      <c r="AO159" s="59">
        <f t="shared" si="144"/>
        <v>145.54897745089966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52.715530365341642</v>
      </c>
      <c r="AV159" s="21">
        <f>EXP(-LN(2)/25)*AV158+(1-EXP(-LN(2)/25))/(LN(2)/25)*Calculateur!AQ159*Calculateur!AS159*VLOOKUP('Données projet'!$B$10,Paramètres!$A$1:$I$89,3,0)*0.475*44/12</f>
        <v>9.0327396713282049</v>
      </c>
      <c r="AW159" s="21">
        <f>EXP(-LN(2)/2)*AW158+(1-EXP(-LN(2)/2))/(LN(2)/2)*AQ159*AT159*VLOOKUP('Données projet'!$B$10,Paramètres!$A$1:$I$89,3,0)*0.475*44/12</f>
        <v>1.5466788586843049E-6</v>
      </c>
      <c r="AX159" s="21">
        <f t="shared" si="166"/>
        <v>61.748271583348711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88.478637356802039</v>
      </c>
      <c r="BJ159" s="59">
        <f t="shared" si="146"/>
        <v>239.55411297259155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3.0534933324369016</v>
      </c>
      <c r="BQ159" s="21">
        <f>EXP(-LN(2)/25)*BQ158+(1-EXP(-LN(2)/25))/(LN(2)/25)*Calculateur!BL159*Calculateur!BN159*VLOOKUP('Données projet'!$B$11,Paramètres!$A$1:$I$89,3,0)*0.475*44/12</f>
        <v>0.22191681724685297</v>
      </c>
      <c r="BR159" s="21">
        <f>EXP(-LN(2)/2)*BR158+(1-EXP(-LN(2)/2))/(LN(2)/2)*BL159*BO159*VLOOKUP('Données projet'!$B$11,Paramètres!$A$1:$I$89,3,0)*0.475*44/12</f>
        <v>4.6614708941839486E-20</v>
      </c>
      <c r="BS159" s="22">
        <f t="shared" si="169"/>
        <v>3.2754101496837547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6.2506410256410216</v>
      </c>
      <c r="BY159" s="12">
        <f>IF('Données projet'!$A$114&gt;35,BY158+BX159-CG158,IF(A159&lt;'Données projet'!$A$114,$BV$205^A159,IF(A159='Données projet'!$A$114,'Données projet'!$B$114,BY158+BX159-CG158)))</f>
        <v>363.63333333333395</v>
      </c>
      <c r="BZ159" s="13">
        <f>BY159*VLOOKUP('Données projet'!$B$12,Paramètres!$A$1:$I$89,3,0)*VLOOKUP('Données projet'!$B$12,Paramètres!$A$1:$I$89,5,0)</f>
        <v>329.01544000000052</v>
      </c>
      <c r="CA159" s="13">
        <f t="shared" si="170"/>
        <v>77.226147280668073</v>
      </c>
      <c r="CB159" s="20">
        <f t="shared" si="171"/>
        <v>707.53743118049772</v>
      </c>
      <c r="CC159" s="59">
        <f t="shared" si="119"/>
        <v>1000.8707645138311</v>
      </c>
      <c r="CD159" s="59">
        <f ca="1">AVERAGE(OFFSET($CC$3,0,0,'Données projet'!$E$12+1,1))-AVERAGE(OFFSET($H$3,0,0,'Données projet'!$E$12+1,1))</f>
        <v>437.94387006020412</v>
      </c>
      <c r="CE159" s="59">
        <f t="shared" si="148"/>
        <v>213.95083535531376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47.405102484993648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47.405102484993648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5.4001247917767614E-13</v>
      </c>
      <c r="CU159" s="17">
        <f>CT159*VLOOKUP('Données projet'!$B$13,Paramètres!$A$1:$I$89,3,0)*VLOOKUP('Données projet'!$B$13,Paramètres!$A$1:$I$89,5,0)</f>
        <v>2.5974600248446226E-13</v>
      </c>
      <c r="CV159" s="13">
        <f t="shared" si="173"/>
        <v>3.4917846266292826E-12</v>
      </c>
      <c r="CW159" s="20">
        <f t="shared" si="174"/>
        <v>6.5339158457064384E-12</v>
      </c>
      <c r="CX159" s="59">
        <f t="shared" si="122"/>
        <v>293.33333333333985</v>
      </c>
      <c r="CY159" s="59">
        <f ca="1">AVERAGE(OFFSET($CX$3,0,0,'Données projet'!$E$13+1,1))-AVERAGE(OFFSET($H$3,0,0,'Données projet'!$E$13+1,1))</f>
        <v>258.42493116335032</v>
      </c>
      <c r="CZ159" s="59">
        <f t="shared" si="150"/>
        <v>102.46122697336466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65.44439618555117</v>
      </c>
      <c r="DG159" s="21">
        <f>EXP(-LN(2)/25)*DG158+(1-EXP(-LN(2)/25))/(LN(2)/25)*Calculateur!DB159*Calculateur!DD159*VLOOKUP('Données projet'!$B$13,Paramètres!$A$1:$I$89,3,0)*0.475*44/12</f>
        <v>11.317483176524879</v>
      </c>
      <c r="DH159" s="21">
        <f>EXP(-LN(2)/2)*DH158+(1-EXP(-LN(2)/2))/(LN(2)/2)*DB159*DE159*VLOOKUP('Données projet'!$B$13,Paramètres!$A$1:$I$89,3,0)*0.475*44/12</f>
        <v>4.7400949202080868E-5</v>
      </c>
      <c r="DI159" s="22">
        <f t="shared" si="175"/>
        <v>76.761926763025244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243</v>
      </c>
      <c r="DP159" s="17">
        <f>DO159*VLOOKUP('Données projet'!$B$14,Paramètres!$A$1:$I$89,3,0)*VLOOKUP('Données projet'!$B$14,Paramètres!$A$1:$I$89,5,0)</f>
        <v>212.28480000000002</v>
      </c>
      <c r="DQ159" s="13">
        <f t="shared" si="176"/>
        <v>52.434557099704193</v>
      </c>
      <c r="DR159" s="20">
        <f t="shared" si="177"/>
        <v>461.05288028198476</v>
      </c>
      <c r="DS159" s="59">
        <f t="shared" si="125"/>
        <v>754.38621361531807</v>
      </c>
      <c r="DT159" s="59">
        <f ca="1">AVERAGE(OFFSET($DS$3,0,0,'Données projet'!$E$14+1,1))-AVERAGE(OFFSET($H$3,0,0,'Données projet'!$E$14+1,1))</f>
        <v>354.24684313982857</v>
      </c>
      <c r="DU159" s="59">
        <f t="shared" si="152"/>
        <v>322.65043486962185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8.9899547123715831</v>
      </c>
      <c r="EB159" s="21">
        <f>EXP(-LN(2)/25)*EB158+(1-EXP(-LN(2)/25))/(LN(2)/25)*Calculateur!DW159*Calculateur!DY159*VLOOKUP('Données projet'!$B$14,Paramètres!$A$1:$I$89,3,0)*0.475*44/12</f>
        <v>3.152122043519836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12.14207675589142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-6.7984728957526396E-14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355.09162485318728</v>
      </c>
      <c r="T160" s="59">
        <f t="shared" si="142"/>
        <v>320.06572891923685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35.856521260311446</v>
      </c>
      <c r="AA160" s="21">
        <f>EXP(-LN(2)/25)*AA159+(1-EXP(-LN(2)/25))/(LN(2)/25)*Calculateur!V160*Calculateur!X160*VLOOKUP('Données projet'!$B$9,Paramètres!$A$1:$I$89,3,0)*0.475*44/12</f>
        <v>4.4882519066277586</v>
      </c>
      <c r="AB160" s="21">
        <f>EXP(-LN(2)/2)*AB159+(1-EXP(-LN(2)/2))/(LN(2)/2)*V160*Y160*VLOOKUP('Données projet'!$B$9,Paramètres!$A$1:$I$89,3,0)*0.475*44/12</f>
        <v>3.0026887161161594E-11</v>
      </c>
      <c r="AC160" s="22">
        <f t="shared" si="163"/>
        <v>40.344773166969233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5.1159076974727213E-13</v>
      </c>
      <c r="AJ160" s="13">
        <f>AI160*VLOOKUP('Données projet'!$B$10,Paramètres!$A$1:$I$89,3,0)*VLOOKUP('Données projet'!$B$10,Paramètres!$A$1:$I$89,5,0)</f>
        <v>2.3942448024172334E-13</v>
      </c>
      <c r="AK160" s="13">
        <f t="shared" si="164"/>
        <v>3.2492669905861755E-12</v>
      </c>
      <c r="AL160" s="20">
        <f t="shared" si="165"/>
        <v>6.0761376450252565E-12</v>
      </c>
      <c r="AM160" s="59">
        <f t="shared" si="113"/>
        <v>293.3333333333394</v>
      </c>
      <c r="AN160" s="59">
        <f ca="1">AVERAGE(OFFSET($AM$3,0,0,'Données projet'!$E$10+1,1))-AVERAGE(OFFSET($H$3,0,0,'Données projet'!$E$10+1,1))</f>
        <v>246.72166704460847</v>
      </c>
      <c r="AO160" s="59">
        <f t="shared" si="144"/>
        <v>145.54897745089966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51.681810968175938</v>
      </c>
      <c r="AV160" s="21">
        <f>EXP(-LN(2)/25)*AV159+(1-EXP(-LN(2)/25))/(LN(2)/25)*Calculateur!AQ160*Calculateur!AS160*VLOOKUP('Données projet'!$B$10,Paramètres!$A$1:$I$89,3,0)*0.475*44/12</f>
        <v>8.7857389300045998</v>
      </c>
      <c r="AW160" s="21">
        <f>EXP(-LN(2)/2)*AW159+(1-EXP(-LN(2)/2))/(LN(2)/2)*AQ160*AT160*VLOOKUP('Données projet'!$B$10,Paramètres!$A$1:$I$89,3,0)*0.475*44/12</f>
        <v>1.0936671092935418E-6</v>
      </c>
      <c r="AX160" s="21">
        <f t="shared" si="166"/>
        <v>60.467550991847645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88.478637356802039</v>
      </c>
      <c r="BJ160" s="59">
        <f t="shared" si="146"/>
        <v>239.55411297259155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2.9936161906348455</v>
      </c>
      <c r="BQ160" s="21">
        <f>EXP(-LN(2)/25)*BQ159+(1-EXP(-LN(2)/25))/(LN(2)/25)*Calculateur!BL160*Calculateur!BN160*VLOOKUP('Données projet'!$B$11,Paramètres!$A$1:$I$89,3,0)*0.475*44/12</f>
        <v>0.21584849020913954</v>
      </c>
      <c r="BR160" s="21">
        <f>EXP(-LN(2)/2)*BR159+(1-EXP(-LN(2)/2))/(LN(2)/2)*BL160*BO160*VLOOKUP('Données projet'!$B$11,Paramètres!$A$1:$I$89,3,0)*0.475*44/12</f>
        <v>3.2961576795811893E-20</v>
      </c>
      <c r="BS160" s="22">
        <f t="shared" si="169"/>
        <v>3.2094646808439853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6.2506410256410216</v>
      </c>
      <c r="BY160" s="12">
        <f>IF('Données projet'!$A$114&gt;35,BY159+BX160-CG159,IF(A160&lt;'Données projet'!$A$114,$BV$205^A160,IF(A160='Données projet'!$A$114,'Données projet'!$B$114,BY159+BX160-CG159)))</f>
        <v>369.88397435897497</v>
      </c>
      <c r="BZ160" s="13">
        <f>BY160*VLOOKUP('Données projet'!$B$12,Paramètres!$A$1:$I$89,3,0)*VLOOKUP('Données projet'!$B$12,Paramètres!$A$1:$I$89,5,0)</f>
        <v>334.67102000000051</v>
      </c>
      <c r="CA160" s="13">
        <f t="shared" si="170"/>
        <v>78.397935178540251</v>
      </c>
      <c r="CB160" s="20">
        <f t="shared" si="171"/>
        <v>719.42843026929188</v>
      </c>
      <c r="CC160" s="59">
        <f t="shared" si="119"/>
        <v>1012.7617636026253</v>
      </c>
      <c r="CD160" s="59">
        <f ca="1">AVERAGE(OFFSET($CC$3,0,0,'Données projet'!$E$12+1,1))-AVERAGE(OFFSET($H$3,0,0,'Données projet'!$E$12+1,1))</f>
        <v>437.94387006020412</v>
      </c>
      <c r="CE160" s="59">
        <f t="shared" si="148"/>
        <v>213.95083535531376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46.475517339520394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46.475517339520394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5.4001247917767614E-13</v>
      </c>
      <c r="CU160" s="17">
        <f>CT160*VLOOKUP('Données projet'!$B$13,Paramètres!$A$1:$I$89,3,0)*VLOOKUP('Données projet'!$B$13,Paramètres!$A$1:$I$89,5,0)</f>
        <v>2.5974600248446226E-13</v>
      </c>
      <c r="CV160" s="13">
        <f t="shared" si="173"/>
        <v>3.4917846266292826E-12</v>
      </c>
      <c r="CW160" s="20">
        <f t="shared" si="174"/>
        <v>6.5339158457064384E-12</v>
      </c>
      <c r="CX160" s="59">
        <f t="shared" si="122"/>
        <v>293.33333333333985</v>
      </c>
      <c r="CY160" s="59">
        <f ca="1">AVERAGE(OFFSET($CX$3,0,0,'Données projet'!$E$13+1,1))-AVERAGE(OFFSET($H$3,0,0,'Données projet'!$E$13+1,1))</f>
        <v>258.42493116335032</v>
      </c>
      <c r="CZ160" s="59">
        <f t="shared" si="150"/>
        <v>102.46122697336466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64.161071493492699</v>
      </c>
      <c r="DG160" s="21">
        <f>EXP(-LN(2)/25)*DG159+(1-EXP(-LN(2)/25))/(LN(2)/25)*Calculateur!DB160*Calculateur!DD160*VLOOKUP('Données projet'!$B$13,Paramètres!$A$1:$I$89,3,0)*0.475*44/12</f>
        <v>11.008006003902233</v>
      </c>
      <c r="DH160" s="21">
        <f>EXP(-LN(2)/2)*DH159+(1-EXP(-LN(2)/2))/(LN(2)/2)*DB160*DE160*VLOOKUP('Données projet'!$B$13,Paramètres!$A$1:$I$89,3,0)*0.475*44/12</f>
        <v>3.351753261547045E-5</v>
      </c>
      <c r="DI160" s="22">
        <f t="shared" si="175"/>
        <v>75.169111014927552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243</v>
      </c>
      <c r="DP160" s="17">
        <f>DO160*VLOOKUP('Données projet'!$B$14,Paramètres!$A$1:$I$89,3,0)*VLOOKUP('Données projet'!$B$14,Paramètres!$A$1:$I$89,5,0)</f>
        <v>212.28480000000002</v>
      </c>
      <c r="DQ160" s="13">
        <f t="shared" si="176"/>
        <v>52.434557099704193</v>
      </c>
      <c r="DR160" s="20">
        <f t="shared" si="177"/>
        <v>461.05288028198476</v>
      </c>
      <c r="DS160" s="59">
        <f t="shared" si="125"/>
        <v>754.38621361531807</v>
      </c>
      <c r="DT160" s="59">
        <f ca="1">AVERAGE(OFFSET($DS$3,0,0,'Données projet'!$E$14+1,1))-AVERAGE(OFFSET($H$3,0,0,'Données projet'!$E$14+1,1))</f>
        <v>354.24684313982857</v>
      </c>
      <c r="DU160" s="59">
        <f t="shared" si="152"/>
        <v>322.65043486962185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8.8136671837929175</v>
      </c>
      <c r="EB160" s="21">
        <f>EXP(-LN(2)/25)*EB159+(1-EXP(-LN(2)/25))/(LN(2)/25)*Calculateur!DW160*Calculateur!DY160*VLOOKUP('Données projet'!$B$14,Paramètres!$A$1:$I$89,3,0)*0.475*44/12</f>
        <v>3.065927100476892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11.87959428426981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-6.7984728957526396E-14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355.09162485318728</v>
      </c>
      <c r="T161" s="59">
        <f t="shared" si="142"/>
        <v>320.06572891923685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35.153396748715195</v>
      </c>
      <c r="AA161" s="21">
        <f>EXP(-LN(2)/25)*AA160+(1-EXP(-LN(2)/25))/(LN(2)/25)*Calculateur!V161*Calculateur!X161*VLOOKUP('Données projet'!$B$9,Paramètres!$A$1:$I$89,3,0)*0.475*44/12</f>
        <v>4.3655204222141126</v>
      </c>
      <c r="AB161" s="21">
        <f>EXP(-LN(2)/2)*AB160+(1-EXP(-LN(2)/2))/(LN(2)/2)*V161*Y161*VLOOKUP('Données projet'!$B$9,Paramètres!$A$1:$I$89,3,0)*0.475*44/12</f>
        <v>2.1232215529580644E-11</v>
      </c>
      <c r="AC161" s="22">
        <f t="shared" si="163"/>
        <v>39.518917170950537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5.1159076974727213E-13</v>
      </c>
      <c r="AJ161" s="13">
        <f>AI161*VLOOKUP('Données projet'!$B$10,Paramètres!$A$1:$I$89,3,0)*VLOOKUP('Données projet'!$B$10,Paramètres!$A$1:$I$89,5,0)</f>
        <v>2.3942448024172334E-13</v>
      </c>
      <c r="AK161" s="13">
        <f t="shared" si="164"/>
        <v>3.2492669905861755E-12</v>
      </c>
      <c r="AL161" s="20">
        <f t="shared" si="165"/>
        <v>6.0761376450252565E-12</v>
      </c>
      <c r="AM161" s="59">
        <f t="shared" si="113"/>
        <v>293.3333333333394</v>
      </c>
      <c r="AN161" s="59">
        <f ca="1">AVERAGE(OFFSET($AM$3,0,0,'Données projet'!$E$10+1,1))-AVERAGE(OFFSET($H$3,0,0,'Données projet'!$E$10+1,1))</f>
        <v>246.72166704460847</v>
      </c>
      <c r="AO161" s="59">
        <f t="shared" si="144"/>
        <v>145.54897745089966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50.668362177882081</v>
      </c>
      <c r="AV161" s="21">
        <f>EXP(-LN(2)/25)*AV160+(1-EXP(-LN(2)/25))/(LN(2)/25)*Calculateur!AQ161*Calculateur!AS161*VLOOKUP('Données projet'!$B$10,Paramètres!$A$1:$I$89,3,0)*0.475*44/12</f>
        <v>8.5454924369416929</v>
      </c>
      <c r="AW161" s="21">
        <f>EXP(-LN(2)/2)*AW160+(1-EXP(-LN(2)/2))/(LN(2)/2)*AQ161*AT161*VLOOKUP('Données projet'!$B$10,Paramètres!$A$1:$I$89,3,0)*0.475*44/12</f>
        <v>7.7333942934215246E-7</v>
      </c>
      <c r="AX161" s="21">
        <f t="shared" si="166"/>
        <v>59.213855388163203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88.478637356802039</v>
      </c>
      <c r="BJ161" s="59">
        <f t="shared" si="146"/>
        <v>239.55411297259155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2.9349132030620773</v>
      </c>
      <c r="BQ161" s="21">
        <f>EXP(-LN(2)/25)*BQ160+(1-EXP(-LN(2)/25))/(LN(2)/25)*Calculateur!BL161*Calculateur!BN161*VLOOKUP('Données projet'!$B$11,Paramètres!$A$1:$I$89,3,0)*0.475*44/12</f>
        <v>0.20994610189339186</v>
      </c>
      <c r="BR161" s="21">
        <f>EXP(-LN(2)/2)*BR160+(1-EXP(-LN(2)/2))/(LN(2)/2)*BL161*BO161*VLOOKUP('Données projet'!$B$11,Paramètres!$A$1:$I$89,3,0)*0.475*44/12</f>
        <v>2.3307354470919743E-20</v>
      </c>
      <c r="BS161" s="22">
        <f t="shared" si="169"/>
        <v>3.1448593049554692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>
        <f>VLOOKUP(A161,'Données projet'!$A$113:$I$133,2,0)</f>
        <v>376.13461538461536</v>
      </c>
      <c r="BW161" s="12">
        <f>VLOOKUP(A161,'Données projet'!$A$113:$I$133,9,0)</f>
        <v>6.2506410256410216</v>
      </c>
      <c r="BX161" s="12">
        <f t="array" ref="BX161">INDEX(BW:BW,MIN(IF(ISNUMBER(BW161:BW357),ROW(BW161:BW357),"")))</f>
        <v>6.2506410256410216</v>
      </c>
      <c r="BY161" s="12">
        <f>IF('Données projet'!$A$114&gt;35,BY160+BX161-CG160,IF(A161&lt;'Données projet'!$A$114,$BV$205^A161,IF(A161='Données projet'!$A$114,'Données projet'!$B$114,BY160+BX161-CG160)))</f>
        <v>376.13461538461598</v>
      </c>
      <c r="BZ161" s="13">
        <f>BY161*VLOOKUP('Données projet'!$B$12,Paramètres!$A$1:$I$89,3,0)*VLOOKUP('Données projet'!$B$12,Paramètres!$A$1:$I$89,5,0)</f>
        <v>340.32660000000055</v>
      </c>
      <c r="CA161" s="13">
        <f t="shared" si="170"/>
        <v>79.567420278541491</v>
      </c>
      <c r="CB161" s="20">
        <f t="shared" si="171"/>
        <v>731.31541865179406</v>
      </c>
      <c r="CC161" s="59">
        <f t="shared" si="119"/>
        <v>1024.6487519851273</v>
      </c>
      <c r="CD161" s="59">
        <f ca="1">AVERAGE(OFFSET($CC$3,0,0,'Données projet'!$E$12+1,1))-AVERAGE(OFFSET($H$3,0,0,'Données projet'!$E$12+1,1))</f>
        <v>437.94387006020412</v>
      </c>
      <c r="CE161" s="59">
        <f t="shared" si="148"/>
        <v>213.95083535531376</v>
      </c>
      <c r="CF161" s="15">
        <f>IF(ISNA(VLOOKUP(A161,'Données projet'!$A$113:$I$133,3,0)),0,VLOOKUP(A161,'Données projet'!$A$113:$I$133,3,0))</f>
        <v>14</v>
      </c>
      <c r="CG161" s="15">
        <f>IF(ISNA(VLOOKUP(A161,'Données projet'!$A$113:$I$133,4,0)),0,VLOOKUP(A161,'Données projet'!$A$113:$I$133,4,0))</f>
        <v>44.42307692307692</v>
      </c>
      <c r="CH161" s="16">
        <f>IF(ISNA(VLOOKUP(A161,'Données projet'!$A$113:$I$133,5,0)),0%,VLOOKUP(A161,'Données projet'!$A$113:$I$133,5,0)*VLOOKUP('Données projet'!$B$12,Paramètres!$A$1:$I$89,7,0))</f>
        <v>0.38700000000000001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62.759838772083555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62.759838772083555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5.4001247917767614E-13</v>
      </c>
      <c r="CU161" s="17">
        <f>CT161*VLOOKUP('Données projet'!$B$13,Paramètres!$A$1:$I$89,3,0)*VLOOKUP('Données projet'!$B$13,Paramètres!$A$1:$I$89,5,0)</f>
        <v>2.5974600248446226E-13</v>
      </c>
      <c r="CV161" s="13">
        <f t="shared" si="173"/>
        <v>3.4917846266292826E-12</v>
      </c>
      <c r="CW161" s="20">
        <f t="shared" si="174"/>
        <v>6.5339158457064384E-12</v>
      </c>
      <c r="CX161" s="59">
        <f t="shared" si="122"/>
        <v>293.33333333333985</v>
      </c>
      <c r="CY161" s="59">
        <f ca="1">AVERAGE(OFFSET($CX$3,0,0,'Données projet'!$E$13+1,1))-AVERAGE(OFFSET($H$3,0,0,'Données projet'!$E$13+1,1))</f>
        <v>258.42493116335032</v>
      </c>
      <c r="CZ161" s="59">
        <f t="shared" si="150"/>
        <v>102.46122697336466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62.902912015894721</v>
      </c>
      <c r="DG161" s="21">
        <f>EXP(-LN(2)/25)*DG160+(1-EXP(-LN(2)/25))/(LN(2)/25)*Calculateur!DB161*Calculateur!DD161*VLOOKUP('Données projet'!$B$13,Paramètres!$A$1:$I$89,3,0)*0.475*44/12</f>
        <v>10.706991500839649</v>
      </c>
      <c r="DH161" s="21">
        <f>EXP(-LN(2)/2)*DH160+(1-EXP(-LN(2)/2))/(LN(2)/2)*DB161*DE161*VLOOKUP('Données projet'!$B$13,Paramètres!$A$1:$I$89,3,0)*0.475*44/12</f>
        <v>2.3700474601040434E-5</v>
      </c>
      <c r="DI161" s="22">
        <f t="shared" si="175"/>
        <v>73.609927217208963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243</v>
      </c>
      <c r="DP161" s="17">
        <f>DO161*VLOOKUP('Données projet'!$B$14,Paramètres!$A$1:$I$89,3,0)*VLOOKUP('Données projet'!$B$14,Paramètres!$A$1:$I$89,5,0)</f>
        <v>212.28480000000002</v>
      </c>
      <c r="DQ161" s="13">
        <f t="shared" si="176"/>
        <v>52.434557099704193</v>
      </c>
      <c r="DR161" s="20">
        <f t="shared" si="177"/>
        <v>461.05288028198476</v>
      </c>
      <c r="DS161" s="59">
        <f t="shared" si="125"/>
        <v>754.38621361531807</v>
      </c>
      <c r="DT161" s="59">
        <f ca="1">AVERAGE(OFFSET($DS$3,0,0,'Données projet'!$E$14+1,1))-AVERAGE(OFFSET($H$3,0,0,'Données projet'!$E$14+1,1))</f>
        <v>354.24684313982857</v>
      </c>
      <c r="DU161" s="59">
        <f t="shared" si="152"/>
        <v>322.65043486962185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8.6408365461249037</v>
      </c>
      <c r="EB161" s="21">
        <f>EXP(-LN(2)/25)*EB160+(1-EXP(-LN(2)/25))/(LN(2)/25)*Calculateur!DW161*Calculateur!DY161*VLOOKUP('Données projet'!$B$14,Paramètres!$A$1:$I$89,3,0)*0.475*44/12</f>
        <v>2.9820891626842525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11.622925708809156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-6.7984728957526396E-14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355.09162485318728</v>
      </c>
      <c r="T162" s="59">
        <f t="shared" si="142"/>
        <v>320.06572891923685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34.464060079927741</v>
      </c>
      <c r="AA162" s="21">
        <f>EXP(-LN(2)/25)*AA161+(1-EXP(-LN(2)/25))/(LN(2)/25)*Calculateur!V162*Calculateur!X162*VLOOKUP('Données projet'!$B$9,Paramètres!$A$1:$I$89,3,0)*0.475*44/12</f>
        <v>4.2461450366959266</v>
      </c>
      <c r="AB162" s="21">
        <f>EXP(-LN(2)/2)*AB161+(1-EXP(-LN(2)/2))/(LN(2)/2)*V162*Y162*VLOOKUP('Données projet'!$B$9,Paramètres!$A$1:$I$89,3,0)*0.475*44/12</f>
        <v>1.5013443580580797E-11</v>
      </c>
      <c r="AC162" s="22">
        <f t="shared" si="163"/>
        <v>38.710205116638683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5.1159076974727213E-13</v>
      </c>
      <c r="AJ162" s="13">
        <f>AI162*VLOOKUP('Données projet'!$B$10,Paramètres!$A$1:$I$89,3,0)*VLOOKUP('Données projet'!$B$10,Paramètres!$A$1:$I$89,5,0)</f>
        <v>2.3942448024172334E-13</v>
      </c>
      <c r="AK162" s="13">
        <f t="shared" si="164"/>
        <v>3.2492669905861755E-12</v>
      </c>
      <c r="AL162" s="20">
        <f t="shared" si="165"/>
        <v>6.0761376450252565E-12</v>
      </c>
      <c r="AM162" s="59">
        <f t="shared" si="113"/>
        <v>293.3333333333394</v>
      </c>
      <c r="AN162" s="59">
        <f ca="1">AVERAGE(OFFSET($AM$3,0,0,'Données projet'!$E$10+1,1))-AVERAGE(OFFSET($H$3,0,0,'Données projet'!$E$10+1,1))</f>
        <v>246.72166704460847</v>
      </c>
      <c r="AO162" s="59">
        <f t="shared" si="144"/>
        <v>145.54897745089966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49.674786500223163</v>
      </c>
      <c r="AV162" s="21">
        <f>EXP(-LN(2)/25)*AV161+(1-EXP(-LN(2)/25))/(LN(2)/25)*Calculateur!AQ162*Calculateur!AS162*VLOOKUP('Données projet'!$B$10,Paramètres!$A$1:$I$89,3,0)*0.475*44/12</f>
        <v>8.3118154968656057</v>
      </c>
      <c r="AW162" s="21">
        <f>EXP(-LN(2)/2)*AW161+(1-EXP(-LN(2)/2))/(LN(2)/2)*AQ162*AT162*VLOOKUP('Données projet'!$B$10,Paramètres!$A$1:$I$89,3,0)*0.475*44/12</f>
        <v>5.4683355464677091E-7</v>
      </c>
      <c r="AX162" s="21">
        <f t="shared" si="166"/>
        <v>57.986602543922324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88.478637356802039</v>
      </c>
      <c r="BJ162" s="59">
        <f t="shared" si="146"/>
        <v>239.55411297259155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2.8773613452703239</v>
      </c>
      <c r="BQ162" s="21">
        <f>EXP(-LN(2)/25)*BQ161+(1-EXP(-LN(2)/25))/(LN(2)/25)*Calculateur!BL162*Calculateur!BN162*VLOOKUP('Données projet'!$B$11,Paramètres!$A$1:$I$89,3,0)*0.475*44/12</f>
        <v>0.20420511469653141</v>
      </c>
      <c r="BR162" s="21">
        <f>EXP(-LN(2)/2)*BR161+(1-EXP(-LN(2)/2))/(LN(2)/2)*BL162*BO162*VLOOKUP('Données projet'!$B$11,Paramètres!$A$1:$I$89,3,0)*0.475*44/12</f>
        <v>1.6480788397905947E-20</v>
      </c>
      <c r="BS162" s="22">
        <f t="shared" si="169"/>
        <v>3.0815664599668553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6.3250000000000002</v>
      </c>
      <c r="BY162" s="12">
        <f>IF('Données projet'!$A$114&gt;35,BY161+BX162-CG161,IF(A162&lt;'Données projet'!$A$114,$BV$205^A162,IF(A162='Données projet'!$A$114,'Données projet'!$B$114,BY161+BX162-CG161)))</f>
        <v>338.03653846153907</v>
      </c>
      <c r="BZ162" s="13">
        <f>BY162*VLOOKUP('Données projet'!$B$12,Paramètres!$A$1:$I$89,3,0)*VLOOKUP('Données projet'!$B$12,Paramètres!$A$1:$I$89,5,0)</f>
        <v>305.85546000000051</v>
      </c>
      <c r="CA162" s="13">
        <f t="shared" si="170"/>
        <v>72.402608403983933</v>
      </c>
      <c r="CB162" s="20">
        <f t="shared" si="171"/>
        <v>658.79946913693959</v>
      </c>
      <c r="CC162" s="59">
        <f t="shared" si="119"/>
        <v>952.13280247027296</v>
      </c>
      <c r="CD162" s="59">
        <f ca="1">AVERAGE(OFFSET($CC$3,0,0,'Données projet'!$E$12+1,1))-AVERAGE(OFFSET($H$3,0,0,'Données projet'!$E$12+1,1))</f>
        <v>437.94387006020412</v>
      </c>
      <c r="CE162" s="59">
        <f t="shared" si="148"/>
        <v>213.95083535531376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61.529156613484837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61.529156613484837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5.4001247917767614E-13</v>
      </c>
      <c r="CU162" s="17">
        <f>CT162*VLOOKUP('Données projet'!$B$13,Paramètres!$A$1:$I$89,3,0)*VLOOKUP('Données projet'!$B$13,Paramètres!$A$1:$I$89,5,0)</f>
        <v>2.5974600248446226E-13</v>
      </c>
      <c r="CV162" s="13">
        <f t="shared" si="173"/>
        <v>3.4917846266292826E-12</v>
      </c>
      <c r="CW162" s="20">
        <f t="shared" si="174"/>
        <v>6.5339158457064384E-12</v>
      </c>
      <c r="CX162" s="59">
        <f t="shared" si="122"/>
        <v>293.33333333333985</v>
      </c>
      <c r="CY162" s="59">
        <f ca="1">AVERAGE(OFFSET($CX$3,0,0,'Données projet'!$E$13+1,1))-AVERAGE(OFFSET($H$3,0,0,'Données projet'!$E$13+1,1))</f>
        <v>258.42493116335032</v>
      </c>
      <c r="CZ162" s="59">
        <f t="shared" si="150"/>
        <v>102.46122697336466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61.669424278250929</v>
      </c>
      <c r="DG162" s="21">
        <f>EXP(-LN(2)/25)*DG161+(1-EXP(-LN(2)/25))/(LN(2)/25)*Calculateur!DB162*Calculateur!DD162*VLOOKUP('Données projet'!$B$13,Paramètres!$A$1:$I$89,3,0)*0.475*44/12</f>
        <v>10.414208255192976</v>
      </c>
      <c r="DH162" s="21">
        <f>EXP(-LN(2)/2)*DH161+(1-EXP(-LN(2)/2))/(LN(2)/2)*DB162*DE162*VLOOKUP('Données projet'!$B$13,Paramètres!$A$1:$I$89,3,0)*0.475*44/12</f>
        <v>1.6758766307735225E-5</v>
      </c>
      <c r="DI162" s="22">
        <f t="shared" si="175"/>
        <v>72.083649292210211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243</v>
      </c>
      <c r="DP162" s="17">
        <f>DO162*VLOOKUP('Données projet'!$B$14,Paramètres!$A$1:$I$89,3,0)*VLOOKUP('Données projet'!$B$14,Paramètres!$A$1:$I$89,5,0)</f>
        <v>212.28480000000002</v>
      </c>
      <c r="DQ162" s="13">
        <f t="shared" si="176"/>
        <v>52.434557099704193</v>
      </c>
      <c r="DR162" s="20">
        <f t="shared" si="177"/>
        <v>461.05288028198476</v>
      </c>
      <c r="DS162" s="59">
        <f t="shared" si="125"/>
        <v>754.38621361531807</v>
      </c>
      <c r="DT162" s="59">
        <f ca="1">AVERAGE(OFFSET($DS$3,0,0,'Données projet'!$E$14+1,1))-AVERAGE(OFFSET($H$3,0,0,'Données projet'!$E$14+1,1))</f>
        <v>354.24684313982857</v>
      </c>
      <c r="DU162" s="59">
        <f t="shared" si="152"/>
        <v>322.65043486962185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8.4713950118452797</v>
      </c>
      <c r="EB162" s="21">
        <f>EXP(-LN(2)/25)*EB161+(1-EXP(-LN(2)/25))/(LN(2)/25)*Calculateur!DW162*Calculateur!DY162*VLOOKUP('Données projet'!$B$14,Paramètres!$A$1:$I$89,3,0)*0.475*44/12</f>
        <v>2.9005437777093981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11.371938789554678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-6.7984728957526396E-14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355.09162485318728</v>
      </c>
      <c r="T163" s="59">
        <f t="shared" si="142"/>
        <v>320.06572891923685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33.788240882761357</v>
      </c>
      <c r="AA163" s="21">
        <f>EXP(-LN(2)/25)*AA162+(1-EXP(-LN(2)/25))/(LN(2)/25)*Calculateur!V163*Calculateur!X163*VLOOKUP('Données projet'!$B$9,Paramètres!$A$1:$I$89,3,0)*0.475*44/12</f>
        <v>4.1300339773724133</v>
      </c>
      <c r="AB163" s="21">
        <f>EXP(-LN(2)/2)*AB162+(1-EXP(-LN(2)/2))/(LN(2)/2)*V163*Y163*VLOOKUP('Données projet'!$B$9,Paramètres!$A$1:$I$89,3,0)*0.475*44/12</f>
        <v>1.0616107764790322E-11</v>
      </c>
      <c r="AC163" s="22">
        <f t="shared" si="163"/>
        <v>37.918274860144386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5.1159076974727213E-13</v>
      </c>
      <c r="AJ163" s="13">
        <f>AI163*VLOOKUP('Données projet'!$B$10,Paramètres!$A$1:$I$89,3,0)*VLOOKUP('Données projet'!$B$10,Paramètres!$A$1:$I$89,5,0)</f>
        <v>2.3942448024172334E-13</v>
      </c>
      <c r="AK163" s="13">
        <f t="shared" si="164"/>
        <v>3.2492669905861755E-12</v>
      </c>
      <c r="AL163" s="20">
        <f t="shared" si="165"/>
        <v>6.0761376450252565E-12</v>
      </c>
      <c r="AM163" s="59">
        <f t="shared" si="113"/>
        <v>293.3333333333394</v>
      </c>
      <c r="AN163" s="59">
        <f ca="1">AVERAGE(OFFSET($AM$3,0,0,'Données projet'!$E$10+1,1))-AVERAGE(OFFSET($H$3,0,0,'Données projet'!$E$10+1,1))</f>
        <v>246.72166704460847</v>
      </c>
      <c r="AO163" s="59">
        <f t="shared" si="144"/>
        <v>145.54897745089966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48.700694235581814</v>
      </c>
      <c r="AV163" s="21">
        <f>EXP(-LN(2)/25)*AV162+(1-EXP(-LN(2)/25))/(LN(2)/25)*Calculateur!AQ163*Calculateur!AS163*VLOOKUP('Données projet'!$B$10,Paramètres!$A$1:$I$89,3,0)*0.475*44/12</f>
        <v>8.0845284650044356</v>
      </c>
      <c r="AW163" s="21">
        <f>EXP(-LN(2)/2)*AW162+(1-EXP(-LN(2)/2))/(LN(2)/2)*AQ163*AT163*VLOOKUP('Données projet'!$B$10,Paramètres!$A$1:$I$89,3,0)*0.475*44/12</f>
        <v>3.8666971467107623E-7</v>
      </c>
      <c r="AX163" s="21">
        <f t="shared" si="166"/>
        <v>56.785223087255957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88.478637356802039</v>
      </c>
      <c r="BJ163" s="59">
        <f t="shared" si="146"/>
        <v>239.55411297259155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2.8209380443067</v>
      </c>
      <c r="BQ163" s="21">
        <f>EXP(-LN(2)/25)*BQ162+(1-EXP(-LN(2)/25))/(LN(2)/25)*Calculateur!BL163*Calculateur!BN163*VLOOKUP('Données projet'!$B$11,Paramètres!$A$1:$I$89,3,0)*0.475*44/12</f>
        <v>0.19862111509647448</v>
      </c>
      <c r="BR163" s="21">
        <f>EXP(-LN(2)/2)*BR162+(1-EXP(-LN(2)/2))/(LN(2)/2)*BL163*BO163*VLOOKUP('Données projet'!$B$11,Paramètres!$A$1:$I$89,3,0)*0.475*44/12</f>
        <v>1.1653677235459871E-20</v>
      </c>
      <c r="BS163" s="22">
        <f t="shared" si="169"/>
        <v>3.0195591594031743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6.3250000000000002</v>
      </c>
      <c r="BY163" s="12">
        <f>IF('Données projet'!$A$114&gt;35,BY162+BX163-CG162,IF(A163&lt;'Données projet'!$A$114,$BV$205^A163,IF(A163='Données projet'!$A$114,'Données projet'!$B$114,BY162+BX163-CG162)))</f>
        <v>344.36153846153906</v>
      </c>
      <c r="BZ163" s="13">
        <f>BY163*VLOOKUP('Données projet'!$B$12,Paramètres!$A$1:$I$89,3,0)*VLOOKUP('Données projet'!$B$12,Paramètres!$A$1:$I$89,5,0)</f>
        <v>311.57832000000053</v>
      </c>
      <c r="CA163" s="13">
        <f t="shared" si="170"/>
        <v>73.598348720417448</v>
      </c>
      <c r="CB163" s="20">
        <f t="shared" si="171"/>
        <v>670.84936468806131</v>
      </c>
      <c r="CC163" s="59">
        <f t="shared" si="119"/>
        <v>964.18269802139457</v>
      </c>
      <c r="CD163" s="59">
        <f ca="1">AVERAGE(OFFSET($CC$3,0,0,'Données projet'!$E$12+1,1))-AVERAGE(OFFSET($H$3,0,0,'Données projet'!$E$12+1,1))</f>
        <v>437.94387006020412</v>
      </c>
      <c r="CE163" s="59">
        <f t="shared" si="148"/>
        <v>213.95083535531376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60.322607381374247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60.322607381374247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5.4001247917767614E-13</v>
      </c>
      <c r="CU163" s="17">
        <f>CT163*VLOOKUP('Données projet'!$B$13,Paramètres!$A$1:$I$89,3,0)*VLOOKUP('Données projet'!$B$13,Paramètres!$A$1:$I$89,5,0)</f>
        <v>2.5974600248446226E-13</v>
      </c>
      <c r="CV163" s="13">
        <f t="shared" si="173"/>
        <v>3.4917846266292826E-12</v>
      </c>
      <c r="CW163" s="20">
        <f t="shared" si="174"/>
        <v>6.5339158457064384E-12</v>
      </c>
      <c r="CX163" s="59">
        <f t="shared" si="122"/>
        <v>293.33333333333985</v>
      </c>
      <c r="CY163" s="59">
        <f ca="1">AVERAGE(OFFSET($CX$3,0,0,'Données projet'!$E$13+1,1))-AVERAGE(OFFSET($H$3,0,0,'Données projet'!$E$13+1,1))</f>
        <v>258.42493116335032</v>
      </c>
      <c r="CZ163" s="59">
        <f t="shared" si="150"/>
        <v>102.46122697336466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60.460124482789098</v>
      </c>
      <c r="DG163" s="21">
        <f>EXP(-LN(2)/25)*DG162+(1-EXP(-LN(2)/25))/(LN(2)/25)*Calculateur!DB163*Calculateur!DD163*VLOOKUP('Données projet'!$B$13,Paramètres!$A$1:$I$89,3,0)*0.475*44/12</f>
        <v>10.129431182795315</v>
      </c>
      <c r="DH163" s="21">
        <f>EXP(-LN(2)/2)*DH162+(1-EXP(-LN(2)/2))/(LN(2)/2)*DB163*DE163*VLOOKUP('Données projet'!$B$13,Paramètres!$A$1:$I$89,3,0)*0.475*44/12</f>
        <v>1.1850237300520217E-5</v>
      </c>
      <c r="DI163" s="22">
        <f t="shared" si="175"/>
        <v>70.589567515821713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243</v>
      </c>
      <c r="DP163" s="17">
        <f>DO163*VLOOKUP('Données projet'!$B$14,Paramètres!$A$1:$I$89,3,0)*VLOOKUP('Données projet'!$B$14,Paramètres!$A$1:$I$89,5,0)</f>
        <v>212.28480000000002</v>
      </c>
      <c r="DQ163" s="13">
        <f t="shared" si="176"/>
        <v>52.434557099704193</v>
      </c>
      <c r="DR163" s="20">
        <f t="shared" si="177"/>
        <v>461.05288028198476</v>
      </c>
      <c r="DS163" s="59">
        <f t="shared" si="125"/>
        <v>754.38621361531807</v>
      </c>
      <c r="DT163" s="59">
        <f ca="1">AVERAGE(OFFSET($DS$3,0,0,'Données projet'!$E$14+1,1))-AVERAGE(OFFSET($H$3,0,0,'Données projet'!$E$14+1,1))</f>
        <v>354.24684313982857</v>
      </c>
      <c r="DU163" s="59">
        <f t="shared" si="152"/>
        <v>322.65043486962185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8.3052761227037486</v>
      </c>
      <c r="EB163" s="21">
        <f>EXP(-LN(2)/25)*EB162+(1-EXP(-LN(2)/25))/(LN(2)/25)*Calculateur!DW163*Calculateur!DY163*VLOOKUP('Données projet'!$B$14,Paramètres!$A$1:$I$89,3,0)*0.475*44/12</f>
        <v>2.8212282555749666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11.126504378278716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-6.7984728957526396E-14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355.09162485318728</v>
      </c>
      <c r="T164" s="59">
        <f t="shared" si="142"/>
        <v>320.06572891923685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33.125674087842398</v>
      </c>
      <c r="AA164" s="21">
        <f>EXP(-LN(2)/25)*AA163+(1-EXP(-LN(2)/25))/(LN(2)/25)*Calculateur!V164*Calculateur!X164*VLOOKUP('Données projet'!$B$9,Paramètres!$A$1:$I$89,3,0)*0.475*44/12</f>
        <v>4.0170979810721175</v>
      </c>
      <c r="AB164" s="21">
        <f>EXP(-LN(2)/2)*AB163+(1-EXP(-LN(2)/2))/(LN(2)/2)*V164*Y164*VLOOKUP('Données projet'!$B$9,Paramètres!$A$1:$I$89,3,0)*0.475*44/12</f>
        <v>7.5067217902903984E-12</v>
      </c>
      <c r="AC164" s="22">
        <f t="shared" si="163"/>
        <v>37.142772068922021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5.1159076974727213E-13</v>
      </c>
      <c r="AJ164" s="13">
        <f>AI164*VLOOKUP('Données projet'!$B$10,Paramètres!$A$1:$I$89,3,0)*VLOOKUP('Données projet'!$B$10,Paramètres!$A$1:$I$89,5,0)</f>
        <v>2.3942448024172334E-13</v>
      </c>
      <c r="AK164" s="13">
        <f t="shared" si="164"/>
        <v>3.2492669905861755E-12</v>
      </c>
      <c r="AL164" s="20">
        <f t="shared" si="165"/>
        <v>6.0761376450252565E-12</v>
      </c>
      <c r="AM164" s="59">
        <f t="shared" si="113"/>
        <v>293.3333333333394</v>
      </c>
      <c r="AN164" s="59">
        <f ca="1">AVERAGE(OFFSET($AM$3,0,0,'Données projet'!$E$10+1,1))-AVERAGE(OFFSET($H$3,0,0,'Données projet'!$E$10+1,1))</f>
        <v>246.72166704460847</v>
      </c>
      <c r="AO164" s="59">
        <f t="shared" si="144"/>
        <v>145.54897745089966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47.745703326112462</v>
      </c>
      <c r="AV164" s="21">
        <f>EXP(-LN(2)/25)*AV163+(1-EXP(-LN(2)/25))/(LN(2)/25)*Calculateur!AQ164*Calculateur!AS164*VLOOKUP('Données projet'!$B$10,Paramètres!$A$1:$I$89,3,0)*0.475*44/12</f>
        <v>7.8634566089820144</v>
      </c>
      <c r="AW164" s="21">
        <f>EXP(-LN(2)/2)*AW163+(1-EXP(-LN(2)/2))/(LN(2)/2)*AQ164*AT164*VLOOKUP('Données projet'!$B$10,Paramètres!$A$1:$I$89,3,0)*0.475*44/12</f>
        <v>2.7341677732338546E-7</v>
      </c>
      <c r="AX164" s="21">
        <f t="shared" si="166"/>
        <v>55.609160208511256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88.478637356802039</v>
      </c>
      <c r="BJ164" s="59">
        <f t="shared" si="146"/>
        <v>239.55411297259155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2.7656211698601574</v>
      </c>
      <c r="BQ164" s="21">
        <f>EXP(-LN(2)/25)*BQ163+(1-EXP(-LN(2)/25))/(LN(2)/25)*Calculateur!BL164*Calculateur!BN164*VLOOKUP('Données projet'!$B$11,Paramètres!$A$1:$I$89,3,0)*0.475*44/12</f>
        <v>0.1931898102591309</v>
      </c>
      <c r="BR164" s="21">
        <f>EXP(-LN(2)/2)*BR163+(1-EXP(-LN(2)/2))/(LN(2)/2)*BL164*BO164*VLOOKUP('Données projet'!$B$11,Paramètres!$A$1:$I$89,3,0)*0.475*44/12</f>
        <v>8.2403941989529733E-21</v>
      </c>
      <c r="BS164" s="22">
        <f t="shared" si="169"/>
        <v>2.9588109801192881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6.3250000000000002</v>
      </c>
      <c r="BY164" s="12">
        <f>IF('Données projet'!$A$114&gt;35,BY163+BX164-CG163,IF(A164&lt;'Données projet'!$A$114,$BV$205^A164,IF(A164='Données projet'!$A$114,'Données projet'!$B$114,BY163+BX164-CG163)))</f>
        <v>350.68653846153904</v>
      </c>
      <c r="BZ164" s="13">
        <f>BY164*VLOOKUP('Données projet'!$B$12,Paramètres!$A$1:$I$89,3,0)*VLOOKUP('Données projet'!$B$12,Paramètres!$A$1:$I$89,5,0)</f>
        <v>317.3011800000005</v>
      </c>
      <c r="CA164" s="13">
        <f t="shared" si="170"/>
        <v>74.79153517506407</v>
      </c>
      <c r="CB164" s="20">
        <f t="shared" si="171"/>
        <v>682.89481226323733</v>
      </c>
      <c r="CC164" s="59">
        <f t="shared" si="119"/>
        <v>976.22814559657058</v>
      </c>
      <c r="CD164" s="59">
        <f ca="1">AVERAGE(OFFSET($CC$3,0,0,'Données projet'!$E$12+1,1))-AVERAGE(OFFSET($H$3,0,0,'Données projet'!$E$12+1,1))</f>
        <v>437.94387006020412</v>
      </c>
      <c r="CE164" s="59">
        <f t="shared" si="148"/>
        <v>213.95083535531376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59.139717843782975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59.139717843782975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5.4001247917767614E-13</v>
      </c>
      <c r="CU164" s="17">
        <f>CT164*VLOOKUP('Données projet'!$B$13,Paramètres!$A$1:$I$89,3,0)*VLOOKUP('Données projet'!$B$13,Paramètres!$A$1:$I$89,5,0)</f>
        <v>2.5974600248446226E-13</v>
      </c>
      <c r="CV164" s="13">
        <f t="shared" si="173"/>
        <v>3.4917846266292826E-12</v>
      </c>
      <c r="CW164" s="20">
        <f t="shared" si="174"/>
        <v>6.5339158457064384E-12</v>
      </c>
      <c r="CX164" s="59">
        <f t="shared" si="122"/>
        <v>293.33333333333985</v>
      </c>
      <c r="CY164" s="59">
        <f ca="1">AVERAGE(OFFSET($CX$3,0,0,'Données projet'!$E$13+1,1))-AVERAGE(OFFSET($H$3,0,0,'Données projet'!$E$13+1,1))</f>
        <v>258.42493116335032</v>
      </c>
      <c r="CZ164" s="59">
        <f t="shared" si="150"/>
        <v>102.46122697336466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59.274538318716232</v>
      </c>
      <c r="DG164" s="21">
        <f>EXP(-LN(2)/25)*DG163+(1-EXP(-LN(2)/25))/(LN(2)/25)*Calculateur!DB164*Calculateur!DD164*VLOOKUP('Données projet'!$B$13,Paramètres!$A$1:$I$89,3,0)*0.475*44/12</f>
        <v>9.8524413544181417</v>
      </c>
      <c r="DH164" s="21">
        <f>EXP(-LN(2)/2)*DH163+(1-EXP(-LN(2)/2))/(LN(2)/2)*DB164*DE164*VLOOKUP('Données projet'!$B$13,Paramètres!$A$1:$I$89,3,0)*0.475*44/12</f>
        <v>8.3793831538676124E-6</v>
      </c>
      <c r="DI164" s="22">
        <f t="shared" si="175"/>
        <v>69.126988052517532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243</v>
      </c>
      <c r="DP164" s="17">
        <f>DO164*VLOOKUP('Données projet'!$B$14,Paramètres!$A$1:$I$89,3,0)*VLOOKUP('Données projet'!$B$14,Paramètres!$A$1:$I$89,5,0)</f>
        <v>212.28480000000002</v>
      </c>
      <c r="DQ164" s="13">
        <f t="shared" si="176"/>
        <v>52.434557099704193</v>
      </c>
      <c r="DR164" s="20">
        <f t="shared" si="177"/>
        <v>461.05288028198476</v>
      </c>
      <c r="DS164" s="59">
        <f t="shared" si="125"/>
        <v>754.38621361531807</v>
      </c>
      <c r="DT164" s="59">
        <f ca="1">AVERAGE(OFFSET($DS$3,0,0,'Données projet'!$E$14+1,1))-AVERAGE(OFFSET($H$3,0,0,'Données projet'!$E$14+1,1))</f>
        <v>354.24684313982857</v>
      </c>
      <c r="DU164" s="59">
        <f t="shared" si="152"/>
        <v>322.65043486962185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8.1424147236557651</v>
      </c>
      <c r="EB164" s="21">
        <f>EXP(-LN(2)/25)*EB163+(1-EXP(-LN(2)/25))/(LN(2)/25)*Calculateur!DW164*Calculateur!DY164*VLOOKUP('Données projet'!$B$14,Paramètres!$A$1:$I$89,3,0)*0.475*44/12</f>
        <v>2.744081620564323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10.886496344220088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-6.7984728957526396E-14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355.09162485318728</v>
      </c>
      <c r="T165" s="59">
        <f t="shared" si="142"/>
        <v>320.06572891923685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32.47609982364596</v>
      </c>
      <c r="AA165" s="21">
        <f>EXP(-LN(2)/25)*AA164+(1-EXP(-LN(2)/25))/(LN(2)/25)*Calculateur!V165*Calculateur!X165*VLOOKUP('Données projet'!$B$9,Paramètres!$A$1:$I$89,3,0)*0.475*44/12</f>
        <v>3.9072502255296988</v>
      </c>
      <c r="AB165" s="21">
        <f>EXP(-LN(2)/2)*AB164+(1-EXP(-LN(2)/2))/(LN(2)/2)*V165*Y165*VLOOKUP('Données projet'!$B$9,Paramètres!$A$1:$I$89,3,0)*0.475*44/12</f>
        <v>5.3080538823951611E-12</v>
      </c>
      <c r="AC165" s="22">
        <f t="shared" si="163"/>
        <v>36.383350049180969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5.1159076974727213E-13</v>
      </c>
      <c r="AJ165" s="13">
        <f>AI165*VLOOKUP('Données projet'!$B$10,Paramètres!$A$1:$I$89,3,0)*VLOOKUP('Données projet'!$B$10,Paramètres!$A$1:$I$89,5,0)</f>
        <v>2.3942448024172334E-13</v>
      </c>
      <c r="AK165" s="13">
        <f t="shared" si="164"/>
        <v>3.2492669905861755E-12</v>
      </c>
      <c r="AL165" s="20">
        <f t="shared" si="165"/>
        <v>6.0761376450252565E-12</v>
      </c>
      <c r="AM165" s="59">
        <f t="shared" si="113"/>
        <v>293.3333333333394</v>
      </c>
      <c r="AN165" s="59">
        <f ca="1">AVERAGE(OFFSET($AM$3,0,0,'Données projet'!$E$10+1,1))-AVERAGE(OFFSET($H$3,0,0,'Données projet'!$E$10+1,1))</f>
        <v>246.72166704460847</v>
      </c>
      <c r="AO165" s="59">
        <f t="shared" si="144"/>
        <v>145.54897745089966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46.809439205890868</v>
      </c>
      <c r="AV165" s="21">
        <f>EXP(-LN(2)/25)*AV164+(1-EXP(-LN(2)/25))/(LN(2)/25)*Calculateur!AQ165*Calculateur!AS165*VLOOKUP('Données projet'!$B$10,Paramètres!$A$1:$I$89,3,0)*0.475*44/12</f>
        <v>7.6484299744881907</v>
      </c>
      <c r="AW165" s="21">
        <f>EXP(-LN(2)/2)*AW164+(1-EXP(-LN(2)/2))/(LN(2)/2)*AQ165*AT165*VLOOKUP('Données projet'!$B$10,Paramètres!$A$1:$I$89,3,0)*0.475*44/12</f>
        <v>1.9333485733553811E-7</v>
      </c>
      <c r="AX165" s="21">
        <f t="shared" si="166"/>
        <v>54.457869373713912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88.478637356802039</v>
      </c>
      <c r="BJ165" s="59">
        <f t="shared" si="146"/>
        <v>239.55411297259155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2.7113890255815494</v>
      </c>
      <c r="BQ165" s="21">
        <f>EXP(-LN(2)/25)*BQ164+(1-EXP(-LN(2)/25))/(LN(2)/25)*Calculateur!BL165*Calculateur!BN165*VLOOKUP('Données projet'!$B$11,Paramètres!$A$1:$I$89,3,0)*0.475*44/12</f>
        <v>0.18790702473818438</v>
      </c>
      <c r="BR165" s="21">
        <f>EXP(-LN(2)/2)*BR164+(1-EXP(-LN(2)/2))/(LN(2)/2)*BL165*BO165*VLOOKUP('Données projet'!$B$11,Paramètres!$A$1:$I$89,3,0)*0.475*44/12</f>
        <v>5.8268386177299357E-21</v>
      </c>
      <c r="BS165" s="22">
        <f t="shared" si="169"/>
        <v>2.8992960503197338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6.3250000000000002</v>
      </c>
      <c r="BY165" s="12">
        <f>IF('Données projet'!$A$114&gt;35,BY164+BX165-CG164,IF(A165&lt;'Données projet'!$A$114,$BV$205^A165,IF(A165='Données projet'!$A$114,'Données projet'!$B$114,BY164+BX165-CG164)))</f>
        <v>357.01153846153903</v>
      </c>
      <c r="BZ165" s="13">
        <f>BY165*VLOOKUP('Données projet'!$B$12,Paramètres!$A$1:$I$89,3,0)*VLOOKUP('Données projet'!$B$12,Paramètres!$A$1:$I$89,5,0)</f>
        <v>323.02404000000053</v>
      </c>
      <c r="CA165" s="13">
        <f t="shared" si="170"/>
        <v>75.982219142746274</v>
      </c>
      <c r="CB165" s="20">
        <f t="shared" si="171"/>
        <v>694.93590134028398</v>
      </c>
      <c r="CC165" s="59">
        <f t="shared" si="119"/>
        <v>988.26923467361735</v>
      </c>
      <c r="CD165" s="59">
        <f ca="1">AVERAGE(OFFSET($CC$3,0,0,'Données projet'!$E$12+1,1))-AVERAGE(OFFSET($H$3,0,0,'Données projet'!$E$12+1,1))</f>
        <v>437.94387006020412</v>
      </c>
      <c r="CE165" s="59">
        <f t="shared" si="148"/>
        <v>213.95083535531376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57.980024048532492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57.980024048532492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5.4001247917767614E-13</v>
      </c>
      <c r="CU165" s="17">
        <f>CT165*VLOOKUP('Données projet'!$B$13,Paramètres!$A$1:$I$89,3,0)*VLOOKUP('Données projet'!$B$13,Paramètres!$A$1:$I$89,5,0)</f>
        <v>2.5974600248446226E-13</v>
      </c>
      <c r="CV165" s="13">
        <f t="shared" si="173"/>
        <v>3.4917846266292826E-12</v>
      </c>
      <c r="CW165" s="20">
        <f t="shared" si="174"/>
        <v>6.5339158457064384E-12</v>
      </c>
      <c r="CX165" s="59">
        <f t="shared" si="122"/>
        <v>293.33333333333985</v>
      </c>
      <c r="CY165" s="59">
        <f ca="1">AVERAGE(OFFSET($CX$3,0,0,'Données projet'!$E$13+1,1))-AVERAGE(OFFSET($H$3,0,0,'Données projet'!$E$13+1,1))</f>
        <v>258.42493116335032</v>
      </c>
      <c r="CZ165" s="59">
        <f t="shared" si="150"/>
        <v>102.46122697336466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58.112200776184679</v>
      </c>
      <c r="DG165" s="21">
        <f>EXP(-LN(2)/25)*DG164+(1-EXP(-LN(2)/25))/(LN(2)/25)*Calculateur!DB165*Calculateur!DD165*VLOOKUP('Données projet'!$B$13,Paramètres!$A$1:$I$89,3,0)*0.475*44/12</f>
        <v>9.5830258274642048</v>
      </c>
      <c r="DH165" s="21">
        <f>EXP(-LN(2)/2)*DH164+(1-EXP(-LN(2)/2))/(LN(2)/2)*DB165*DE165*VLOOKUP('Données projet'!$B$13,Paramètres!$A$1:$I$89,3,0)*0.475*44/12</f>
        <v>5.9251186502601085E-6</v>
      </c>
      <c r="DI165" s="22">
        <f t="shared" si="175"/>
        <v>67.695232528767534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243</v>
      </c>
      <c r="DP165" s="17">
        <f>DO165*VLOOKUP('Données projet'!$B$14,Paramètres!$A$1:$I$89,3,0)*VLOOKUP('Données projet'!$B$14,Paramètres!$A$1:$I$89,5,0)</f>
        <v>212.28480000000002</v>
      </c>
      <c r="DQ165" s="13">
        <f t="shared" si="176"/>
        <v>52.434557099704193</v>
      </c>
      <c r="DR165" s="20">
        <f t="shared" si="177"/>
        <v>461.05288028198476</v>
      </c>
      <c r="DS165" s="59">
        <f t="shared" si="125"/>
        <v>754.38621361531807</v>
      </c>
      <c r="DT165" s="59">
        <f ca="1">AVERAGE(OFFSET($DS$3,0,0,'Données projet'!$E$14+1,1))-AVERAGE(OFFSET($H$3,0,0,'Données projet'!$E$14+1,1))</f>
        <v>354.24684313982857</v>
      </c>
      <c r="DU165" s="59">
        <f t="shared" si="152"/>
        <v>322.65043486962185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7.9827469373074678</v>
      </c>
      <c r="EB165" s="21">
        <f>EXP(-LN(2)/25)*EB164+(1-EXP(-LN(2)/25))/(LN(2)/25)*Calculateur!DW165*Calculateur!DY165*VLOOKUP('Données projet'!$B$14,Paramètres!$A$1:$I$89,3,0)*0.475*44/12</f>
        <v>2.6690445643450107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10.651791501652479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-6.7984728957526396E-14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355.09162485318728</v>
      </c>
      <c r="T166" s="59">
        <f t="shared" si="142"/>
        <v>320.06572891923685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31.83926331456923</v>
      </c>
      <c r="AA166" s="21">
        <f>EXP(-LN(2)/25)*AA165+(1-EXP(-LN(2)/25))/(LN(2)/25)*Calculateur!V166*Calculateur!X166*VLOOKUP('Données projet'!$B$9,Paramètres!$A$1:$I$89,3,0)*0.475*44/12</f>
        <v>3.8004062626392301</v>
      </c>
      <c r="AB166" s="21">
        <f>EXP(-LN(2)/2)*AB165+(1-EXP(-LN(2)/2))/(LN(2)/2)*V166*Y166*VLOOKUP('Données projet'!$B$9,Paramètres!$A$1:$I$89,3,0)*0.475*44/12</f>
        <v>3.7533608951451992E-12</v>
      </c>
      <c r="AC166" s="22">
        <f t="shared" si="163"/>
        <v>35.63966957721221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5.1159076974727213E-13</v>
      </c>
      <c r="AJ166" s="13">
        <f>AI166*VLOOKUP('Données projet'!$B$10,Paramètres!$A$1:$I$89,3,0)*VLOOKUP('Données projet'!$B$10,Paramètres!$A$1:$I$89,5,0)</f>
        <v>2.3942448024172334E-13</v>
      </c>
      <c r="AK166" s="13">
        <f t="shared" si="164"/>
        <v>3.2492669905861755E-12</v>
      </c>
      <c r="AL166" s="20">
        <f t="shared" si="165"/>
        <v>6.0761376450252565E-12</v>
      </c>
      <c r="AM166" s="59">
        <f t="shared" si="113"/>
        <v>293.3333333333394</v>
      </c>
      <c r="AN166" s="59">
        <f ca="1">AVERAGE(OFFSET($AM$3,0,0,'Données projet'!$E$10+1,1))-AVERAGE(OFFSET($H$3,0,0,'Données projet'!$E$10+1,1))</f>
        <v>246.72166704460847</v>
      </c>
      <c r="AO166" s="59">
        <f t="shared" si="144"/>
        <v>145.54897745089966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45.891534654002093</v>
      </c>
      <c r="AV166" s="21">
        <f>EXP(-LN(2)/25)*AV165+(1-EXP(-LN(2)/25))/(LN(2)/25)*Calculateur!AQ166*Calculateur!AS166*VLOOKUP('Données projet'!$B$10,Paramètres!$A$1:$I$89,3,0)*0.475*44/12</f>
        <v>7.4392832546223593</v>
      </c>
      <c r="AW166" s="21">
        <f>EXP(-LN(2)/2)*AW165+(1-EXP(-LN(2)/2))/(LN(2)/2)*AQ166*AT166*VLOOKUP('Données projet'!$B$10,Paramètres!$A$1:$I$89,3,0)*0.475*44/12</f>
        <v>1.3670838866169273E-7</v>
      </c>
      <c r="AX166" s="21">
        <f t="shared" si="166"/>
        <v>53.33081804533284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88.478637356802039</v>
      </c>
      <c r="BJ166" s="59">
        <f t="shared" si="146"/>
        <v>239.55411297259155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2.6582203405739033</v>
      </c>
      <c r="BQ166" s="21">
        <f>EXP(-LN(2)/25)*BQ165+(1-EXP(-LN(2)/25))/(LN(2)/25)*Calculateur!BL166*Calculateur!BN166*VLOOKUP('Données projet'!$B$11,Paramètres!$A$1:$I$89,3,0)*0.475*44/12</f>
        <v>0.18276869726511777</v>
      </c>
      <c r="BR166" s="21">
        <f>EXP(-LN(2)/2)*BR165+(1-EXP(-LN(2)/2))/(LN(2)/2)*BL166*BO166*VLOOKUP('Données projet'!$B$11,Paramètres!$A$1:$I$89,3,0)*0.475*44/12</f>
        <v>4.1201970994764866E-21</v>
      </c>
      <c r="BS166" s="22">
        <f t="shared" si="169"/>
        <v>2.8409890378390212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6.3250000000000002</v>
      </c>
      <c r="BY166" s="12">
        <f>IF('Données projet'!$A$114&gt;35,BY165+BX166-CG165,IF(A166&lt;'Données projet'!$A$114,$BV$205^A166,IF(A166='Données projet'!$A$114,'Données projet'!$B$114,BY165+BX166-CG165)))</f>
        <v>363.33653846153902</v>
      </c>
      <c r="BZ166" s="13">
        <f>BY166*VLOOKUP('Données projet'!$B$12,Paramètres!$A$1:$I$89,3,0)*VLOOKUP('Données projet'!$B$12,Paramètres!$A$1:$I$89,5,0)</f>
        <v>328.74690000000049</v>
      </c>
      <c r="CA166" s="13">
        <f t="shared" si="170"/>
        <v>77.170450073659367</v>
      </c>
      <c r="CB166" s="20">
        <f t="shared" si="171"/>
        <v>706.97271804495767</v>
      </c>
      <c r="CC166" s="59">
        <f t="shared" si="119"/>
        <v>1000.3060513782909</v>
      </c>
      <c r="CD166" s="59">
        <f ca="1">AVERAGE(OFFSET($CC$3,0,0,'Données projet'!$E$12+1,1))-AVERAGE(OFFSET($H$3,0,0,'Données projet'!$E$12+1,1))</f>
        <v>437.94387006020412</v>
      </c>
      <c r="CE166" s="59">
        <f t="shared" si="148"/>
        <v>213.95083535531376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56.843071141263501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56.843071141263501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5.4001247917767614E-13</v>
      </c>
      <c r="CU166" s="17">
        <f>CT166*VLOOKUP('Données projet'!$B$13,Paramètres!$A$1:$I$89,3,0)*VLOOKUP('Données projet'!$B$13,Paramètres!$A$1:$I$89,5,0)</f>
        <v>2.5974600248446226E-13</v>
      </c>
      <c r="CV166" s="13">
        <f t="shared" si="173"/>
        <v>3.4917846266292826E-12</v>
      </c>
      <c r="CW166" s="20">
        <f t="shared" si="174"/>
        <v>6.5339158457064384E-12</v>
      </c>
      <c r="CX166" s="59">
        <f t="shared" si="122"/>
        <v>293.33333333333985</v>
      </c>
      <c r="CY166" s="59">
        <f ca="1">AVERAGE(OFFSET($CX$3,0,0,'Données projet'!$E$13+1,1))-AVERAGE(OFFSET($H$3,0,0,'Données projet'!$E$13+1,1))</f>
        <v>258.42493116335032</v>
      </c>
      <c r="CZ166" s="59">
        <f t="shared" si="150"/>
        <v>102.46122697336466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56.97265596390627</v>
      </c>
      <c r="DG166" s="21">
        <f>EXP(-LN(2)/25)*DG165+(1-EXP(-LN(2)/25))/(LN(2)/25)*Calculateur!DB166*Calculateur!DD166*VLOOKUP('Données projet'!$B$13,Paramètres!$A$1:$I$89,3,0)*0.475*44/12</f>
        <v>9.3209774822627693</v>
      </c>
      <c r="DH166" s="21">
        <f>EXP(-LN(2)/2)*DH165+(1-EXP(-LN(2)/2))/(LN(2)/2)*DB166*DE166*VLOOKUP('Données projet'!$B$13,Paramètres!$A$1:$I$89,3,0)*0.475*44/12</f>
        <v>4.1896915769338062E-6</v>
      </c>
      <c r="DI166" s="22">
        <f t="shared" si="175"/>
        <v>66.29363763586062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243</v>
      </c>
      <c r="DP166" s="17">
        <f>DO166*VLOOKUP('Données projet'!$B$14,Paramètres!$A$1:$I$89,3,0)*VLOOKUP('Données projet'!$B$14,Paramètres!$A$1:$I$89,5,0)</f>
        <v>212.28480000000002</v>
      </c>
      <c r="DQ166" s="13">
        <f t="shared" si="176"/>
        <v>52.434557099704193</v>
      </c>
      <c r="DR166" s="20">
        <f t="shared" si="177"/>
        <v>461.05288028198476</v>
      </c>
      <c r="DS166" s="59">
        <f t="shared" si="125"/>
        <v>754.38621361531807</v>
      </c>
      <c r="DT166" s="59">
        <f ca="1">AVERAGE(OFFSET($DS$3,0,0,'Données projet'!$E$14+1,1))-AVERAGE(OFFSET($H$3,0,0,'Données projet'!$E$14+1,1))</f>
        <v>354.24684313982857</v>
      </c>
      <c r="DU166" s="59">
        <f t="shared" si="152"/>
        <v>322.65043486962185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7.8262101388617271</v>
      </c>
      <c r="EB166" s="21">
        <f>EXP(-LN(2)/25)*EB165+(1-EXP(-LN(2)/25))/(LN(2)/25)*Calculateur!DW166*Calculateur!DY166*VLOOKUP('Données projet'!$B$14,Paramètres!$A$1:$I$89,3,0)*0.475*44/12</f>
        <v>2.5960594003740427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10.422269539235771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-6.7984728957526396E-14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355.09162485318728</v>
      </c>
      <c r="T167" s="59">
        <f t="shared" si="142"/>
        <v>320.06572891923685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31.214914781003582</v>
      </c>
      <c r="AA167" s="21">
        <f>EXP(-LN(2)/25)*AA166+(1-EXP(-LN(2)/25))/(LN(2)/25)*Calculateur!V167*Calculateur!X167*VLOOKUP('Données projet'!$B$9,Paramètres!$A$1:$I$89,3,0)*0.475*44/12</f>
        <v>3.696483953532681</v>
      </c>
      <c r="AB167" s="21">
        <f>EXP(-LN(2)/2)*AB166+(1-EXP(-LN(2)/2))/(LN(2)/2)*V167*Y167*VLOOKUP('Données projet'!$B$9,Paramètres!$A$1:$I$89,3,0)*0.475*44/12</f>
        <v>2.6540269411975805E-12</v>
      </c>
      <c r="AC167" s="22">
        <f t="shared" si="163"/>
        <v>34.911398734538921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5.1159076974727213E-13</v>
      </c>
      <c r="AJ167" s="13">
        <f>AI167*VLOOKUP('Données projet'!$B$10,Paramètres!$A$1:$I$89,3,0)*VLOOKUP('Données projet'!$B$10,Paramètres!$A$1:$I$89,5,0)</f>
        <v>2.3942448024172334E-13</v>
      </c>
      <c r="AK167" s="13">
        <f t="shared" si="164"/>
        <v>3.2492669905861755E-12</v>
      </c>
      <c r="AL167" s="20">
        <f t="shared" si="165"/>
        <v>6.0761376450252565E-12</v>
      </c>
      <c r="AM167" s="59">
        <f t="shared" si="113"/>
        <v>293.3333333333394</v>
      </c>
      <c r="AN167" s="59">
        <f ca="1">AVERAGE(OFFSET($AM$3,0,0,'Données projet'!$E$10+1,1))-AVERAGE(OFFSET($H$3,0,0,'Données projet'!$E$10+1,1))</f>
        <v>246.72166704460847</v>
      </c>
      <c r="AO167" s="59">
        <f t="shared" si="144"/>
        <v>145.54897745089966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44.99162965050936</v>
      </c>
      <c r="AV167" s="21">
        <f>EXP(-LN(2)/25)*AV166+(1-EXP(-LN(2)/25))/(LN(2)/25)*Calculateur!AQ167*Calculateur!AS167*VLOOKUP('Données projet'!$B$10,Paramètres!$A$1:$I$89,3,0)*0.475*44/12</f>
        <v>7.235855662809807</v>
      </c>
      <c r="AW167" s="21">
        <f>EXP(-LN(2)/2)*AW166+(1-EXP(-LN(2)/2))/(LN(2)/2)*AQ167*AT167*VLOOKUP('Données projet'!$B$10,Paramètres!$A$1:$I$89,3,0)*0.475*44/12</f>
        <v>9.6667428667769057E-8</v>
      </c>
      <c r="AX167" s="21">
        <f t="shared" si="166"/>
        <v>52.227485409986592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88.478637356802039</v>
      </c>
      <c r="BJ167" s="59">
        <f t="shared" si="146"/>
        <v>239.55411297259155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2.6060942610495612</v>
      </c>
      <c r="BQ167" s="21">
        <f>EXP(-LN(2)/25)*BQ166+(1-EXP(-LN(2)/25))/(LN(2)/25)*Calculateur!BL167*Calculateur!BN167*VLOOKUP('Données projet'!$B$11,Paramètres!$A$1:$I$89,3,0)*0.475*44/12</f>
        <v>0.17777087762701504</v>
      </c>
      <c r="BR167" s="21">
        <f>EXP(-LN(2)/2)*BR166+(1-EXP(-LN(2)/2))/(LN(2)/2)*BL167*BO167*VLOOKUP('Données projet'!$B$11,Paramètres!$A$1:$I$89,3,0)*0.475*44/12</f>
        <v>2.9134193088649678E-21</v>
      </c>
      <c r="BS167" s="22">
        <f t="shared" si="169"/>
        <v>2.7838651386765765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6.3250000000000002</v>
      </c>
      <c r="BY167" s="12">
        <f>IF('Données projet'!$A$114&gt;35,BY166+BX167-CG166,IF(A167&lt;'Données projet'!$A$114,$BV$205^A167,IF(A167='Données projet'!$A$114,'Données projet'!$B$114,BY166+BX167-CG166)))</f>
        <v>369.66153846153901</v>
      </c>
      <c r="BZ167" s="13">
        <f>BY167*VLOOKUP('Données projet'!$B$12,Paramètres!$A$1:$I$89,3,0)*VLOOKUP('Données projet'!$B$12,Paramètres!$A$1:$I$89,5,0)</f>
        <v>334.46976000000046</v>
      </c>
      <c r="CA167" s="13">
        <f t="shared" si="170"/>
        <v>78.356275597698797</v>
      </c>
      <c r="CB167" s="20">
        <f t="shared" si="171"/>
        <v>719.00534533265954</v>
      </c>
      <c r="CC167" s="59">
        <f t="shared" si="119"/>
        <v>1012.3386786659928</v>
      </c>
      <c r="CD167" s="59">
        <f ca="1">AVERAGE(OFFSET($CC$3,0,0,'Données projet'!$E$12+1,1))-AVERAGE(OFFSET($H$3,0,0,'Données projet'!$E$12+1,1))</f>
        <v>437.94387006020412</v>
      </c>
      <c r="CE167" s="59">
        <f t="shared" si="148"/>
        <v>213.95083535531376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55.728413187033254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55.728413187033254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5.4001247917767614E-13</v>
      </c>
      <c r="CU167" s="17">
        <f>CT167*VLOOKUP('Données projet'!$B$13,Paramètres!$A$1:$I$89,3,0)*VLOOKUP('Données projet'!$B$13,Paramètres!$A$1:$I$89,5,0)</f>
        <v>2.5974600248446226E-13</v>
      </c>
      <c r="CV167" s="13">
        <f t="shared" si="173"/>
        <v>3.4917846266292826E-12</v>
      </c>
      <c r="CW167" s="20">
        <f t="shared" si="174"/>
        <v>6.5339158457064384E-12</v>
      </c>
      <c r="CX167" s="59">
        <f t="shared" si="122"/>
        <v>293.33333333333985</v>
      </c>
      <c r="CY167" s="59">
        <f ca="1">AVERAGE(OFFSET($CX$3,0,0,'Données projet'!$E$13+1,1))-AVERAGE(OFFSET($H$3,0,0,'Données projet'!$E$13+1,1))</f>
        <v>258.42493116335032</v>
      </c>
      <c r="CZ167" s="59">
        <f t="shared" si="150"/>
        <v>102.46122697336466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55.855456930342939</v>
      </c>
      <c r="DG167" s="21">
        <f>EXP(-LN(2)/25)*DG166+(1-EXP(-LN(2)/25))/(LN(2)/25)*Calculateur!DB167*Calculateur!DD167*VLOOKUP('Données projet'!$B$13,Paramètres!$A$1:$I$89,3,0)*0.475*44/12</f>
        <v>9.0660948628413909</v>
      </c>
      <c r="DH167" s="21">
        <f>EXP(-LN(2)/2)*DH166+(1-EXP(-LN(2)/2))/(LN(2)/2)*DB167*DE167*VLOOKUP('Données projet'!$B$13,Paramètres!$A$1:$I$89,3,0)*0.475*44/12</f>
        <v>2.9625593251300542E-6</v>
      </c>
      <c r="DI167" s="22">
        <f t="shared" si="175"/>
        <v>64.921554755743657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243</v>
      </c>
      <c r="DP167" s="17">
        <f>DO167*VLOOKUP('Données projet'!$B$14,Paramètres!$A$1:$I$89,3,0)*VLOOKUP('Données projet'!$B$14,Paramètres!$A$1:$I$89,5,0)</f>
        <v>212.28480000000002</v>
      </c>
      <c r="DQ167" s="13">
        <f t="shared" si="176"/>
        <v>52.434557099704193</v>
      </c>
      <c r="DR167" s="20">
        <f t="shared" si="177"/>
        <v>461.05288028198476</v>
      </c>
      <c r="DS167" s="59">
        <f t="shared" si="125"/>
        <v>754.38621361531807</v>
      </c>
      <c r="DT167" s="59">
        <f ca="1">AVERAGE(OFFSET($DS$3,0,0,'Données projet'!$E$14+1,1))-AVERAGE(OFFSET($H$3,0,0,'Données projet'!$E$14+1,1))</f>
        <v>354.24684313982857</v>
      </c>
      <c r="DU167" s="59">
        <f t="shared" si="152"/>
        <v>322.65043486962185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7.6727429315554874</v>
      </c>
      <c r="EB167" s="21">
        <f>EXP(-LN(2)/25)*EB166+(1-EXP(-LN(2)/25))/(LN(2)/25)*Calculateur!DW167*Calculateur!DY167*VLOOKUP('Données projet'!$B$14,Paramètres!$A$1:$I$89,3,0)*0.475*44/12</f>
        <v>2.5250700195499842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10.197812951105472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-6.7984728957526396E-14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355.09162485318728</v>
      </c>
      <c r="T168" s="59">
        <f t="shared" si="142"/>
        <v>320.06572891923685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30.60280934136615</v>
      </c>
      <c r="AA168" s="21">
        <f>EXP(-LN(2)/25)*AA167+(1-EXP(-LN(2)/25))/(LN(2)/25)*Calculateur!V168*Calculateur!X168*VLOOKUP('Données projet'!$B$9,Paramètres!$A$1:$I$89,3,0)*0.475*44/12</f>
        <v>3.5954034054336872</v>
      </c>
      <c r="AB168" s="21">
        <f>EXP(-LN(2)/2)*AB167+(1-EXP(-LN(2)/2))/(LN(2)/2)*V168*Y168*VLOOKUP('Données projet'!$B$9,Paramètres!$A$1:$I$89,3,0)*0.475*44/12</f>
        <v>1.8766804475725996E-12</v>
      </c>
      <c r="AC168" s="22">
        <f t="shared" si="163"/>
        <v>34.198212746801715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5.1159076974727213E-13</v>
      </c>
      <c r="AJ168" s="13">
        <f>AI168*VLOOKUP('Données projet'!$B$10,Paramètres!$A$1:$I$89,3,0)*VLOOKUP('Données projet'!$B$10,Paramètres!$A$1:$I$89,5,0)</f>
        <v>2.3942448024172334E-13</v>
      </c>
      <c r="AK168" s="13">
        <f t="shared" si="164"/>
        <v>3.2492669905861755E-12</v>
      </c>
      <c r="AL168" s="20">
        <f t="shared" si="165"/>
        <v>6.0761376450252565E-12</v>
      </c>
      <c r="AM168" s="59">
        <f t="shared" si="113"/>
        <v>293.3333333333394</v>
      </c>
      <c r="AN168" s="59">
        <f ca="1">AVERAGE(OFFSET($AM$3,0,0,'Données projet'!$E$10+1,1))-AVERAGE(OFFSET($H$3,0,0,'Données projet'!$E$10+1,1))</f>
        <v>246.72166704460847</v>
      </c>
      <c r="AO168" s="59">
        <f t="shared" si="144"/>
        <v>145.54897745089966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44.109371235247266</v>
      </c>
      <c r="AV168" s="21">
        <f>EXP(-LN(2)/25)*AV167+(1-EXP(-LN(2)/25))/(LN(2)/25)*Calculateur!AQ168*Calculateur!AS168*VLOOKUP('Données projet'!$B$10,Paramètres!$A$1:$I$89,3,0)*0.475*44/12</f>
        <v>7.0379908091931611</v>
      </c>
      <c r="AW168" s="21">
        <f>EXP(-LN(2)/2)*AW167+(1-EXP(-LN(2)/2))/(LN(2)/2)*AQ168*AT168*VLOOKUP('Données projet'!$B$10,Paramètres!$A$1:$I$89,3,0)*0.475*44/12</f>
        <v>6.8354194330846364E-8</v>
      </c>
      <c r="AX168" s="21">
        <f t="shared" si="166"/>
        <v>51.147362112794625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88.478637356802039</v>
      </c>
      <c r="BJ168" s="59">
        <f t="shared" si="146"/>
        <v>239.55411297259155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2.5549903421509224</v>
      </c>
      <c r="BQ168" s="21">
        <f>EXP(-LN(2)/25)*BQ167+(1-EXP(-LN(2)/25))/(LN(2)/25)*Calculateur!BL168*Calculateur!BN168*VLOOKUP('Données projet'!$B$11,Paramètres!$A$1:$I$89,3,0)*0.475*44/12</f>
        <v>0.17290972362974016</v>
      </c>
      <c r="BR168" s="21">
        <f>EXP(-LN(2)/2)*BR167+(1-EXP(-LN(2)/2))/(LN(2)/2)*BL168*BO168*VLOOKUP('Données projet'!$B$11,Paramètres!$A$1:$I$89,3,0)*0.475*44/12</f>
        <v>2.0600985497382433E-21</v>
      </c>
      <c r="BS168" s="22">
        <f t="shared" si="169"/>
        <v>2.7279000657806627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6.3250000000000002</v>
      </c>
      <c r="BY168" s="12">
        <f>IF('Données projet'!$A$114&gt;35,BY167+BX168-CG167,IF(A168&lt;'Données projet'!$A$114,$BV$205^A168,IF(A168='Données projet'!$A$114,'Données projet'!$B$114,BY167+BX168-CG167)))</f>
        <v>375.986538461539</v>
      </c>
      <c r="BZ168" s="13">
        <f>BY168*VLOOKUP('Données projet'!$B$12,Paramètres!$A$1:$I$89,3,0)*VLOOKUP('Données projet'!$B$12,Paramètres!$A$1:$I$89,5,0)</f>
        <v>340.19262000000049</v>
      </c>
      <c r="CA168" s="13">
        <f t="shared" si="170"/>
        <v>79.539741621445259</v>
      </c>
      <c r="CB168" s="20">
        <f t="shared" si="171"/>
        <v>731.03386315735133</v>
      </c>
      <c r="CC168" s="59">
        <f t="shared" si="119"/>
        <v>1024.3671964906846</v>
      </c>
      <c r="CD168" s="59">
        <f ca="1">AVERAGE(OFFSET($CC$3,0,0,'Données projet'!$E$12+1,1))-AVERAGE(OFFSET($H$3,0,0,'Données projet'!$E$12+1,1))</f>
        <v>437.94387006020412</v>
      </c>
      <c r="CE168" s="59">
        <f t="shared" si="148"/>
        <v>213.95083535531376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54.635612995411243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54.635612995411243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5.4001247917767614E-13</v>
      </c>
      <c r="CU168" s="17">
        <f>CT168*VLOOKUP('Données projet'!$B$13,Paramètres!$A$1:$I$89,3,0)*VLOOKUP('Données projet'!$B$13,Paramètres!$A$1:$I$89,5,0)</f>
        <v>2.5974600248446226E-13</v>
      </c>
      <c r="CV168" s="13">
        <f t="shared" si="173"/>
        <v>3.4917846266292826E-12</v>
      </c>
      <c r="CW168" s="20">
        <f t="shared" si="174"/>
        <v>6.5339158457064384E-12</v>
      </c>
      <c r="CX168" s="59">
        <f t="shared" si="122"/>
        <v>293.33333333333985</v>
      </c>
      <c r="CY168" s="59">
        <f ca="1">AVERAGE(OFFSET($CX$3,0,0,'Données projet'!$E$13+1,1))-AVERAGE(OFFSET($H$3,0,0,'Données projet'!$E$13+1,1))</f>
        <v>258.42493116335032</v>
      </c>
      <c r="CZ168" s="59">
        <f t="shared" si="150"/>
        <v>102.46122697336466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54.760165488403658</v>
      </c>
      <c r="DG168" s="21">
        <f>EXP(-LN(2)/25)*DG167+(1-EXP(-LN(2)/25))/(LN(2)/25)*Calculateur!DB168*Calculateur!DD168*VLOOKUP('Données projet'!$B$13,Paramètres!$A$1:$I$89,3,0)*0.475*44/12</f>
        <v>8.8181820220517846</v>
      </c>
      <c r="DH168" s="21">
        <f>EXP(-LN(2)/2)*DH167+(1-EXP(-LN(2)/2))/(LN(2)/2)*DB168*DE168*VLOOKUP('Données projet'!$B$13,Paramètres!$A$1:$I$89,3,0)*0.475*44/12</f>
        <v>2.0948457884669031E-6</v>
      </c>
      <c r="DI168" s="22">
        <f t="shared" si="175"/>
        <v>63.578349605301234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243</v>
      </c>
      <c r="DP168" s="17">
        <f>DO168*VLOOKUP('Données projet'!$B$14,Paramètres!$A$1:$I$89,3,0)*VLOOKUP('Données projet'!$B$14,Paramètres!$A$1:$I$89,5,0)</f>
        <v>212.28480000000002</v>
      </c>
      <c r="DQ168" s="13">
        <f t="shared" si="176"/>
        <v>52.434557099704193</v>
      </c>
      <c r="DR168" s="20">
        <f t="shared" si="177"/>
        <v>461.05288028198476</v>
      </c>
      <c r="DS168" s="59">
        <f t="shared" si="125"/>
        <v>754.38621361531807</v>
      </c>
      <c r="DT168" s="59">
        <f ca="1">AVERAGE(OFFSET($DS$3,0,0,'Données projet'!$E$14+1,1))-AVERAGE(OFFSET($H$3,0,0,'Données projet'!$E$14+1,1))</f>
        <v>354.24684313982857</v>
      </c>
      <c r="DU168" s="59">
        <f t="shared" si="152"/>
        <v>322.65043486962185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7.5222851225787695</v>
      </c>
      <c r="EB168" s="21">
        <f>EXP(-LN(2)/25)*EB167+(1-EXP(-LN(2)/25))/(LN(2)/25)*Calculateur!DW168*Calculateur!DY168*VLOOKUP('Données projet'!$B$14,Paramètres!$A$1:$I$89,3,0)*0.475*44/12</f>
        <v>2.4560218470777286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9.9783069696564972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-6.7984728957526396E-14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355.09162485318728</v>
      </c>
      <c r="T169" s="59">
        <f t="shared" si="142"/>
        <v>320.06572891923685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30.002706916052556</v>
      </c>
      <c r="AA169" s="21">
        <f>EXP(-LN(2)/25)*AA168+(1-EXP(-LN(2)/25))/(LN(2)/25)*Calculateur!V169*Calculateur!X169*VLOOKUP('Données projet'!$B$9,Paramètres!$A$1:$I$89,3,0)*0.475*44/12</f>
        <v>3.4970869102380555</v>
      </c>
      <c r="AB169" s="21">
        <f>EXP(-LN(2)/2)*AB168+(1-EXP(-LN(2)/2))/(LN(2)/2)*V169*Y169*VLOOKUP('Données projet'!$B$9,Paramètres!$A$1:$I$89,3,0)*0.475*44/12</f>
        <v>1.3270134705987903E-12</v>
      </c>
      <c r="AC169" s="22">
        <f t="shared" si="163"/>
        <v>33.499793826291942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5.1159076974727213E-13</v>
      </c>
      <c r="AJ169" s="13">
        <f>AI169*VLOOKUP('Données projet'!$B$10,Paramètres!$A$1:$I$89,3,0)*VLOOKUP('Données projet'!$B$10,Paramètres!$A$1:$I$89,5,0)</f>
        <v>2.3942448024172334E-13</v>
      </c>
      <c r="AK169" s="13">
        <f t="shared" si="164"/>
        <v>3.2492669905861755E-12</v>
      </c>
      <c r="AL169" s="20">
        <f t="shared" si="165"/>
        <v>6.0761376450252565E-12</v>
      </c>
      <c r="AM169" s="59">
        <f t="shared" si="113"/>
        <v>293.3333333333394</v>
      </c>
      <c r="AN169" s="59">
        <f ca="1">AVERAGE(OFFSET($AM$3,0,0,'Données projet'!$E$10+1,1))-AVERAGE(OFFSET($H$3,0,0,'Données projet'!$E$10+1,1))</f>
        <v>246.72166704460847</v>
      </c>
      <c r="AO169" s="59">
        <f t="shared" si="144"/>
        <v>145.54897745089966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43.244413369383963</v>
      </c>
      <c r="AV169" s="21">
        <f>EXP(-LN(2)/25)*AV168+(1-EXP(-LN(2)/25))/(LN(2)/25)*Calculateur!AQ169*Calculateur!AS169*VLOOKUP('Données projet'!$B$10,Paramètres!$A$1:$I$89,3,0)*0.475*44/12</f>
        <v>6.8455365804039232</v>
      </c>
      <c r="AW169" s="21">
        <f>EXP(-LN(2)/2)*AW168+(1-EXP(-LN(2)/2))/(LN(2)/2)*AQ169*AT169*VLOOKUP('Données projet'!$B$10,Paramètres!$A$1:$I$89,3,0)*0.475*44/12</f>
        <v>4.8333714333884528E-8</v>
      </c>
      <c r="AX169" s="21">
        <f t="shared" si="166"/>
        <v>50.089949998121604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88.478637356802039</v>
      </c>
      <c r="BJ169" s="59">
        <f t="shared" si="146"/>
        <v>239.55411297259155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2.504888539931573</v>
      </c>
      <c r="BQ169" s="21">
        <f>EXP(-LN(2)/25)*BQ168+(1-EXP(-LN(2)/25))/(LN(2)/25)*Calculateur!BL169*Calculateur!BN169*VLOOKUP('Données projet'!$B$11,Paramètres!$A$1:$I$89,3,0)*0.475*44/12</f>
        <v>0.16818149814415775</v>
      </c>
      <c r="BR169" s="21">
        <f>EXP(-LN(2)/2)*BR168+(1-EXP(-LN(2)/2))/(LN(2)/2)*BL169*BO169*VLOOKUP('Données projet'!$B$11,Paramètres!$A$1:$I$89,3,0)*0.475*44/12</f>
        <v>1.4567096544324839E-21</v>
      </c>
      <c r="BS169" s="22">
        <f t="shared" si="169"/>
        <v>2.6730700380757306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6.3250000000000002</v>
      </c>
      <c r="BY169" s="12">
        <f>IF('Données projet'!$A$114&gt;35,BY168+BX169-CG168,IF(A169&lt;'Données projet'!$A$114,$BV$205^A169,IF(A169='Données projet'!$A$114,'Données projet'!$B$114,BY168+BX169-CG168)))</f>
        <v>382.31153846153899</v>
      </c>
      <c r="BZ169" s="13">
        <f>BY169*VLOOKUP('Données projet'!$B$12,Paramètres!$A$1:$I$89,3,0)*VLOOKUP('Données projet'!$B$12,Paramètres!$A$1:$I$89,5,0)</f>
        <v>345.91548000000046</v>
      </c>
      <c r="CA169" s="13">
        <f t="shared" si="170"/>
        <v>80.720892418438538</v>
      </c>
      <c r="CB169" s="20">
        <f t="shared" si="171"/>
        <v>743.05834862878112</v>
      </c>
      <c r="CC169" s="59">
        <f t="shared" si="119"/>
        <v>1036.3916819621145</v>
      </c>
      <c r="CD169" s="59">
        <f ca="1">AVERAGE(OFFSET($CC$3,0,0,'Données projet'!$E$12+1,1))-AVERAGE(OFFSET($H$3,0,0,'Données projet'!$E$12+1,1))</f>
        <v>437.94387006020412</v>
      </c>
      <c r="CE169" s="59">
        <f t="shared" si="148"/>
        <v>213.95083535531376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53.564241949004639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53.564241949004639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5.4001247917767614E-13</v>
      </c>
      <c r="CU169" s="17">
        <f>CT169*VLOOKUP('Données projet'!$B$13,Paramètres!$A$1:$I$89,3,0)*VLOOKUP('Données projet'!$B$13,Paramètres!$A$1:$I$89,5,0)</f>
        <v>2.5974600248446226E-13</v>
      </c>
      <c r="CV169" s="13">
        <f t="shared" si="173"/>
        <v>3.4917846266292826E-12</v>
      </c>
      <c r="CW169" s="20">
        <f t="shared" si="174"/>
        <v>6.5339158457064384E-12</v>
      </c>
      <c r="CX169" s="59">
        <f t="shared" si="122"/>
        <v>293.33333333333985</v>
      </c>
      <c r="CY169" s="59">
        <f ca="1">AVERAGE(OFFSET($CX$3,0,0,'Données projet'!$E$13+1,1))-AVERAGE(OFFSET($H$3,0,0,'Données projet'!$E$13+1,1))</f>
        <v>258.42493116335032</v>
      </c>
      <c r="CZ169" s="59">
        <f t="shared" si="150"/>
        <v>102.46122697336466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53.686352043578992</v>
      </c>
      <c r="DG169" s="21">
        <f>EXP(-LN(2)/25)*DG168+(1-EXP(-LN(2)/25))/(LN(2)/25)*Calculateur!DB169*Calculateur!DD169*VLOOKUP('Données projet'!$B$13,Paramètres!$A$1:$I$89,3,0)*0.475*44/12</f>
        <v>8.5770483709307399</v>
      </c>
      <c r="DH169" s="21">
        <f>EXP(-LN(2)/2)*DH168+(1-EXP(-LN(2)/2))/(LN(2)/2)*DB169*DE169*VLOOKUP('Données projet'!$B$13,Paramètres!$A$1:$I$89,3,0)*0.475*44/12</f>
        <v>1.4812796625650271E-6</v>
      </c>
      <c r="DI169" s="22">
        <f t="shared" si="175"/>
        <v>62.263401895789393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243</v>
      </c>
      <c r="DP169" s="17">
        <f>DO169*VLOOKUP('Données projet'!$B$14,Paramètres!$A$1:$I$89,3,0)*VLOOKUP('Données projet'!$B$14,Paramètres!$A$1:$I$89,5,0)</f>
        <v>212.28480000000002</v>
      </c>
      <c r="DQ169" s="13">
        <f t="shared" si="176"/>
        <v>52.434557099704193</v>
      </c>
      <c r="DR169" s="20">
        <f t="shared" si="177"/>
        <v>461.05288028198476</v>
      </c>
      <c r="DS169" s="59">
        <f t="shared" si="125"/>
        <v>754.38621361531807</v>
      </c>
      <c r="DT169" s="59">
        <f ca="1">AVERAGE(OFFSET($DS$3,0,0,'Données projet'!$E$14+1,1))-AVERAGE(OFFSET($H$3,0,0,'Données projet'!$E$14+1,1))</f>
        <v>354.24684313982857</v>
      </c>
      <c r="DU169" s="59">
        <f t="shared" si="152"/>
        <v>322.65043486962185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7.3747776994658834</v>
      </c>
      <c r="EB169" s="21">
        <f>EXP(-LN(2)/25)*EB168+(1-EXP(-LN(2)/25))/(LN(2)/25)*Calculateur!DW169*Calculateur!DY169*VLOOKUP('Données projet'!$B$14,Paramètres!$A$1:$I$89,3,0)*0.475*44/12</f>
        <v>2.3888618005128124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9.7636394999786962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-6.7984728957526396E-14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355.09162485318728</v>
      </c>
      <c r="T170" s="59">
        <f t="shared" si="142"/>
        <v>320.06572891923685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29.414372133273027</v>
      </c>
      <c r="AA170" s="21">
        <f>EXP(-LN(2)/25)*AA169+(1-EXP(-LN(2)/25))/(LN(2)/25)*Calculateur!V170*Calculateur!X170*VLOOKUP('Données projet'!$B$9,Paramètres!$A$1:$I$89,3,0)*0.475*44/12</f>
        <v>3.4014588847737879</v>
      </c>
      <c r="AB170" s="21">
        <f>EXP(-LN(2)/2)*AB169+(1-EXP(-LN(2)/2))/(LN(2)/2)*V170*Y170*VLOOKUP('Données projet'!$B$9,Paramètres!$A$1:$I$89,3,0)*0.475*44/12</f>
        <v>9.3834022378629981E-13</v>
      </c>
      <c r="AC170" s="22">
        <f t="shared" si="163"/>
        <v>32.815831018047753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5.1159076974727213E-13</v>
      </c>
      <c r="AJ170" s="13">
        <f>AI170*VLOOKUP('Données projet'!$B$10,Paramètres!$A$1:$I$89,3,0)*VLOOKUP('Données projet'!$B$10,Paramètres!$A$1:$I$89,5,0)</f>
        <v>2.3942448024172334E-13</v>
      </c>
      <c r="AK170" s="13">
        <f t="shared" si="164"/>
        <v>3.2492669905861755E-12</v>
      </c>
      <c r="AL170" s="20">
        <f t="shared" si="165"/>
        <v>6.0761376450252565E-12</v>
      </c>
      <c r="AM170" s="59">
        <f t="shared" si="113"/>
        <v>293.3333333333394</v>
      </c>
      <c r="AN170" s="59">
        <f ca="1">AVERAGE(OFFSET($AM$3,0,0,'Données projet'!$E$10+1,1))-AVERAGE(OFFSET($H$3,0,0,'Données projet'!$E$10+1,1))</f>
        <v>246.72166704460847</v>
      </c>
      <c r="AO170" s="59">
        <f t="shared" si="144"/>
        <v>145.54897745089966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42.396416799698038</v>
      </c>
      <c r="AV170" s="21">
        <f>EXP(-LN(2)/25)*AV169+(1-EXP(-LN(2)/25))/(LN(2)/25)*Calculateur!AQ170*Calculateur!AS170*VLOOKUP('Données projet'!$B$10,Paramètres!$A$1:$I$89,3,0)*0.475*44/12</f>
        <v>6.6583450226216545</v>
      </c>
      <c r="AW170" s="21">
        <f>EXP(-LN(2)/2)*AW169+(1-EXP(-LN(2)/2))/(LN(2)/2)*AQ170*AT170*VLOOKUP('Données projet'!$B$10,Paramètres!$A$1:$I$89,3,0)*0.475*44/12</f>
        <v>3.4177097165423182E-8</v>
      </c>
      <c r="AX170" s="21">
        <f t="shared" si="166"/>
        <v>49.054761856496789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88.478637356802039</v>
      </c>
      <c r="BJ170" s="59">
        <f t="shared" si="146"/>
        <v>239.55411297259155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2.4557692034946634</v>
      </c>
      <c r="BQ170" s="21">
        <f>EXP(-LN(2)/25)*BQ169+(1-EXP(-LN(2)/25))/(LN(2)/25)*Calculateur!BL170*Calculateur!BN170*VLOOKUP('Données projet'!$B$11,Paramètres!$A$1:$I$89,3,0)*0.475*44/12</f>
        <v>0.16358256623312514</v>
      </c>
      <c r="BR170" s="21">
        <f>EXP(-LN(2)/2)*BR169+(1-EXP(-LN(2)/2))/(LN(2)/2)*BL170*BO170*VLOOKUP('Données projet'!$B$11,Paramètres!$A$1:$I$89,3,0)*0.475*44/12</f>
        <v>1.0300492748691217E-21</v>
      </c>
      <c r="BS170" s="22">
        <f t="shared" si="169"/>
        <v>2.6193517697277886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6.3250000000000002</v>
      </c>
      <c r="BY170" s="12">
        <f>IF('Données projet'!$A$114&gt;35,BY169+BX170-CG169,IF(A170&lt;'Données projet'!$A$114,$BV$205^A170,IF(A170='Données projet'!$A$114,'Données projet'!$B$114,BY169+BX170-CG169)))</f>
        <v>388.63653846153898</v>
      </c>
      <c r="BZ170" s="13">
        <f>BY170*VLOOKUP('Données projet'!$B$12,Paramètres!$A$1:$I$89,3,0)*VLOOKUP('Données projet'!$B$12,Paramètres!$A$1:$I$89,5,0)</f>
        <v>351.63834000000048</v>
      </c>
      <c r="CA170" s="13">
        <f t="shared" si="170"/>
        <v>81.899770713308158</v>
      </c>
      <c r="CB170" s="20">
        <f t="shared" si="171"/>
        <v>755.07887615901245</v>
      </c>
      <c r="CC170" s="59">
        <f t="shared" si="119"/>
        <v>1048.4122094923457</v>
      </c>
      <c r="CD170" s="59">
        <f ca="1">AVERAGE(OFFSET($CC$3,0,0,'Données projet'!$E$12+1,1))-AVERAGE(OFFSET($H$3,0,0,'Données projet'!$E$12+1,1))</f>
        <v>437.94387006020412</v>
      </c>
      <c r="CE170" s="59">
        <f t="shared" si="148"/>
        <v>213.95083535531376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52.513879835346259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52.513879835346259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5.4001247917767614E-13</v>
      </c>
      <c r="CU170" s="17">
        <f>CT170*VLOOKUP('Données projet'!$B$13,Paramètres!$A$1:$I$89,3,0)*VLOOKUP('Données projet'!$B$13,Paramètres!$A$1:$I$89,5,0)</f>
        <v>2.5974600248446226E-13</v>
      </c>
      <c r="CV170" s="13">
        <f t="shared" si="173"/>
        <v>3.4917846266292826E-12</v>
      </c>
      <c r="CW170" s="20">
        <f t="shared" si="174"/>
        <v>6.5339158457064384E-12</v>
      </c>
      <c r="CX170" s="59">
        <f t="shared" si="122"/>
        <v>293.33333333333985</v>
      </c>
      <c r="CY170" s="59">
        <f ca="1">AVERAGE(OFFSET($CX$3,0,0,'Données projet'!$E$13+1,1))-AVERAGE(OFFSET($H$3,0,0,'Données projet'!$E$13+1,1))</f>
        <v>258.42493116335032</v>
      </c>
      <c r="CZ170" s="59">
        <f t="shared" si="150"/>
        <v>102.46122697336466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52.633595425445812</v>
      </c>
      <c r="DG170" s="21">
        <f>EXP(-LN(2)/25)*DG169+(1-EXP(-LN(2)/25))/(LN(2)/25)*Calculateur!DB170*Calculateur!DD170*VLOOKUP('Données projet'!$B$13,Paramètres!$A$1:$I$89,3,0)*0.475*44/12</f>
        <v>8.3425085321802683</v>
      </c>
      <c r="DH170" s="21">
        <f>EXP(-LN(2)/2)*DH169+(1-EXP(-LN(2)/2))/(LN(2)/2)*DB170*DE170*VLOOKUP('Données projet'!$B$13,Paramètres!$A$1:$I$89,3,0)*0.475*44/12</f>
        <v>1.0474228942334516E-6</v>
      </c>
      <c r="DI170" s="22">
        <f t="shared" si="175"/>
        <v>60.976105005048971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243</v>
      </c>
      <c r="DP170" s="17">
        <f>DO170*VLOOKUP('Données projet'!$B$14,Paramètres!$A$1:$I$89,3,0)*VLOOKUP('Données projet'!$B$14,Paramètres!$A$1:$I$89,5,0)</f>
        <v>212.28480000000002</v>
      </c>
      <c r="DQ170" s="13">
        <f t="shared" si="176"/>
        <v>52.434557099704193</v>
      </c>
      <c r="DR170" s="20">
        <f t="shared" si="177"/>
        <v>461.05288028198476</v>
      </c>
      <c r="DS170" s="59">
        <f t="shared" si="125"/>
        <v>754.38621361531807</v>
      </c>
      <c r="DT170" s="59">
        <f ca="1">AVERAGE(OFFSET($DS$3,0,0,'Données projet'!$E$14+1,1))-AVERAGE(OFFSET($H$3,0,0,'Données projet'!$E$14+1,1))</f>
        <v>354.24684313982857</v>
      </c>
      <c r="DU170" s="59">
        <f t="shared" si="152"/>
        <v>322.65043486962185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7.2301628069495969</v>
      </c>
      <c r="EB170" s="21">
        <f>EXP(-LN(2)/25)*EB169+(1-EXP(-LN(2)/25))/(LN(2)/25)*Calculateur!DW170*Calculateur!DY170*VLOOKUP('Données projet'!$B$14,Paramètres!$A$1:$I$89,3,0)*0.475*44/12</f>
        <v>2.3235382489530072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9.5537010559026037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-6.7984728957526396E-14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355.09162485318728</v>
      </c>
      <c r="T171" s="59">
        <f t="shared" si="142"/>
        <v>320.06572891923685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28.837574236735019</v>
      </c>
      <c r="AA171" s="21">
        <f>EXP(-LN(2)/25)*AA170+(1-EXP(-LN(2)/25))/(LN(2)/25)*Calculateur!V171*Calculateur!X171*VLOOKUP('Données projet'!$B$9,Paramètres!$A$1:$I$89,3,0)*0.475*44/12</f>
        <v>3.3084458126946998</v>
      </c>
      <c r="AB171" s="21">
        <f>EXP(-LN(2)/2)*AB170+(1-EXP(-LN(2)/2))/(LN(2)/2)*V171*Y171*VLOOKUP('Données projet'!$B$9,Paramètres!$A$1:$I$89,3,0)*0.475*44/12</f>
        <v>6.6350673529939514E-13</v>
      </c>
      <c r="AC171" s="22">
        <f t="shared" si="163"/>
        <v>32.146020049430383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5.1159076974727213E-13</v>
      </c>
      <c r="AJ171" s="13">
        <f>AI171*VLOOKUP('Données projet'!$B$10,Paramètres!$A$1:$I$89,3,0)*VLOOKUP('Données projet'!$B$10,Paramètres!$A$1:$I$89,5,0)</f>
        <v>2.3942448024172334E-13</v>
      </c>
      <c r="AK171" s="13">
        <f t="shared" si="164"/>
        <v>3.2492669905861755E-12</v>
      </c>
      <c r="AL171" s="20">
        <f t="shared" si="165"/>
        <v>6.0761376450252565E-12</v>
      </c>
      <c r="AM171" s="59">
        <f t="shared" si="113"/>
        <v>293.3333333333394</v>
      </c>
      <c r="AN171" s="59">
        <f ca="1">AVERAGE(OFFSET($AM$3,0,0,'Données projet'!$E$10+1,1))-AVERAGE(OFFSET($H$3,0,0,'Données projet'!$E$10+1,1))</f>
        <v>246.72166704460847</v>
      </c>
      <c r="AO171" s="59">
        <f t="shared" si="144"/>
        <v>145.54897745089966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41.56504892551682</v>
      </c>
      <c r="AV171" s="21">
        <f>EXP(-LN(2)/25)*AV170+(1-EXP(-LN(2)/25))/(LN(2)/25)*Calculateur!AQ171*Calculateur!AS171*VLOOKUP('Données projet'!$B$10,Paramètres!$A$1:$I$89,3,0)*0.475*44/12</f>
        <v>6.4762722278309184</v>
      </c>
      <c r="AW171" s="21">
        <f>EXP(-LN(2)/2)*AW170+(1-EXP(-LN(2)/2))/(LN(2)/2)*AQ171*AT171*VLOOKUP('Données projet'!$B$10,Paramètres!$A$1:$I$89,3,0)*0.475*44/12</f>
        <v>2.4166857166942264E-8</v>
      </c>
      <c r="AX171" s="21">
        <f t="shared" si="166"/>
        <v>48.041321177514597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88.478637356802039</v>
      </c>
      <c r="BJ171" s="59">
        <f t="shared" si="146"/>
        <v>239.55411297259155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2.4076130672854448</v>
      </c>
      <c r="BQ171" s="21">
        <f>EXP(-LN(2)/25)*BQ170+(1-EXP(-LN(2)/25))/(LN(2)/25)*Calculateur!BL171*Calculateur!BN171*VLOOKUP('Données projet'!$B$11,Paramètres!$A$1:$I$89,3,0)*0.475*44/12</f>
        <v>0.15910939235704705</v>
      </c>
      <c r="BR171" s="21">
        <f>EXP(-LN(2)/2)*BR170+(1-EXP(-LN(2)/2))/(LN(2)/2)*BL171*BO171*VLOOKUP('Données projet'!$B$11,Paramètres!$A$1:$I$89,3,0)*0.475*44/12</f>
        <v>7.2835482721624196E-22</v>
      </c>
      <c r="BS171" s="22">
        <f t="shared" si="169"/>
        <v>2.566722459642492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>
        <f>VLOOKUP(A171,'Données projet'!$A$113:$I$133,2,0)</f>
        <v>394.96153846153845</v>
      </c>
      <c r="BW171" s="12">
        <f>VLOOKUP(A171,'Données projet'!$A$113:$I$133,9,0)</f>
        <v>6.3250000000000002</v>
      </c>
      <c r="BX171" s="12">
        <f t="array" ref="BX171">INDEX(BW:BW,MIN(IF(ISNUMBER(BW171:BW367),ROW(BW171:BW367),"")))</f>
        <v>6.3250000000000002</v>
      </c>
      <c r="BY171" s="12">
        <f>IF('Données projet'!$A$114&gt;35,BY170+BX171-CG170,IF(A171&lt;'Données projet'!$A$114,$BV$205^A171,IF(A171='Données projet'!$A$114,'Données projet'!$B$114,BY170+BX171-CG170)))</f>
        <v>394.96153846153896</v>
      </c>
      <c r="BZ171" s="13">
        <f>BY171*VLOOKUP('Données projet'!$B$12,Paramètres!$A$1:$I$89,3,0)*VLOOKUP('Données projet'!$B$12,Paramètres!$A$1:$I$89,5,0)</f>
        <v>357.36120000000045</v>
      </c>
      <c r="CA171" s="13">
        <f t="shared" si="170"/>
        <v>83.076417760271966</v>
      </c>
      <c r="CB171" s="20">
        <f t="shared" si="171"/>
        <v>767.09551759914109</v>
      </c>
      <c r="CC171" s="59">
        <f t="shared" si="119"/>
        <v>1060.4288509324745</v>
      </c>
      <c r="CD171" s="59">
        <f ca="1">AVERAGE(OFFSET($CC$3,0,0,'Données projet'!$E$12+1,1))-AVERAGE(OFFSET($H$3,0,0,'Données projet'!$E$12+1,1))</f>
        <v>437.94387006020412</v>
      </c>
      <c r="CE171" s="59">
        <f t="shared" si="148"/>
        <v>213.95083535531376</v>
      </c>
      <c r="CF171" s="15">
        <f>IF(ISNA(VLOOKUP(A171,'Données projet'!$A$113:$I$133,3,0)),0,VLOOKUP(A171,'Données projet'!$A$113:$I$133,3,0))</f>
        <v>15</v>
      </c>
      <c r="CG171" s="15">
        <f>IF(ISNA(VLOOKUP(A171,'Données projet'!$A$113:$I$133,4,0)),0,VLOOKUP(A171,'Données projet'!$A$113:$I$133,4,0))</f>
        <v>43.36538461538462</v>
      </c>
      <c r="CH171" s="16">
        <f>IF(ISNA(VLOOKUP(A171,'Données projet'!$A$113:$I$133,5,0)),0%,VLOOKUP(A171,'Données projet'!$A$113:$I$133,5,0)*VLOOKUP('Données projet'!$B$12,Paramètres!$A$1:$I$89,7,0))</f>
        <v>0.38700000000000001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68.270371758110286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68.270371758110286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5.4001247917767614E-13</v>
      </c>
      <c r="CU171" s="17">
        <f>CT171*VLOOKUP('Données projet'!$B$13,Paramètres!$A$1:$I$89,3,0)*VLOOKUP('Données projet'!$B$13,Paramètres!$A$1:$I$89,5,0)</f>
        <v>2.5974600248446226E-13</v>
      </c>
      <c r="CV171" s="13">
        <f t="shared" si="173"/>
        <v>3.4917846266292826E-12</v>
      </c>
      <c r="CW171" s="20">
        <f t="shared" si="174"/>
        <v>6.5339158457064384E-12</v>
      </c>
      <c r="CX171" s="59">
        <f t="shared" si="122"/>
        <v>293.33333333333985</v>
      </c>
      <c r="CY171" s="59">
        <f ca="1">AVERAGE(OFFSET($CX$3,0,0,'Données projet'!$E$13+1,1))-AVERAGE(OFFSET($H$3,0,0,'Données projet'!$E$13+1,1))</f>
        <v>258.42493116335032</v>
      </c>
      <c r="CZ171" s="59">
        <f t="shared" si="150"/>
        <v>102.46122697336466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51.601482722476092</v>
      </c>
      <c r="DG171" s="21">
        <f>EXP(-LN(2)/25)*DG170+(1-EXP(-LN(2)/25))/(LN(2)/25)*Calculateur!DB171*Calculateur!DD171*VLOOKUP('Données projet'!$B$13,Paramètres!$A$1:$I$89,3,0)*0.475*44/12</f>
        <v>8.1143821976543418</v>
      </c>
      <c r="DH171" s="21">
        <f>EXP(-LN(2)/2)*DH170+(1-EXP(-LN(2)/2))/(LN(2)/2)*DB171*DE171*VLOOKUP('Données projet'!$B$13,Paramètres!$A$1:$I$89,3,0)*0.475*44/12</f>
        <v>7.4063983128251356E-7</v>
      </c>
      <c r="DI171" s="22">
        <f t="shared" si="175"/>
        <v>59.71586566077027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243</v>
      </c>
      <c r="DP171" s="17">
        <f>DO171*VLOOKUP('Données projet'!$B$14,Paramètres!$A$1:$I$89,3,0)*VLOOKUP('Données projet'!$B$14,Paramètres!$A$1:$I$89,5,0)</f>
        <v>212.28480000000002</v>
      </c>
      <c r="DQ171" s="13">
        <f t="shared" si="176"/>
        <v>52.434557099704193</v>
      </c>
      <c r="DR171" s="20">
        <f t="shared" si="177"/>
        <v>461.05288028198476</v>
      </c>
      <c r="DS171" s="59">
        <f t="shared" si="125"/>
        <v>754.38621361531807</v>
      </c>
      <c r="DT171" s="59">
        <f ca="1">AVERAGE(OFFSET($DS$3,0,0,'Données projet'!$E$14+1,1))-AVERAGE(OFFSET($H$3,0,0,'Données projet'!$E$14+1,1))</f>
        <v>354.24684313982857</v>
      </c>
      <c r="DU171" s="59">
        <f t="shared" si="152"/>
        <v>322.65043486962185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7.0883837242691801</v>
      </c>
      <c r="EB171" s="21">
        <f>EXP(-LN(2)/25)*EB170+(1-EXP(-LN(2)/25))/(LN(2)/25)*Calculateur!DW171*Calculateur!DY171*VLOOKUP('Données projet'!$B$14,Paramètres!$A$1:$I$89,3,0)*0.475*44/12</f>
        <v>2.2600009733458211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9.3483846976150016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-6.7984728957526396E-14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355.09162485318728</v>
      </c>
      <c r="T172" s="59">
        <f t="shared" si="142"/>
        <v>320.06572891923685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28.272086995136142</v>
      </c>
      <c r="AA172" s="21">
        <f>EXP(-LN(2)/25)*AA171+(1-EXP(-LN(2)/25))/(LN(2)/25)*Calculateur!V172*Calculateur!X172*VLOOKUP('Données projet'!$B$9,Paramètres!$A$1:$I$89,3,0)*0.475*44/12</f>
        <v>3.2179761879629596</v>
      </c>
      <c r="AB172" s="21">
        <f>EXP(-LN(2)/2)*AB171+(1-EXP(-LN(2)/2))/(LN(2)/2)*V172*Y172*VLOOKUP('Données projet'!$B$9,Paramètres!$A$1:$I$89,3,0)*0.475*44/12</f>
        <v>4.691701118931499E-13</v>
      </c>
      <c r="AC172" s="22">
        <f t="shared" si="163"/>
        <v>31.490063183099572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5.1159076974727213E-13</v>
      </c>
      <c r="AJ172" s="13">
        <f>AI172*VLOOKUP('Données projet'!$B$10,Paramètres!$A$1:$I$89,3,0)*VLOOKUP('Données projet'!$B$10,Paramètres!$A$1:$I$89,5,0)</f>
        <v>2.3942448024172334E-13</v>
      </c>
      <c r="AK172" s="13">
        <f t="shared" si="164"/>
        <v>3.2492669905861755E-12</v>
      </c>
      <c r="AL172" s="20">
        <f t="shared" si="165"/>
        <v>6.0761376450252565E-12</v>
      </c>
      <c r="AM172" s="59">
        <f t="shared" si="113"/>
        <v>293.3333333333394</v>
      </c>
      <c r="AN172" s="59">
        <f ca="1">AVERAGE(OFFSET($AM$3,0,0,'Données projet'!$E$10+1,1))-AVERAGE(OFFSET($H$3,0,0,'Données projet'!$E$10+1,1))</f>
        <v>246.72166704460847</v>
      </c>
      <c r="AO172" s="59">
        <f t="shared" si="144"/>
        <v>145.54897745089966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40.749983668263958</v>
      </c>
      <c r="AV172" s="21">
        <f>EXP(-LN(2)/25)*AV171+(1-EXP(-LN(2)/25))/(LN(2)/25)*Calculateur!AQ172*Calculateur!AS172*VLOOKUP('Données projet'!$B$10,Paramètres!$A$1:$I$89,3,0)*0.475*44/12</f>
        <v>6.2991782231885276</v>
      </c>
      <c r="AW172" s="21">
        <f>EXP(-LN(2)/2)*AW171+(1-EXP(-LN(2)/2))/(LN(2)/2)*AQ172*AT172*VLOOKUP('Données projet'!$B$10,Paramètres!$A$1:$I$89,3,0)*0.475*44/12</f>
        <v>1.7088548582711591E-8</v>
      </c>
      <c r="AX172" s="21">
        <f t="shared" si="166"/>
        <v>47.049161908541031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88.478637356802039</v>
      </c>
      <c r="BJ172" s="59">
        <f t="shared" si="146"/>
        <v>239.55411297259155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2.360401243534946</v>
      </c>
      <c r="BQ172" s="21">
        <f>EXP(-LN(2)/25)*BQ171+(1-EXP(-LN(2)/25))/(LN(2)/25)*Calculateur!BL172*Calculateur!BN172*VLOOKUP('Données projet'!$B$11,Paramètres!$A$1:$I$89,3,0)*0.475*44/12</f>
        <v>0.1547585376558443</v>
      </c>
      <c r="BR172" s="21">
        <f>EXP(-LN(2)/2)*BR171+(1-EXP(-LN(2)/2))/(LN(2)/2)*BL172*BO172*VLOOKUP('Données projet'!$B$11,Paramètres!$A$1:$I$89,3,0)*0.475*44/12</f>
        <v>5.1502463743456083E-22</v>
      </c>
      <c r="BS172" s="22">
        <f t="shared" si="169"/>
        <v>2.5151597811907904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6.4051282051282046</v>
      </c>
      <c r="BY172" s="12">
        <f>IF('Données projet'!$A$114&gt;35,BY171+BX172-CG171,IF(A172&lt;'Données projet'!$A$114,$BV$205^A172,IF(A172='Données projet'!$A$114,'Données projet'!$B$114,BY171+BX172-CG171)))</f>
        <v>358.00128205128254</v>
      </c>
      <c r="BZ172" s="13">
        <f>BY172*VLOOKUP('Données projet'!$B$12,Paramètres!$A$1:$I$89,3,0)*VLOOKUP('Données projet'!$B$12,Paramètres!$A$1:$I$89,5,0)</f>
        <v>323.91956000000044</v>
      </c>
      <c r="CA172" s="13">
        <f t="shared" si="170"/>
        <v>76.168315606118128</v>
      </c>
      <c r="CB172" s="20">
        <f t="shared" si="171"/>
        <v>696.81971668065637</v>
      </c>
      <c r="CC172" s="59">
        <f t="shared" si="119"/>
        <v>990.15305001398974</v>
      </c>
      <c r="CD172" s="59">
        <f ca="1">AVERAGE(OFFSET($CC$3,0,0,'Données projet'!$E$12+1,1))-AVERAGE(OFFSET($H$3,0,0,'Données projet'!$E$12+1,1))</f>
        <v>437.94387006020412</v>
      </c>
      <c r="CE172" s="59">
        <f t="shared" si="148"/>
        <v>213.95083535531376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66.931631408748828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66.931631408748828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5.4001247917767614E-13</v>
      </c>
      <c r="CU172" s="17">
        <f>CT172*VLOOKUP('Données projet'!$B$13,Paramètres!$A$1:$I$89,3,0)*VLOOKUP('Données projet'!$B$13,Paramètres!$A$1:$I$89,5,0)</f>
        <v>2.5974600248446226E-13</v>
      </c>
      <c r="CV172" s="13">
        <f t="shared" si="173"/>
        <v>3.4917846266292826E-12</v>
      </c>
      <c r="CW172" s="20">
        <f t="shared" si="174"/>
        <v>6.5339158457064384E-12</v>
      </c>
      <c r="CX172" s="59">
        <f t="shared" si="122"/>
        <v>293.33333333333985</v>
      </c>
      <c r="CY172" s="59">
        <f ca="1">AVERAGE(OFFSET($CX$3,0,0,'Données projet'!$E$13+1,1))-AVERAGE(OFFSET($H$3,0,0,'Données projet'!$E$13+1,1))</f>
        <v>258.42493116335032</v>
      </c>
      <c r="CZ172" s="59">
        <f t="shared" si="150"/>
        <v>102.46122697336466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50.589609120085015</v>
      </c>
      <c r="DG172" s="21">
        <f>EXP(-LN(2)/25)*DG171+(1-EXP(-LN(2)/25))/(LN(2)/25)*Calculateur!DB172*Calculateur!DD172*VLOOKUP('Données projet'!$B$13,Paramètres!$A$1:$I$89,3,0)*0.475*44/12</f>
        <v>7.89249398974267</v>
      </c>
      <c r="DH172" s="21">
        <f>EXP(-LN(2)/2)*DH171+(1-EXP(-LN(2)/2))/(LN(2)/2)*DB172*DE172*VLOOKUP('Données projet'!$B$13,Paramètres!$A$1:$I$89,3,0)*0.475*44/12</f>
        <v>5.2371144711672578E-7</v>
      </c>
      <c r="DI172" s="22">
        <f t="shared" si="175"/>
        <v>58.482103633539133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243</v>
      </c>
      <c r="DP172" s="17">
        <f>DO172*VLOOKUP('Données projet'!$B$14,Paramètres!$A$1:$I$89,3,0)*VLOOKUP('Données projet'!$B$14,Paramètres!$A$1:$I$89,5,0)</f>
        <v>212.28480000000002</v>
      </c>
      <c r="DQ172" s="13">
        <f t="shared" si="176"/>
        <v>52.434557099704193</v>
      </c>
      <c r="DR172" s="20">
        <f t="shared" si="177"/>
        <v>461.05288028198476</v>
      </c>
      <c r="DS172" s="59">
        <f t="shared" si="125"/>
        <v>754.38621361531807</v>
      </c>
      <c r="DT172" s="59">
        <f ca="1">AVERAGE(OFFSET($DS$3,0,0,'Données projet'!$E$14+1,1))-AVERAGE(OFFSET($H$3,0,0,'Données projet'!$E$14+1,1))</f>
        <v>354.24684313982857</v>
      </c>
      <c r="DU172" s="59">
        <f t="shared" si="152"/>
        <v>322.65043486962185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6.9493848429234246</v>
      </c>
      <c r="EB172" s="21">
        <f>EXP(-LN(2)/25)*EB171+(1-EXP(-LN(2)/25))/(LN(2)/25)*Calculateur!DW172*Calculateur!DY172*VLOOKUP('Données projet'!$B$14,Paramètres!$A$1:$I$89,3,0)*0.475*44/12</f>
        <v>2.1982011278813935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9.1475859708048191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-6.7984728957526396E-14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355.09162485318728</v>
      </c>
      <c r="T173" s="59">
        <f t="shared" si="142"/>
        <v>320.06572891923685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27.717688613431861</v>
      </c>
      <c r="AA173" s="21">
        <f>EXP(-LN(2)/25)*AA172+(1-EXP(-LN(2)/25))/(LN(2)/25)*Calculateur!V173*Calculateur!X173*VLOOKUP('Données projet'!$B$9,Paramètres!$A$1:$I$89,3,0)*0.475*44/12</f>
        <v>3.1299804598770997</v>
      </c>
      <c r="AB173" s="21">
        <f>EXP(-LN(2)/2)*AB172+(1-EXP(-LN(2)/2))/(LN(2)/2)*V173*Y173*VLOOKUP('Données projet'!$B$9,Paramètres!$A$1:$I$89,3,0)*0.475*44/12</f>
        <v>3.3175336764969757E-13</v>
      </c>
      <c r="AC173" s="22">
        <f t="shared" si="163"/>
        <v>30.847669073309291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5.1159076974727213E-13</v>
      </c>
      <c r="AJ173" s="13">
        <f>AI173*VLOOKUP('Données projet'!$B$10,Paramètres!$A$1:$I$89,3,0)*VLOOKUP('Données projet'!$B$10,Paramètres!$A$1:$I$89,5,0)</f>
        <v>2.3942448024172334E-13</v>
      </c>
      <c r="AK173" s="13">
        <f t="shared" si="164"/>
        <v>3.2492669905861755E-12</v>
      </c>
      <c r="AL173" s="20">
        <f t="shared" si="165"/>
        <v>6.0761376450252565E-12</v>
      </c>
      <c r="AM173" s="59">
        <f t="shared" si="113"/>
        <v>293.3333333333394</v>
      </c>
      <c r="AN173" s="59">
        <f ca="1">AVERAGE(OFFSET($AM$3,0,0,'Données projet'!$E$10+1,1))-AVERAGE(OFFSET($H$3,0,0,'Données projet'!$E$10+1,1))</f>
        <v>246.72166704460847</v>
      </c>
      <c r="AO173" s="59">
        <f t="shared" si="144"/>
        <v>145.54897745089966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39.950901343565107</v>
      </c>
      <c r="AV173" s="21">
        <f>EXP(-LN(2)/25)*AV172+(1-EXP(-LN(2)/25))/(LN(2)/25)*Calculateur!AQ173*Calculateur!AS173*VLOOKUP('Données projet'!$B$10,Paramètres!$A$1:$I$89,3,0)*0.475*44/12</f>
        <v>6.1269268634160516</v>
      </c>
      <c r="AW173" s="21">
        <f>EXP(-LN(2)/2)*AW172+(1-EXP(-LN(2)/2))/(LN(2)/2)*AQ173*AT173*VLOOKUP('Données projet'!$B$10,Paramètres!$A$1:$I$89,3,0)*0.475*44/12</f>
        <v>1.2083428583471132E-8</v>
      </c>
      <c r="AX173" s="21">
        <f t="shared" si="166"/>
        <v>46.077828219064585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88.478637356802039</v>
      </c>
      <c r="BJ173" s="59">
        <f t="shared" si="146"/>
        <v>239.55411297259155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2.3141152148518254</v>
      </c>
      <c r="BQ173" s="21">
        <f>EXP(-LN(2)/25)*BQ172+(1-EXP(-LN(2)/25))/(LN(2)/25)*Calculateur!BL173*Calculateur!BN173*VLOOKUP('Données projet'!$B$11,Paramètres!$A$1:$I$89,3,0)*0.475*44/12</f>
        <v>0.15052665730524745</v>
      </c>
      <c r="BR173" s="21">
        <f>EXP(-LN(2)/2)*BR172+(1-EXP(-LN(2)/2))/(LN(2)/2)*BL173*BO173*VLOOKUP('Données projet'!$B$11,Paramètres!$A$1:$I$89,3,0)*0.475*44/12</f>
        <v>3.6417741360812098E-22</v>
      </c>
      <c r="BS173" s="22">
        <f t="shared" si="169"/>
        <v>2.4646418721570726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6.4051282051282046</v>
      </c>
      <c r="BY173" s="12">
        <f>IF('Données projet'!$A$114&gt;35,BY172+BX173-CG172,IF(A173&lt;'Données projet'!$A$114,$BV$205^A173,IF(A173='Données projet'!$A$114,'Données projet'!$B$114,BY172+BX173-CG172)))</f>
        <v>364.40641025641077</v>
      </c>
      <c r="BZ173" s="13">
        <f>BY173*VLOOKUP('Données projet'!$B$12,Paramètres!$A$1:$I$89,3,0)*VLOOKUP('Données projet'!$B$12,Paramètres!$A$1:$I$89,5,0)</f>
        <v>329.71492000000046</v>
      </c>
      <c r="CA173" s="13">
        <f t="shared" si="170"/>
        <v>77.371199841876589</v>
      </c>
      <c r="CB173" s="20">
        <f t="shared" si="171"/>
        <v>709.00832539126907</v>
      </c>
      <c r="CC173" s="59">
        <f t="shared" si="119"/>
        <v>1002.3416587246024</v>
      </c>
      <c r="CD173" s="59">
        <f ca="1">AVERAGE(OFFSET($CC$3,0,0,'Données projet'!$E$12+1,1))-AVERAGE(OFFSET($H$3,0,0,'Données projet'!$E$12+1,1))</f>
        <v>437.94387006020412</v>
      </c>
      <c r="CE173" s="59">
        <f t="shared" si="148"/>
        <v>213.95083535531376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65.619142941087361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65.619142941087361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5.4001247917767614E-13</v>
      </c>
      <c r="CU173" s="17">
        <f>CT173*VLOOKUP('Données projet'!$B$13,Paramètres!$A$1:$I$89,3,0)*VLOOKUP('Données projet'!$B$13,Paramètres!$A$1:$I$89,5,0)</f>
        <v>2.5974600248446226E-13</v>
      </c>
      <c r="CV173" s="13">
        <f t="shared" si="173"/>
        <v>3.4917846266292826E-12</v>
      </c>
      <c r="CW173" s="20">
        <f t="shared" si="174"/>
        <v>6.5339158457064384E-12</v>
      </c>
      <c r="CX173" s="59">
        <f t="shared" si="122"/>
        <v>293.33333333333985</v>
      </c>
      <c r="CY173" s="59">
        <f ca="1">AVERAGE(OFFSET($CX$3,0,0,'Données projet'!$E$13+1,1))-AVERAGE(OFFSET($H$3,0,0,'Données projet'!$E$13+1,1))</f>
        <v>258.42493116335032</v>
      </c>
      <c r="CZ173" s="59">
        <f t="shared" si="150"/>
        <v>102.46122697336466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49.59757774185487</v>
      </c>
      <c r="DG173" s="21">
        <f>EXP(-LN(2)/25)*DG172+(1-EXP(-LN(2)/25))/(LN(2)/25)*Calculateur!DB173*Calculateur!DD173*VLOOKUP('Données projet'!$B$13,Paramètres!$A$1:$I$89,3,0)*0.475*44/12</f>
        <v>7.6766733265449361</v>
      </c>
      <c r="DH173" s="21">
        <f>EXP(-LN(2)/2)*DH172+(1-EXP(-LN(2)/2))/(LN(2)/2)*DB173*DE173*VLOOKUP('Données projet'!$B$13,Paramètres!$A$1:$I$89,3,0)*0.475*44/12</f>
        <v>3.7031991564125678E-7</v>
      </c>
      <c r="DI173" s="22">
        <f t="shared" si="175"/>
        <v>57.274251438719723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243</v>
      </c>
      <c r="DP173" s="17">
        <f>DO173*VLOOKUP('Données projet'!$B$14,Paramètres!$A$1:$I$89,3,0)*VLOOKUP('Données projet'!$B$14,Paramètres!$A$1:$I$89,5,0)</f>
        <v>212.28480000000002</v>
      </c>
      <c r="DQ173" s="13">
        <f t="shared" si="176"/>
        <v>52.434557099704193</v>
      </c>
      <c r="DR173" s="20">
        <f t="shared" si="177"/>
        <v>461.05288028198476</v>
      </c>
      <c r="DS173" s="59">
        <f t="shared" si="125"/>
        <v>754.38621361531807</v>
      </c>
      <c r="DT173" s="59">
        <f ca="1">AVERAGE(OFFSET($DS$3,0,0,'Données projet'!$E$14+1,1))-AVERAGE(OFFSET($H$3,0,0,'Données projet'!$E$14+1,1))</f>
        <v>354.24684313982857</v>
      </c>
      <c r="DU173" s="59">
        <f t="shared" si="152"/>
        <v>322.65043486962185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6.8131116448599132</v>
      </c>
      <c r="EB173" s="21">
        <f>EXP(-LN(2)/25)*EB172+(1-EXP(-LN(2)/25))/(LN(2)/25)*Calculateur!DW173*Calculateur!DY173*VLOOKUP('Données projet'!$B$14,Paramètres!$A$1:$I$89,3,0)*0.475*44/12</f>
        <v>2.1380912024411036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8.9512028473010172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-6.7984728957526396E-14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355.09162485318728</v>
      </c>
      <c r="T174" s="59">
        <f t="shared" si="142"/>
        <v>320.06572891923685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27.174161645843174</v>
      </c>
      <c r="AA174" s="21">
        <f>EXP(-LN(2)/25)*AA173+(1-EXP(-LN(2)/25))/(LN(2)/25)*Calculateur!V174*Calculateur!X174*VLOOKUP('Données projet'!$B$9,Paramètres!$A$1:$I$89,3,0)*0.475*44/12</f>
        <v>3.0443909796032416</v>
      </c>
      <c r="AB174" s="21">
        <f>EXP(-LN(2)/2)*AB173+(1-EXP(-LN(2)/2))/(LN(2)/2)*V174*Y174*VLOOKUP('Données projet'!$B$9,Paramètres!$A$1:$I$89,3,0)*0.475*44/12</f>
        <v>2.3458505594657495E-13</v>
      </c>
      <c r="AC174" s="22">
        <f t="shared" si="163"/>
        <v>30.218552625446652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5.1159076974727213E-13</v>
      </c>
      <c r="AJ174" s="13">
        <f>AI174*VLOOKUP('Données projet'!$B$10,Paramètres!$A$1:$I$89,3,0)*VLOOKUP('Données projet'!$B$10,Paramètres!$A$1:$I$89,5,0)</f>
        <v>2.3942448024172334E-13</v>
      </c>
      <c r="AK174" s="13">
        <f t="shared" si="164"/>
        <v>3.2492669905861755E-12</v>
      </c>
      <c r="AL174" s="20">
        <f t="shared" si="165"/>
        <v>6.0761376450252565E-12</v>
      </c>
      <c r="AM174" s="59">
        <f t="shared" si="113"/>
        <v>293.3333333333394</v>
      </c>
      <c r="AN174" s="59">
        <f ca="1">AVERAGE(OFFSET($AM$3,0,0,'Données projet'!$E$10+1,1))-AVERAGE(OFFSET($H$3,0,0,'Données projet'!$E$10+1,1))</f>
        <v>246.72166704460847</v>
      </c>
      <c r="AO174" s="59">
        <f t="shared" si="144"/>
        <v>145.54897745089966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39.167488535861509</v>
      </c>
      <c r="AV174" s="21">
        <f>EXP(-LN(2)/25)*AV173+(1-EXP(-LN(2)/25))/(LN(2)/25)*Calculateur!AQ174*Calculateur!AS174*VLOOKUP('Données projet'!$B$10,Paramètres!$A$1:$I$89,3,0)*0.475*44/12</f>
        <v>5.9593857261348591</v>
      </c>
      <c r="AW174" s="21">
        <f>EXP(-LN(2)/2)*AW173+(1-EXP(-LN(2)/2))/(LN(2)/2)*AQ174*AT174*VLOOKUP('Données projet'!$B$10,Paramètres!$A$1:$I$89,3,0)*0.475*44/12</f>
        <v>8.5442742913557955E-9</v>
      </c>
      <c r="AX174" s="21">
        <f t="shared" si="166"/>
        <v>45.126874270540647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88.478637356802039</v>
      </c>
      <c r="BJ174" s="59">
        <f t="shared" si="146"/>
        <v>239.55411297259155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2.2687368269594907</v>
      </c>
      <c r="BQ174" s="21">
        <f>EXP(-LN(2)/25)*BQ173+(1-EXP(-LN(2)/25))/(LN(2)/25)*Calculateur!BL174*Calculateur!BN174*VLOOKUP('Données projet'!$B$11,Paramètres!$A$1:$I$89,3,0)*0.475*44/12</f>
        <v>0.14641049794538258</v>
      </c>
      <c r="BR174" s="21">
        <f>EXP(-LN(2)/2)*BR173+(1-EXP(-LN(2)/2))/(LN(2)/2)*BL174*BO174*VLOOKUP('Données projet'!$B$11,Paramètres!$A$1:$I$89,3,0)*0.475*44/12</f>
        <v>2.5751231871728042E-22</v>
      </c>
      <c r="BS174" s="22">
        <f t="shared" si="169"/>
        <v>2.4151473249048734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6.4051282051282046</v>
      </c>
      <c r="BY174" s="12">
        <f>IF('Données projet'!$A$114&gt;35,BY173+BX174-CG173,IF(A174&lt;'Données projet'!$A$114,$BV$205^A174,IF(A174='Données projet'!$A$114,'Données projet'!$B$114,BY173+BX174-CG173)))</f>
        <v>370.81153846153899</v>
      </c>
      <c r="BZ174" s="13">
        <f>BY174*VLOOKUP('Données projet'!$B$12,Paramètres!$A$1:$I$89,3,0)*VLOOKUP('Données projet'!$B$12,Paramètres!$A$1:$I$89,5,0)</f>
        <v>335.51028000000048</v>
      </c>
      <c r="CA174" s="13">
        <f t="shared" si="170"/>
        <v>78.571625419885478</v>
      </c>
      <c r="CB174" s="20">
        <f t="shared" si="171"/>
        <v>721.19265193963463</v>
      </c>
      <c r="CC174" s="59">
        <f t="shared" si="119"/>
        <v>1014.525985272968</v>
      </c>
      <c r="CD174" s="59">
        <f ca="1">AVERAGE(OFFSET($CC$3,0,0,'Données projet'!$E$12+1,1))-AVERAGE(OFFSET($H$3,0,0,'Données projet'!$E$12+1,1))</f>
        <v>437.94387006020412</v>
      </c>
      <c r="CE174" s="59">
        <f t="shared" si="148"/>
        <v>213.95083535531376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64.332391571737816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64.332391571737816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5.4001247917767614E-13</v>
      </c>
      <c r="CU174" s="17">
        <f>CT174*VLOOKUP('Données projet'!$B$13,Paramètres!$A$1:$I$89,3,0)*VLOOKUP('Données projet'!$B$13,Paramètres!$A$1:$I$89,5,0)</f>
        <v>2.5974600248446226E-13</v>
      </c>
      <c r="CV174" s="13">
        <f t="shared" si="173"/>
        <v>3.4917846266292826E-12</v>
      </c>
      <c r="CW174" s="20">
        <f t="shared" si="174"/>
        <v>6.5339158457064384E-12</v>
      </c>
      <c r="CX174" s="59">
        <f t="shared" si="122"/>
        <v>293.33333333333985</v>
      </c>
      <c r="CY174" s="59">
        <f ca="1">AVERAGE(OFFSET($CX$3,0,0,'Données projet'!$E$13+1,1))-AVERAGE(OFFSET($H$3,0,0,'Données projet'!$E$13+1,1))</f>
        <v>258.42493116335032</v>
      </c>
      <c r="CZ174" s="59">
        <f t="shared" si="150"/>
        <v>102.46122697336466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48.62499949387243</v>
      </c>
      <c r="DG174" s="21">
        <f>EXP(-LN(2)/25)*DG173+(1-EXP(-LN(2)/25))/(LN(2)/25)*Calculateur!DB174*Calculateur!DD174*VLOOKUP('Données projet'!$B$13,Paramètres!$A$1:$I$89,3,0)*0.475*44/12</f>
        <v>7.4667542907318598</v>
      </c>
      <c r="DH174" s="21">
        <f>EXP(-LN(2)/2)*DH173+(1-EXP(-LN(2)/2))/(LN(2)/2)*DB174*DE174*VLOOKUP('Données projet'!$B$13,Paramètres!$A$1:$I$89,3,0)*0.475*44/12</f>
        <v>2.6185572355836289E-7</v>
      </c>
      <c r="DI174" s="22">
        <f t="shared" si="175"/>
        <v>56.091754046460018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243</v>
      </c>
      <c r="DP174" s="17">
        <f>DO174*VLOOKUP('Données projet'!$B$14,Paramètres!$A$1:$I$89,3,0)*VLOOKUP('Données projet'!$B$14,Paramètres!$A$1:$I$89,5,0)</f>
        <v>212.28480000000002</v>
      </c>
      <c r="DQ174" s="13">
        <f t="shared" si="176"/>
        <v>52.434557099704193</v>
      </c>
      <c r="DR174" s="20">
        <f t="shared" si="177"/>
        <v>461.05288028198476</v>
      </c>
      <c r="DS174" s="59">
        <f t="shared" si="125"/>
        <v>754.38621361531807</v>
      </c>
      <c r="DT174" s="59">
        <f ca="1">AVERAGE(OFFSET($DS$3,0,0,'Données projet'!$E$14+1,1))-AVERAGE(OFFSET($H$3,0,0,'Données projet'!$E$14+1,1))</f>
        <v>354.24684313982857</v>
      </c>
      <c r="DU174" s="59">
        <f t="shared" si="152"/>
        <v>322.65043486962185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6.6795106810919833</v>
      </c>
      <c r="EB174" s="21">
        <f>EXP(-LN(2)/25)*EB173+(1-EXP(-LN(2)/25))/(LN(2)/25)*Calculateur!DW174*Calculateur!DY174*VLOOKUP('Données projet'!$B$14,Paramètres!$A$1:$I$89,3,0)*0.475*44/12</f>
        <v>2.0796249860730218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8.7591356671650047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-6.7984728957526396E-14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355.09162485318728</v>
      </c>
      <c r="T175" s="59">
        <f t="shared" si="142"/>
        <v>320.06572891923685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26.641292910570186</v>
      </c>
      <c r="AA175" s="21">
        <f>EXP(-LN(2)/25)*AA174+(1-EXP(-LN(2)/25))/(LN(2)/25)*Calculateur!V175*Calculateur!X175*VLOOKUP('Données projet'!$B$9,Paramètres!$A$1:$I$89,3,0)*0.475*44/12</f>
        <v>2.9611419481684274</v>
      </c>
      <c r="AB175" s="21">
        <f>EXP(-LN(2)/2)*AB174+(1-EXP(-LN(2)/2))/(LN(2)/2)*V175*Y175*VLOOKUP('Données projet'!$B$9,Paramètres!$A$1:$I$89,3,0)*0.475*44/12</f>
        <v>1.6587668382484878E-13</v>
      </c>
      <c r="AC175" s="22">
        <f t="shared" si="163"/>
        <v>29.602434858738782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5.1159076974727213E-13</v>
      </c>
      <c r="AJ175" s="13">
        <f>AI175*VLOOKUP('Données projet'!$B$10,Paramètres!$A$1:$I$89,3,0)*VLOOKUP('Données projet'!$B$10,Paramètres!$A$1:$I$89,5,0)</f>
        <v>2.3942448024172334E-13</v>
      </c>
      <c r="AK175" s="13">
        <f t="shared" si="164"/>
        <v>3.2492669905861755E-12</v>
      </c>
      <c r="AL175" s="20">
        <f t="shared" si="165"/>
        <v>6.0761376450252565E-12</v>
      </c>
      <c r="AM175" s="59">
        <f t="shared" si="113"/>
        <v>293.3333333333394</v>
      </c>
      <c r="AN175" s="59">
        <f ca="1">AVERAGE(OFFSET($AM$3,0,0,'Données projet'!$E$10+1,1))-AVERAGE(OFFSET($H$3,0,0,'Données projet'!$E$10+1,1))</f>
        <v>246.72166704460847</v>
      </c>
      <c r="AO175" s="59">
        <f t="shared" si="144"/>
        <v>145.54897745089966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38.39943797548235</v>
      </c>
      <c r="AV175" s="21">
        <f>EXP(-LN(2)/25)*AV174+(1-EXP(-LN(2)/25))/(LN(2)/25)*Calculateur!AQ175*Calculateur!AS175*VLOOKUP('Données projet'!$B$10,Paramètres!$A$1:$I$89,3,0)*0.475*44/12</f>
        <v>5.7964260100632261</v>
      </c>
      <c r="AW175" s="21">
        <f>EXP(-LN(2)/2)*AW174+(1-EXP(-LN(2)/2))/(LN(2)/2)*AQ175*AT175*VLOOKUP('Données projet'!$B$10,Paramètres!$A$1:$I$89,3,0)*0.475*44/12</f>
        <v>6.0417142917355661E-9</v>
      </c>
      <c r="AX175" s="21">
        <f t="shared" si="166"/>
        <v>44.195863991587295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88.478637356802039</v>
      </c>
      <c r="BJ175" s="59">
        <f t="shared" si="146"/>
        <v>239.55411297259155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2.2242482815756413</v>
      </c>
      <c r="BQ175" s="21">
        <f>EXP(-LN(2)/25)*BQ174+(1-EXP(-LN(2)/25))/(LN(2)/25)*Calculateur!BL175*Calculateur!BN175*VLOOKUP('Données projet'!$B$11,Paramètres!$A$1:$I$89,3,0)*0.475*44/12</f>
        <v>0.14240689517967264</v>
      </c>
      <c r="BR175" s="21">
        <f>EXP(-LN(2)/2)*BR174+(1-EXP(-LN(2)/2))/(LN(2)/2)*BL175*BO175*VLOOKUP('Données projet'!$B$11,Paramètres!$A$1:$I$89,3,0)*0.475*44/12</f>
        <v>1.8208870680406049E-22</v>
      </c>
      <c r="BS175" s="22">
        <f t="shared" si="169"/>
        <v>2.3666551767553141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6.4051282051282046</v>
      </c>
      <c r="BY175" s="12">
        <f>IF('Données projet'!$A$114&gt;35,BY174+BX175-CG174,IF(A175&lt;'Données projet'!$A$114,$BV$205^A175,IF(A175='Données projet'!$A$114,'Données projet'!$B$114,BY174+BX175-CG174)))</f>
        <v>377.21666666666721</v>
      </c>
      <c r="BZ175" s="13">
        <f>BY175*VLOOKUP('Données projet'!$B$12,Paramètres!$A$1:$I$89,3,0)*VLOOKUP('Données projet'!$B$12,Paramètres!$A$1:$I$89,5,0)</f>
        <v>341.30564000000049</v>
      </c>
      <c r="CA175" s="13">
        <f t="shared" si="170"/>
        <v>79.769639709721332</v>
      </c>
      <c r="CB175" s="20">
        <f t="shared" si="171"/>
        <v>733.3727788277655</v>
      </c>
      <c r="CC175" s="59">
        <f t="shared" si="119"/>
        <v>1026.7061121610989</v>
      </c>
      <c r="CD175" s="59">
        <f ca="1">AVERAGE(OFFSET($CC$3,0,0,'Données projet'!$E$12+1,1))-AVERAGE(OFFSET($H$3,0,0,'Données projet'!$E$12+1,1))</f>
        <v>437.94387006020412</v>
      </c>
      <c r="CE175" s="59">
        <f t="shared" si="148"/>
        <v>213.95083535531376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63.070872611900377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63.070872611900377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5.4001247917767614E-13</v>
      </c>
      <c r="CU175" s="17">
        <f>CT175*VLOOKUP('Données projet'!$B$13,Paramètres!$A$1:$I$89,3,0)*VLOOKUP('Données projet'!$B$13,Paramètres!$A$1:$I$89,5,0)</f>
        <v>2.5974600248446226E-13</v>
      </c>
      <c r="CV175" s="13">
        <f t="shared" si="173"/>
        <v>3.4917846266292826E-12</v>
      </c>
      <c r="CW175" s="20">
        <f t="shared" si="174"/>
        <v>6.5339158457064384E-12</v>
      </c>
      <c r="CX175" s="59">
        <f t="shared" si="122"/>
        <v>293.33333333333985</v>
      </c>
      <c r="CY175" s="59">
        <f ca="1">AVERAGE(OFFSET($CX$3,0,0,'Données projet'!$E$13+1,1))-AVERAGE(OFFSET($H$3,0,0,'Données projet'!$E$13+1,1))</f>
        <v>258.42493116335032</v>
      </c>
      <c r="CZ175" s="59">
        <f t="shared" si="150"/>
        <v>102.46122697336466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47.671492912118765</v>
      </c>
      <c r="DG175" s="21">
        <f>EXP(-LN(2)/25)*DG174+(1-EXP(-LN(2)/25))/(LN(2)/25)*Calculateur!DB175*Calculateur!DD175*VLOOKUP('Données projet'!$B$13,Paramètres!$A$1:$I$89,3,0)*0.475*44/12</f>
        <v>7.2625755019922549</v>
      </c>
      <c r="DH175" s="21">
        <f>EXP(-LN(2)/2)*DH174+(1-EXP(-LN(2)/2))/(LN(2)/2)*DB175*DE175*VLOOKUP('Données projet'!$B$13,Paramètres!$A$1:$I$89,3,0)*0.475*44/12</f>
        <v>1.8515995782062839E-7</v>
      </c>
      <c r="DI175" s="22">
        <f t="shared" si="175"/>
        <v>54.934068599270972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243</v>
      </c>
      <c r="DP175" s="17">
        <f>DO175*VLOOKUP('Données projet'!$B$14,Paramètres!$A$1:$I$89,3,0)*VLOOKUP('Données projet'!$B$14,Paramètres!$A$1:$I$89,5,0)</f>
        <v>212.28480000000002</v>
      </c>
      <c r="DQ175" s="13">
        <f t="shared" si="176"/>
        <v>52.434557099704193</v>
      </c>
      <c r="DR175" s="20">
        <f t="shared" si="177"/>
        <v>461.05288028198476</v>
      </c>
      <c r="DS175" s="59">
        <f t="shared" si="125"/>
        <v>754.38621361531807</v>
      </c>
      <c r="DT175" s="59">
        <f ca="1">AVERAGE(OFFSET($DS$3,0,0,'Données projet'!$E$14+1,1))-AVERAGE(OFFSET($H$3,0,0,'Données projet'!$E$14+1,1))</f>
        <v>354.24684313982857</v>
      </c>
      <c r="DU175" s="59">
        <f t="shared" si="152"/>
        <v>322.65043486962185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6.548529550735001</v>
      </c>
      <c r="EB175" s="21">
        <f>EXP(-LN(2)/25)*EB174+(1-EXP(-LN(2)/25))/(LN(2)/25)*Calculateur!DW175*Calculateur!DY175*VLOOKUP('Données projet'!$B$14,Paramètres!$A$1:$I$89,3,0)*0.475*44/12</f>
        <v>2.0227575314661301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8.5712870822011311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-6.7984728957526396E-14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355.09162485318728</v>
      </c>
      <c r="T176" s="59">
        <f t="shared" si="142"/>
        <v>320.06572891923685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26.118873406178068</v>
      </c>
      <c r="AA176" s="21">
        <f>EXP(-LN(2)/25)*AA175+(1-EXP(-LN(2)/25))/(LN(2)/25)*Calculateur!V176*Calculateur!X176*VLOOKUP('Données projet'!$B$9,Paramètres!$A$1:$I$89,3,0)*0.475*44/12</f>
        <v>2.8801693658760743</v>
      </c>
      <c r="AB176" s="21">
        <f>EXP(-LN(2)/2)*AB175+(1-EXP(-LN(2)/2))/(LN(2)/2)*V176*Y176*VLOOKUP('Données projet'!$B$9,Paramètres!$A$1:$I$89,3,0)*0.475*44/12</f>
        <v>1.1729252797328748E-13</v>
      </c>
      <c r="AC176" s="22">
        <f t="shared" si="163"/>
        <v>28.99904277205426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5.1159076974727213E-13</v>
      </c>
      <c r="AJ176" s="13">
        <f>AI176*VLOOKUP('Données projet'!$B$10,Paramètres!$A$1:$I$89,3,0)*VLOOKUP('Données projet'!$B$10,Paramètres!$A$1:$I$89,5,0)</f>
        <v>2.3942448024172334E-13</v>
      </c>
      <c r="AK176" s="13">
        <f t="shared" si="164"/>
        <v>3.2492669905861755E-12</v>
      </c>
      <c r="AL176" s="20">
        <f t="shared" si="165"/>
        <v>6.0761376450252565E-12</v>
      </c>
      <c r="AM176" s="59">
        <f t="shared" si="113"/>
        <v>293.3333333333394</v>
      </c>
      <c r="AN176" s="59">
        <f ca="1">AVERAGE(OFFSET($AM$3,0,0,'Données projet'!$E$10+1,1))-AVERAGE(OFFSET($H$3,0,0,'Données projet'!$E$10+1,1))</f>
        <v>246.72166704460847</v>
      </c>
      <c r="AO176" s="59">
        <f t="shared" si="144"/>
        <v>145.54897745089966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37.64644841812764</v>
      </c>
      <c r="AV176" s="21">
        <f>EXP(-LN(2)/25)*AV175+(1-EXP(-LN(2)/25))/(LN(2)/25)*Calculateur!AQ176*Calculateur!AS176*VLOOKUP('Données projet'!$B$10,Paramètres!$A$1:$I$89,3,0)*0.475*44/12</f>
        <v>5.6379224359972513</v>
      </c>
      <c r="AW176" s="21">
        <f>EXP(-LN(2)/2)*AW175+(1-EXP(-LN(2)/2))/(LN(2)/2)*AQ176*AT176*VLOOKUP('Données projet'!$B$10,Paramètres!$A$1:$I$89,3,0)*0.475*44/12</f>
        <v>4.2721371456778978E-9</v>
      </c>
      <c r="AX176" s="21">
        <f t="shared" si="166"/>
        <v>43.284370858397033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88.478637356802039</v>
      </c>
      <c r="BJ176" s="59">
        <f t="shared" si="146"/>
        <v>239.55411297259155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2.1806321294314359</v>
      </c>
      <c r="BQ176" s="21">
        <f>EXP(-LN(2)/25)*BQ175+(1-EXP(-LN(2)/25))/(LN(2)/25)*Calculateur!BL176*Calculateur!BN176*VLOOKUP('Données projet'!$B$11,Paramètres!$A$1:$I$89,3,0)*0.475*44/12</f>
        <v>0.13851277114213134</v>
      </c>
      <c r="BR176" s="21">
        <f>EXP(-LN(2)/2)*BR175+(1-EXP(-LN(2)/2))/(LN(2)/2)*BL176*BO176*VLOOKUP('Données projet'!$B$11,Paramètres!$A$1:$I$89,3,0)*0.475*44/12</f>
        <v>1.2875615935864021E-22</v>
      </c>
      <c r="BS176" s="22">
        <f t="shared" si="169"/>
        <v>2.3191449005735674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6.4051282051282046</v>
      </c>
      <c r="BY176" s="12">
        <f>IF('Données projet'!$A$114&gt;35,BY175+BX176-CG175,IF(A176&lt;'Données projet'!$A$114,$BV$205^A176,IF(A176='Données projet'!$A$114,'Données projet'!$B$114,BY175+BX176-CG175)))</f>
        <v>383.62179487179543</v>
      </c>
      <c r="BZ176" s="13">
        <f>BY176*VLOOKUP('Données projet'!$B$12,Paramètres!$A$1:$I$89,3,0)*VLOOKUP('Données projet'!$B$12,Paramètres!$A$1:$I$89,5,0)</f>
        <v>347.10100000000051</v>
      </c>
      <c r="CA176" s="13">
        <f t="shared" si="170"/>
        <v>80.96528838010498</v>
      </c>
      <c r="CB176" s="20">
        <f t="shared" si="171"/>
        <v>745.5487855953503</v>
      </c>
      <c r="CC176" s="59">
        <f t="shared" si="119"/>
        <v>1038.8821189286837</v>
      </c>
      <c r="CD176" s="59">
        <f ca="1">AVERAGE(OFFSET($CC$3,0,0,'Données projet'!$E$12+1,1))-AVERAGE(OFFSET($H$3,0,0,'Données projet'!$E$12+1,1))</f>
        <v>437.94387006020412</v>
      </c>
      <c r="CE176" s="59">
        <f t="shared" si="148"/>
        <v>213.95083535531376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61.834091269414763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61.834091269414763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5.4001247917767614E-13</v>
      </c>
      <c r="CU176" s="17">
        <f>CT176*VLOOKUP('Données projet'!$B$13,Paramètres!$A$1:$I$89,3,0)*VLOOKUP('Données projet'!$B$13,Paramètres!$A$1:$I$89,5,0)</f>
        <v>2.5974600248446226E-13</v>
      </c>
      <c r="CV176" s="13">
        <f t="shared" si="173"/>
        <v>3.4917846266292826E-12</v>
      </c>
      <c r="CW176" s="20">
        <f t="shared" si="174"/>
        <v>6.5339158457064384E-12</v>
      </c>
      <c r="CX176" s="59">
        <f t="shared" si="122"/>
        <v>293.33333333333985</v>
      </c>
      <c r="CY176" s="59">
        <f ca="1">AVERAGE(OFFSET($CX$3,0,0,'Données projet'!$E$13+1,1))-AVERAGE(OFFSET($H$3,0,0,'Données projet'!$E$13+1,1))</f>
        <v>258.42493116335032</v>
      </c>
      <c r="CZ176" s="59">
        <f t="shared" si="150"/>
        <v>102.46122697336466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46.736684012851704</v>
      </c>
      <c r="DG176" s="21">
        <f>EXP(-LN(2)/25)*DG175+(1-EXP(-LN(2)/25))/(LN(2)/25)*Calculateur!DB176*Calculateur!DD176*VLOOKUP('Données projet'!$B$13,Paramètres!$A$1:$I$89,3,0)*0.475*44/12</f>
        <v>7.0639799929680303</v>
      </c>
      <c r="DH176" s="21">
        <f>EXP(-LN(2)/2)*DH175+(1-EXP(-LN(2)/2))/(LN(2)/2)*DB176*DE176*VLOOKUP('Données projet'!$B$13,Paramètres!$A$1:$I$89,3,0)*0.475*44/12</f>
        <v>1.3092786177918144E-7</v>
      </c>
      <c r="DI176" s="22">
        <f t="shared" si="175"/>
        <v>53.800664136747592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243</v>
      </c>
      <c r="DP176" s="17">
        <f>DO176*VLOOKUP('Données projet'!$B$14,Paramètres!$A$1:$I$89,3,0)*VLOOKUP('Données projet'!$B$14,Paramètres!$A$1:$I$89,5,0)</f>
        <v>212.28480000000002</v>
      </c>
      <c r="DQ176" s="13">
        <f t="shared" si="176"/>
        <v>52.434557099704193</v>
      </c>
      <c r="DR176" s="20">
        <f t="shared" si="177"/>
        <v>461.05288028198476</v>
      </c>
      <c r="DS176" s="59">
        <f t="shared" si="125"/>
        <v>754.38621361531807</v>
      </c>
      <c r="DT176" s="59">
        <f ca="1">AVERAGE(OFFSET($DS$3,0,0,'Données projet'!$E$14+1,1))-AVERAGE(OFFSET($H$3,0,0,'Données projet'!$E$14+1,1))</f>
        <v>354.24684313982857</v>
      </c>
      <c r="DU176" s="59">
        <f t="shared" si="152"/>
        <v>322.65043486962185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6.4201168804537181</v>
      </c>
      <c r="EB176" s="21">
        <f>EXP(-LN(2)/25)*EB175+(1-EXP(-LN(2)/25))/(LN(2)/25)*Calculateur!DW176*Calculateur!DY176*VLOOKUP('Données projet'!$B$14,Paramètres!$A$1:$I$89,3,0)*0.475*44/12</f>
        <v>1.9674451203959933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8.3875620008497123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-6.7984728957526396E-14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355.09162485318728</v>
      </c>
      <c r="T177" s="59">
        <f t="shared" si="142"/>
        <v>320.06572891923685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25.606698229622644</v>
      </c>
      <c r="AA177" s="21">
        <f>EXP(-LN(2)/25)*AA176+(1-EXP(-LN(2)/25))/(LN(2)/25)*Calculateur!V177*Calculateur!X177*VLOOKUP('Données projet'!$B$9,Paramètres!$A$1:$I$89,3,0)*0.475*44/12</f>
        <v>2.801410983104669</v>
      </c>
      <c r="AB177" s="21">
        <f>EXP(-LN(2)/2)*AB176+(1-EXP(-LN(2)/2))/(LN(2)/2)*V177*Y177*VLOOKUP('Données projet'!$B$9,Paramètres!$A$1:$I$89,3,0)*0.475*44/12</f>
        <v>8.2938341912424392E-14</v>
      </c>
      <c r="AC177" s="22">
        <f t="shared" si="163"/>
        <v>28.408109212727396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5.1159076974727213E-13</v>
      </c>
      <c r="AJ177" s="13">
        <f>AI177*VLOOKUP('Données projet'!$B$10,Paramètres!$A$1:$I$89,3,0)*VLOOKUP('Données projet'!$B$10,Paramètres!$A$1:$I$89,5,0)</f>
        <v>2.3942448024172334E-13</v>
      </c>
      <c r="AK177" s="13">
        <f t="shared" si="164"/>
        <v>3.2492669905861755E-12</v>
      </c>
      <c r="AL177" s="20">
        <f t="shared" si="165"/>
        <v>6.0761376450252565E-12</v>
      </c>
      <c r="AM177" s="59">
        <f t="shared" si="113"/>
        <v>293.3333333333394</v>
      </c>
      <c r="AN177" s="59">
        <f ca="1">AVERAGE(OFFSET($AM$3,0,0,'Données projet'!$E$10+1,1))-AVERAGE(OFFSET($H$3,0,0,'Données projet'!$E$10+1,1))</f>
        <v>246.72166704460847</v>
      </c>
      <c r="AO177" s="59">
        <f t="shared" si="144"/>
        <v>145.54897745089966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36.908224526714378</v>
      </c>
      <c r="AV177" s="21">
        <f>EXP(-LN(2)/25)*AV176+(1-EXP(-LN(2)/25))/(LN(2)/25)*Calculateur!AQ177*Calculateur!AS177*VLOOKUP('Données projet'!$B$10,Paramètres!$A$1:$I$89,3,0)*0.475*44/12</f>
        <v>5.4837531504994512</v>
      </c>
      <c r="AW177" s="21">
        <f>EXP(-LN(2)/2)*AW176+(1-EXP(-LN(2)/2))/(LN(2)/2)*AQ177*AT177*VLOOKUP('Données projet'!$B$10,Paramètres!$A$1:$I$89,3,0)*0.475*44/12</f>
        <v>3.020857145867783E-9</v>
      </c>
      <c r="AX177" s="21">
        <f t="shared" si="166"/>
        <v>42.391977680234689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88.478637356802039</v>
      </c>
      <c r="BJ177" s="59">
        <f t="shared" si="146"/>
        <v>239.55411297259155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2.1378712634275523</v>
      </c>
      <c r="BQ177" s="21">
        <f>EXP(-LN(2)/25)*BQ176+(1-EXP(-LN(2)/25))/(LN(2)/25)*Calculateur!BL177*Calculateur!BN177*VLOOKUP('Données projet'!$B$11,Paramètres!$A$1:$I$89,3,0)*0.475*44/12</f>
        <v>0.1347251321311797</v>
      </c>
      <c r="BR177" s="21">
        <f>EXP(-LN(2)/2)*BR176+(1-EXP(-LN(2)/2))/(LN(2)/2)*BL177*BO177*VLOOKUP('Données projet'!$B$11,Paramètres!$A$1:$I$89,3,0)*0.475*44/12</f>
        <v>9.1044353402030245E-23</v>
      </c>
      <c r="BS177" s="22">
        <f t="shared" si="169"/>
        <v>2.2725963955587321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6.4051282051282046</v>
      </c>
      <c r="BY177" s="12">
        <f>IF('Données projet'!$A$114&gt;35,BY176+BX177-CG176,IF(A177&lt;'Données projet'!$A$114,$BV$205^A177,IF(A177='Données projet'!$A$114,'Données projet'!$B$114,BY176+BX177-CG176)))</f>
        <v>390.02692307692365</v>
      </c>
      <c r="BZ177" s="13">
        <f>BY177*VLOOKUP('Données projet'!$B$12,Paramètres!$A$1:$I$89,3,0)*VLOOKUP('Données projet'!$B$12,Paramètres!$A$1:$I$89,5,0)</f>
        <v>352.89636000000047</v>
      </c>
      <c r="CA177" s="13">
        <f t="shared" si="170"/>
        <v>82.158615487331801</v>
      </c>
      <c r="CB177" s="20">
        <f t="shared" si="171"/>
        <v>757.72074897377036</v>
      </c>
      <c r="CC177" s="59">
        <f t="shared" si="119"/>
        <v>1051.0540823071037</v>
      </c>
      <c r="CD177" s="59">
        <f ca="1">AVERAGE(OFFSET($CC$3,0,0,'Données projet'!$E$12+1,1))-AVERAGE(OFFSET($H$3,0,0,'Données projet'!$E$12+1,1))</f>
        <v>437.94387006020412</v>
      </c>
      <c r="CE177" s="59">
        <f t="shared" si="148"/>
        <v>213.95083535531376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60.621562454693162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60.621562454693162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5.4001247917767614E-13</v>
      </c>
      <c r="CU177" s="17">
        <f>CT177*VLOOKUP('Données projet'!$B$13,Paramètres!$A$1:$I$89,3,0)*VLOOKUP('Données projet'!$B$13,Paramètres!$A$1:$I$89,5,0)</f>
        <v>2.5974600248446226E-13</v>
      </c>
      <c r="CV177" s="13">
        <f t="shared" si="173"/>
        <v>3.4917846266292826E-12</v>
      </c>
      <c r="CW177" s="20">
        <f t="shared" si="174"/>
        <v>6.5339158457064384E-12</v>
      </c>
      <c r="CX177" s="59">
        <f t="shared" si="122"/>
        <v>293.33333333333985</v>
      </c>
      <c r="CY177" s="59">
        <f ca="1">AVERAGE(OFFSET($CX$3,0,0,'Données projet'!$E$13+1,1))-AVERAGE(OFFSET($H$3,0,0,'Données projet'!$E$13+1,1))</f>
        <v>258.42493116335032</v>
      </c>
      <c r="CZ177" s="59">
        <f t="shared" si="150"/>
        <v>102.46122697336466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45.820206145922143</v>
      </c>
      <c r="DG177" s="21">
        <f>EXP(-LN(2)/25)*DG176+(1-EXP(-LN(2)/25))/(LN(2)/25)*Calculateur!DB177*Calculateur!DD177*VLOOKUP('Données projet'!$B$13,Paramètres!$A$1:$I$89,3,0)*0.475*44/12</f>
        <v>6.8708150885817565</v>
      </c>
      <c r="DH177" s="21">
        <f>EXP(-LN(2)/2)*DH176+(1-EXP(-LN(2)/2))/(LN(2)/2)*DB177*DE177*VLOOKUP('Données projet'!$B$13,Paramètres!$A$1:$I$89,3,0)*0.475*44/12</f>
        <v>9.2579978910314195E-8</v>
      </c>
      <c r="DI177" s="22">
        <f t="shared" si="175"/>
        <v>52.691021327083881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243</v>
      </c>
      <c r="DP177" s="17">
        <f>DO177*VLOOKUP('Données projet'!$B$14,Paramètres!$A$1:$I$89,3,0)*VLOOKUP('Données projet'!$B$14,Paramètres!$A$1:$I$89,5,0)</f>
        <v>212.28480000000002</v>
      </c>
      <c r="DQ177" s="13">
        <f t="shared" si="176"/>
        <v>52.434557099704193</v>
      </c>
      <c r="DR177" s="20">
        <f t="shared" si="177"/>
        <v>461.05288028198476</v>
      </c>
      <c r="DS177" s="59">
        <f t="shared" si="125"/>
        <v>754.38621361531807</v>
      </c>
      <c r="DT177" s="59">
        <f ca="1">AVERAGE(OFFSET($DS$3,0,0,'Données projet'!$E$14+1,1))-AVERAGE(OFFSET($H$3,0,0,'Données projet'!$E$14+1,1))</f>
        <v>354.24684313982857</v>
      </c>
      <c r="DU177" s="59">
        <f t="shared" si="152"/>
        <v>322.65043486962185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6.2942223043126564</v>
      </c>
      <c r="EB177" s="21">
        <f>EXP(-LN(2)/25)*EB176+(1-EXP(-LN(2)/25))/(LN(2)/25)*Calculateur!DW177*Calculateur!DY177*VLOOKUP('Données projet'!$B$14,Paramètres!$A$1:$I$89,3,0)*0.475*44/12</f>
        <v>1.9136452301153226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8.2078675344279795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-6.7984728957526396E-14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355.09162485318728</v>
      </c>
      <c r="T178" s="59">
        <f t="shared" si="142"/>
        <v>320.06572891923685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25.104566495883461</v>
      </c>
      <c r="AA178" s="21">
        <f>EXP(-LN(2)/25)*AA177+(1-EXP(-LN(2)/25))/(LN(2)/25)*Calculateur!V178*Calculateur!X178*VLOOKUP('Données projet'!$B$9,Paramètres!$A$1:$I$89,3,0)*0.475*44/12</f>
        <v>2.724806252451871</v>
      </c>
      <c r="AB178" s="21">
        <f>EXP(-LN(2)/2)*AB177+(1-EXP(-LN(2)/2))/(LN(2)/2)*V178*Y178*VLOOKUP('Données projet'!$B$9,Paramètres!$A$1:$I$89,3,0)*0.475*44/12</f>
        <v>5.8646263986643738E-14</v>
      </c>
      <c r="AC178" s="22">
        <f t="shared" si="163"/>
        <v>27.829372748335391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5.1159076974727213E-13</v>
      </c>
      <c r="AJ178" s="13">
        <f>AI178*VLOOKUP('Données projet'!$B$10,Paramètres!$A$1:$I$89,3,0)*VLOOKUP('Données projet'!$B$10,Paramètres!$A$1:$I$89,5,0)</f>
        <v>2.3942448024172334E-13</v>
      </c>
      <c r="AK178" s="13">
        <f t="shared" si="164"/>
        <v>3.2492669905861755E-12</v>
      </c>
      <c r="AL178" s="20">
        <f t="shared" si="165"/>
        <v>6.0761376450252565E-12</v>
      </c>
      <c r="AM178" s="59">
        <f t="shared" si="113"/>
        <v>293.3333333333394</v>
      </c>
      <c r="AN178" s="59">
        <f ca="1">AVERAGE(OFFSET($AM$3,0,0,'Données projet'!$E$10+1,1))-AVERAGE(OFFSET($H$3,0,0,'Données projet'!$E$10+1,1))</f>
        <v>246.72166704460847</v>
      </c>
      <c r="AO178" s="59">
        <f t="shared" si="144"/>
        <v>145.54897745089966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36.184476755539613</v>
      </c>
      <c r="AV178" s="21">
        <f>EXP(-LN(2)/25)*AV177+(1-EXP(-LN(2)/25))/(LN(2)/25)*Calculateur!AQ178*Calculateur!AS178*VLOOKUP('Données projet'!$B$10,Paramètres!$A$1:$I$89,3,0)*0.475*44/12</f>
        <v>5.3337996322209991</v>
      </c>
      <c r="AW178" s="21">
        <f>EXP(-LN(2)/2)*AW177+(1-EXP(-LN(2)/2))/(LN(2)/2)*AQ178*AT178*VLOOKUP('Données projet'!$B$10,Paramètres!$A$1:$I$89,3,0)*0.475*44/12</f>
        <v>2.1360685728389489E-9</v>
      </c>
      <c r="AX178" s="21">
        <f t="shared" si="166"/>
        <v>41.518276389896684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88.478637356802039</v>
      </c>
      <c r="BJ178" s="59">
        <f t="shared" si="146"/>
        <v>239.55411297259155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2.0959489119244519</v>
      </c>
      <c r="BQ178" s="21">
        <f>EXP(-LN(2)/25)*BQ177+(1-EXP(-LN(2)/25))/(LN(2)/25)*Calculateur!BL178*Calculateur!BN178*VLOOKUP('Données projet'!$B$11,Paramètres!$A$1:$I$89,3,0)*0.475*44/12</f>
        <v>0.13104106630816581</v>
      </c>
      <c r="BR178" s="21">
        <f>EXP(-LN(2)/2)*BR177+(1-EXP(-LN(2)/2))/(LN(2)/2)*BL178*BO178*VLOOKUP('Données projet'!$B$11,Paramètres!$A$1:$I$89,3,0)*0.475*44/12</f>
        <v>6.4378079679320104E-23</v>
      </c>
      <c r="BS178" s="22">
        <f t="shared" si="169"/>
        <v>2.2269899782326177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6.4051282051282046</v>
      </c>
      <c r="BY178" s="12">
        <f>IF('Données projet'!$A$114&gt;35,BY177+BX178-CG177,IF(A178&lt;'Données projet'!$A$114,$BV$205^A178,IF(A178='Données projet'!$A$114,'Données projet'!$B$114,BY177+BX178-CG177)))</f>
        <v>396.43205128205187</v>
      </c>
      <c r="BZ178" s="13">
        <f>BY178*VLOOKUP('Données projet'!$B$12,Paramètres!$A$1:$I$89,3,0)*VLOOKUP('Données projet'!$B$12,Paramètres!$A$1:$I$89,5,0)</f>
        <v>358.69172000000054</v>
      </c>
      <c r="CA178" s="13">
        <f t="shared" si="170"/>
        <v>83.349663557729755</v>
      </c>
      <c r="CB178" s="20">
        <f t="shared" si="171"/>
        <v>769.88874302971362</v>
      </c>
      <c r="CC178" s="59">
        <f t="shared" si="119"/>
        <v>1063.2220763630469</v>
      </c>
      <c r="CD178" s="59">
        <f ca="1">AVERAGE(OFFSET($CC$3,0,0,'Données projet'!$E$12+1,1))-AVERAGE(OFFSET($H$3,0,0,'Données projet'!$E$12+1,1))</f>
        <v>437.94387006020412</v>
      </c>
      <c r="CE178" s="59">
        <f t="shared" si="148"/>
        <v>213.95083535531376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59.432810590458701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59.432810590458701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5.4001247917767614E-13</v>
      </c>
      <c r="CU178" s="17">
        <f>CT178*VLOOKUP('Données projet'!$B$13,Paramètres!$A$1:$I$89,3,0)*VLOOKUP('Données projet'!$B$13,Paramètres!$A$1:$I$89,5,0)</f>
        <v>2.5974600248446226E-13</v>
      </c>
      <c r="CV178" s="13">
        <f t="shared" si="173"/>
        <v>3.4917846266292826E-12</v>
      </c>
      <c r="CW178" s="20">
        <f t="shared" si="174"/>
        <v>6.5339158457064384E-12</v>
      </c>
      <c r="CX178" s="59">
        <f t="shared" si="122"/>
        <v>293.33333333333985</v>
      </c>
      <c r="CY178" s="59">
        <f ca="1">AVERAGE(OFFSET($CX$3,0,0,'Données projet'!$E$13+1,1))-AVERAGE(OFFSET($H$3,0,0,'Données projet'!$E$13+1,1))</f>
        <v>258.42493116335032</v>
      </c>
      <c r="CZ178" s="59">
        <f t="shared" si="150"/>
        <v>102.46122697336466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44.921699850966768</v>
      </c>
      <c r="DG178" s="21">
        <f>EXP(-LN(2)/25)*DG177+(1-EXP(-LN(2)/25))/(LN(2)/25)*Calculateur!DB178*Calculateur!DD178*VLOOKUP('Données projet'!$B$13,Paramètres!$A$1:$I$89,3,0)*0.475*44/12</f>
        <v>6.6829322886640261</v>
      </c>
      <c r="DH178" s="21">
        <f>EXP(-LN(2)/2)*DH177+(1-EXP(-LN(2)/2))/(LN(2)/2)*DB178*DE178*VLOOKUP('Données projet'!$B$13,Paramètres!$A$1:$I$89,3,0)*0.475*44/12</f>
        <v>6.5463930889590722E-8</v>
      </c>
      <c r="DI178" s="22">
        <f t="shared" si="175"/>
        <v>51.604632205094724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243</v>
      </c>
      <c r="DP178" s="17">
        <f>DO178*VLOOKUP('Données projet'!$B$14,Paramètres!$A$1:$I$89,3,0)*VLOOKUP('Données projet'!$B$14,Paramètres!$A$1:$I$89,5,0)</f>
        <v>212.28480000000002</v>
      </c>
      <c r="DQ178" s="13">
        <f t="shared" si="176"/>
        <v>52.434557099704193</v>
      </c>
      <c r="DR178" s="20">
        <f t="shared" si="177"/>
        <v>461.05288028198476</v>
      </c>
      <c r="DS178" s="59">
        <f t="shared" si="125"/>
        <v>754.38621361531807</v>
      </c>
      <c r="DT178" s="59">
        <f ca="1">AVERAGE(OFFSET($DS$3,0,0,'Données projet'!$E$14+1,1))-AVERAGE(OFFSET($H$3,0,0,'Données projet'!$E$14+1,1))</f>
        <v>354.24684313982857</v>
      </c>
      <c r="DU178" s="59">
        <f t="shared" si="152"/>
        <v>322.65043486962185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6.1707964440216116</v>
      </c>
      <c r="EB178" s="21">
        <f>EXP(-LN(2)/25)*EB177+(1-EXP(-LN(2)/25))/(LN(2)/25)*Calculateur!DW178*Calculateur!DY178*VLOOKUP('Données projet'!$B$14,Paramètres!$A$1:$I$89,3,0)*0.475*44/12</f>
        <v>1.8613165006635901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8.0321129446852026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-6.7984728957526396E-14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355.09162485318728</v>
      </c>
      <c r="T179" s="59">
        <f t="shared" si="142"/>
        <v>320.06572891923685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24.612281259172786</v>
      </c>
      <c r="AA179" s="21">
        <f>EXP(-LN(2)/25)*AA178+(1-EXP(-LN(2)/25))/(LN(2)/25)*Calculateur!V179*Calculateur!X179*VLOOKUP('Données projet'!$B$9,Paramètres!$A$1:$I$89,3,0)*0.475*44/12</f>
        <v>2.6502962821872416</v>
      </c>
      <c r="AB179" s="21">
        <f>EXP(-LN(2)/2)*AB178+(1-EXP(-LN(2)/2))/(LN(2)/2)*V179*Y179*VLOOKUP('Données projet'!$B$9,Paramètres!$A$1:$I$89,3,0)*0.475*44/12</f>
        <v>4.1469170956212196E-14</v>
      </c>
      <c r="AC179" s="22">
        <f t="shared" si="163"/>
        <v>27.26257754136007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5.1159076974727213E-13</v>
      </c>
      <c r="AJ179" s="13">
        <f>AI179*VLOOKUP('Données projet'!$B$10,Paramètres!$A$1:$I$89,3,0)*VLOOKUP('Données projet'!$B$10,Paramètres!$A$1:$I$89,5,0)</f>
        <v>2.3942448024172334E-13</v>
      </c>
      <c r="AK179" s="13">
        <f t="shared" si="164"/>
        <v>3.2492669905861755E-12</v>
      </c>
      <c r="AL179" s="20">
        <f t="shared" si="165"/>
        <v>6.0761376450252565E-12</v>
      </c>
      <c r="AM179" s="59">
        <f t="shared" si="113"/>
        <v>293.3333333333394</v>
      </c>
      <c r="AN179" s="59">
        <f ca="1">AVERAGE(OFFSET($AM$3,0,0,'Données projet'!$E$10+1,1))-AVERAGE(OFFSET($H$3,0,0,'Données projet'!$E$10+1,1))</f>
        <v>246.72166704460847</v>
      </c>
      <c r="AO179" s="59">
        <f t="shared" si="144"/>
        <v>145.54897745089966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35.474921236715034</v>
      </c>
      <c r="AV179" s="21">
        <f>EXP(-LN(2)/25)*AV178+(1-EXP(-LN(2)/25))/(LN(2)/25)*Calculateur!AQ179*Calculateur!AS179*VLOOKUP('Données projet'!$B$10,Paramètres!$A$1:$I$89,3,0)*0.475*44/12</f>
        <v>5.1879466007855841</v>
      </c>
      <c r="AW179" s="21">
        <f>EXP(-LN(2)/2)*AW178+(1-EXP(-LN(2)/2))/(LN(2)/2)*AQ179*AT179*VLOOKUP('Données projet'!$B$10,Paramètres!$A$1:$I$89,3,0)*0.475*44/12</f>
        <v>1.5104285729338915E-9</v>
      </c>
      <c r="AX179" s="21">
        <f t="shared" si="166"/>
        <v>40.662867839011049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88.478637356802039</v>
      </c>
      <c r="BJ179" s="59">
        <f t="shared" si="146"/>
        <v>239.55411297259155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2.0548486321642181</v>
      </c>
      <c r="BQ179" s="21">
        <f>EXP(-LN(2)/25)*BQ178+(1-EXP(-LN(2)/25))/(LN(2)/25)*Calculateur!BL179*Calculateur!BN179*VLOOKUP('Données projet'!$B$11,Paramètres!$A$1:$I$89,3,0)*0.475*44/12</f>
        <v>0.12745774145881883</v>
      </c>
      <c r="BR179" s="21">
        <f>EXP(-LN(2)/2)*BR178+(1-EXP(-LN(2)/2))/(LN(2)/2)*BL179*BO179*VLOOKUP('Données projet'!$B$11,Paramètres!$A$1:$I$89,3,0)*0.475*44/12</f>
        <v>4.5522176701015123E-23</v>
      </c>
      <c r="BS179" s="22">
        <f t="shared" si="169"/>
        <v>2.182306373623037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6.4051282051282046</v>
      </c>
      <c r="BY179" s="12">
        <f>IF('Données projet'!$A$114&gt;35,BY178+BX179-CG178,IF(A179&lt;'Données projet'!$A$114,$BV$205^A179,IF(A179='Données projet'!$A$114,'Données projet'!$B$114,BY178+BX179-CG178)))</f>
        <v>402.83717948718009</v>
      </c>
      <c r="BZ179" s="13">
        <f>BY179*VLOOKUP('Données projet'!$B$12,Paramètres!$A$1:$I$89,3,0)*VLOOKUP('Données projet'!$B$12,Paramètres!$A$1:$I$89,5,0)</f>
        <v>364.4870800000005</v>
      </c>
      <c r="CA179" s="13">
        <f t="shared" si="170"/>
        <v>84.53847366463603</v>
      </c>
      <c r="CB179" s="20">
        <f t="shared" si="171"/>
        <v>782.0528392992419</v>
      </c>
      <c r="CC179" s="59">
        <f t="shared" si="119"/>
        <v>1075.3861726325752</v>
      </c>
      <c r="CD179" s="59">
        <f ca="1">AVERAGE(OFFSET($CC$3,0,0,'Données projet'!$E$12+1,1))-AVERAGE(OFFSET($H$3,0,0,'Données projet'!$E$12+1,1))</f>
        <v>437.94387006020412</v>
      </c>
      <c r="CE179" s="59">
        <f t="shared" si="148"/>
        <v>213.95083535531376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58.267369425214831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58.267369425214831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5.4001247917767614E-13</v>
      </c>
      <c r="CU179" s="17">
        <f>CT179*VLOOKUP('Données projet'!$B$13,Paramètres!$A$1:$I$89,3,0)*VLOOKUP('Données projet'!$B$13,Paramètres!$A$1:$I$89,5,0)</f>
        <v>2.5974600248446226E-13</v>
      </c>
      <c r="CV179" s="13">
        <f t="shared" si="173"/>
        <v>3.4917846266292826E-12</v>
      </c>
      <c r="CW179" s="20">
        <f t="shared" si="174"/>
        <v>6.5339158457064384E-12</v>
      </c>
      <c r="CX179" s="59">
        <f t="shared" si="122"/>
        <v>293.33333333333985</v>
      </c>
      <c r="CY179" s="59">
        <f ca="1">AVERAGE(OFFSET($CX$3,0,0,'Données projet'!$E$13+1,1))-AVERAGE(OFFSET($H$3,0,0,'Données projet'!$E$13+1,1))</f>
        <v>258.42493116335032</v>
      </c>
      <c r="CZ179" s="59">
        <f t="shared" si="150"/>
        <v>102.46122697336466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44.040812716420739</v>
      </c>
      <c r="DG179" s="21">
        <f>EXP(-LN(2)/25)*DG178+(1-EXP(-LN(2)/25))/(LN(2)/25)*Calculateur!DB179*Calculateur!DD179*VLOOKUP('Données projet'!$B$13,Paramètres!$A$1:$I$89,3,0)*0.475*44/12</f>
        <v>6.5001871537903737</v>
      </c>
      <c r="DH179" s="21">
        <f>EXP(-LN(2)/2)*DH178+(1-EXP(-LN(2)/2))/(LN(2)/2)*DB179*DE179*VLOOKUP('Données projet'!$B$13,Paramètres!$A$1:$I$89,3,0)*0.475*44/12</f>
        <v>4.6289989455157098E-8</v>
      </c>
      <c r="DI179" s="22">
        <f t="shared" si="175"/>
        <v>50.5409999165011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243</v>
      </c>
      <c r="DP179" s="17">
        <f>DO179*VLOOKUP('Données projet'!$B$14,Paramètres!$A$1:$I$89,3,0)*VLOOKUP('Données projet'!$B$14,Paramètres!$A$1:$I$89,5,0)</f>
        <v>212.28480000000002</v>
      </c>
      <c r="DQ179" s="13">
        <f t="shared" si="176"/>
        <v>52.434557099704193</v>
      </c>
      <c r="DR179" s="20">
        <f t="shared" si="177"/>
        <v>461.05288028198476</v>
      </c>
      <c r="DS179" s="59">
        <f t="shared" si="125"/>
        <v>754.38621361531807</v>
      </c>
      <c r="DT179" s="59">
        <f ca="1">AVERAGE(OFFSET($DS$3,0,0,'Données projet'!$E$14+1,1))-AVERAGE(OFFSET($H$3,0,0,'Données projet'!$E$14+1,1))</f>
        <v>354.24684313982857</v>
      </c>
      <c r="DU179" s="59">
        <f t="shared" si="152"/>
        <v>322.65043486962185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6.0497908895685333</v>
      </c>
      <c r="EB179" s="21">
        <f>EXP(-LN(2)/25)*EB178+(1-EXP(-LN(2)/25))/(LN(2)/25)*Calculateur!DW179*Calculateur!DY179*VLOOKUP('Données projet'!$B$14,Paramètres!$A$1:$I$89,3,0)*0.475*44/12</f>
        <v>1.8104187030705636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7.8602095926390971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-6.7984728957526396E-14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355.09162485318728</v>
      </c>
      <c r="T180" s="59">
        <f t="shared" si="142"/>
        <v>320.06572891923685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24.129649435689664</v>
      </c>
      <c r="AA180" s="21">
        <f>EXP(-LN(2)/25)*AA179+(1-EXP(-LN(2)/25))/(LN(2)/25)*Calculateur!V180*Calculateur!X180*VLOOKUP('Données projet'!$B$9,Paramètres!$A$1:$I$89,3,0)*0.475*44/12</f>
        <v>2.5778237909778072</v>
      </c>
      <c r="AB180" s="21">
        <f>EXP(-LN(2)/2)*AB179+(1-EXP(-LN(2)/2))/(LN(2)/2)*V180*Y180*VLOOKUP('Données projet'!$B$9,Paramètres!$A$1:$I$89,3,0)*0.475*44/12</f>
        <v>2.9323131993321869E-14</v>
      </c>
      <c r="AC180" s="22">
        <f t="shared" si="163"/>
        <v>26.707473226667499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5.1159076974727213E-13</v>
      </c>
      <c r="AJ180" s="13">
        <f>AI180*VLOOKUP('Données projet'!$B$10,Paramètres!$A$1:$I$89,3,0)*VLOOKUP('Données projet'!$B$10,Paramètres!$A$1:$I$89,5,0)</f>
        <v>2.3942448024172334E-13</v>
      </c>
      <c r="AK180" s="13">
        <f t="shared" si="164"/>
        <v>3.2492669905861755E-12</v>
      </c>
      <c r="AL180" s="20">
        <f t="shared" si="165"/>
        <v>6.0761376450252565E-12</v>
      </c>
      <c r="AM180" s="59">
        <f t="shared" si="113"/>
        <v>293.3333333333394</v>
      </c>
      <c r="AN180" s="59">
        <f ca="1">AVERAGE(OFFSET($AM$3,0,0,'Données projet'!$E$10+1,1))-AVERAGE(OFFSET($H$3,0,0,'Données projet'!$E$10+1,1))</f>
        <v>246.72166704460847</v>
      </c>
      <c r="AO180" s="59">
        <f t="shared" si="144"/>
        <v>145.54897745089966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34.779279668828472</v>
      </c>
      <c r="AV180" s="21">
        <f>EXP(-LN(2)/25)*AV179+(1-EXP(-LN(2)/25))/(LN(2)/25)*Calculateur!AQ180*Calculateur!AS180*VLOOKUP('Données projet'!$B$10,Paramètres!$A$1:$I$89,3,0)*0.475*44/12</f>
        <v>5.0460819281648481</v>
      </c>
      <c r="AW180" s="21">
        <f>EXP(-LN(2)/2)*AW179+(1-EXP(-LN(2)/2))/(LN(2)/2)*AQ180*AT180*VLOOKUP('Données projet'!$B$10,Paramètres!$A$1:$I$89,3,0)*0.475*44/12</f>
        <v>1.0680342864194744E-9</v>
      </c>
      <c r="AX180" s="21">
        <f t="shared" si="166"/>
        <v>39.825361598061349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88.478637356802039</v>
      </c>
      <c r="BJ180" s="59">
        <f t="shared" si="146"/>
        <v>239.55411297259155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2.0145543038213871</v>
      </c>
      <c r="BQ180" s="21">
        <f>EXP(-LN(2)/25)*BQ179+(1-EXP(-LN(2)/25))/(LN(2)/25)*Calculateur!BL180*Calculateur!BN180*VLOOKUP('Données projet'!$B$11,Paramètres!$A$1:$I$89,3,0)*0.475*44/12</f>
        <v>0.12397240281591611</v>
      </c>
      <c r="BR180" s="21">
        <f>EXP(-LN(2)/2)*BR179+(1-EXP(-LN(2)/2))/(LN(2)/2)*BL180*BO180*VLOOKUP('Données projet'!$B$11,Paramètres!$A$1:$I$89,3,0)*0.475*44/12</f>
        <v>3.2189039839660052E-23</v>
      </c>
      <c r="BS180" s="22">
        <f t="shared" si="169"/>
        <v>2.138526706637303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6.4051282051282046</v>
      </c>
      <c r="BY180" s="12">
        <f>IF('Données projet'!$A$114&gt;35,BY179+BX180-CG179,IF(A180&lt;'Données projet'!$A$114,$BV$205^A180,IF(A180='Données projet'!$A$114,'Données projet'!$B$114,BY179+BX180-CG179)))</f>
        <v>409.24230769230832</v>
      </c>
      <c r="BZ180" s="13">
        <f>BY180*VLOOKUP('Données projet'!$B$12,Paramètres!$A$1:$I$89,3,0)*VLOOKUP('Données projet'!$B$12,Paramètres!$A$1:$I$89,5,0)</f>
        <v>370.28244000000052</v>
      </c>
      <c r="CA180" s="13">
        <f t="shared" si="170"/>
        <v>85.725085500339162</v>
      </c>
      <c r="CB180" s="20">
        <f t="shared" si="171"/>
        <v>794.21310691309156</v>
      </c>
      <c r="CC180" s="59">
        <f t="shared" si="119"/>
        <v>1087.5464402464249</v>
      </c>
      <c r="CD180" s="59">
        <f ca="1">AVERAGE(OFFSET($CC$3,0,0,'Données projet'!$E$12+1,1))-AVERAGE(OFFSET($H$3,0,0,'Données projet'!$E$12+1,1))</f>
        <v>437.94387006020412</v>
      </c>
      <c r="CE180" s="59">
        <f t="shared" si="148"/>
        <v>213.95083535531376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57.124781850372472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57.124781850372472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5.4001247917767614E-13</v>
      </c>
      <c r="CU180" s="17">
        <f>CT180*VLOOKUP('Données projet'!$B$13,Paramètres!$A$1:$I$89,3,0)*VLOOKUP('Données projet'!$B$13,Paramètres!$A$1:$I$89,5,0)</f>
        <v>2.5974600248446226E-13</v>
      </c>
      <c r="CV180" s="13">
        <f t="shared" si="173"/>
        <v>3.4917846266292826E-12</v>
      </c>
      <c r="CW180" s="20">
        <f t="shared" si="174"/>
        <v>6.5339158457064384E-12</v>
      </c>
      <c r="CX180" s="59">
        <f t="shared" si="122"/>
        <v>293.33333333333985</v>
      </c>
      <c r="CY180" s="59">
        <f ca="1">AVERAGE(OFFSET($CX$3,0,0,'Données projet'!$E$13+1,1))-AVERAGE(OFFSET($H$3,0,0,'Données projet'!$E$13+1,1))</f>
        <v>258.42493116335032</v>
      </c>
      <c r="CZ180" s="59">
        <f t="shared" si="150"/>
        <v>102.46122697336466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43.177199241295057</v>
      </c>
      <c r="DG180" s="21">
        <f>EXP(-LN(2)/25)*DG179+(1-EXP(-LN(2)/25))/(LN(2)/25)*Calculateur!DB180*Calculateur!DD180*VLOOKUP('Données projet'!$B$13,Paramètres!$A$1:$I$89,3,0)*0.475*44/12</f>
        <v>6.3224391942399896</v>
      </c>
      <c r="DH180" s="21">
        <f>EXP(-LN(2)/2)*DH179+(1-EXP(-LN(2)/2))/(LN(2)/2)*DB180*DE180*VLOOKUP('Données projet'!$B$13,Paramètres!$A$1:$I$89,3,0)*0.475*44/12</f>
        <v>3.2731965444795361E-8</v>
      </c>
      <c r="DI180" s="22">
        <f t="shared" si="175"/>
        <v>49.499638468267015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243</v>
      </c>
      <c r="DP180" s="17">
        <f>DO180*VLOOKUP('Données projet'!$B$14,Paramètres!$A$1:$I$89,3,0)*VLOOKUP('Données projet'!$B$14,Paramètres!$A$1:$I$89,5,0)</f>
        <v>212.28480000000002</v>
      </c>
      <c r="DQ180" s="13">
        <f t="shared" si="176"/>
        <v>52.434557099704193</v>
      </c>
      <c r="DR180" s="20">
        <f t="shared" si="177"/>
        <v>461.05288028198476</v>
      </c>
      <c r="DS180" s="59">
        <f t="shared" si="125"/>
        <v>754.38621361531807</v>
      </c>
      <c r="DT180" s="59">
        <f ca="1">AVERAGE(OFFSET($DS$3,0,0,'Données projet'!$E$14+1,1))-AVERAGE(OFFSET($H$3,0,0,'Données projet'!$E$14+1,1))</f>
        <v>354.24684313982857</v>
      </c>
      <c r="DU180" s="59">
        <f t="shared" si="152"/>
        <v>322.65043486962185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5.9311581802321793</v>
      </c>
      <c r="EB180" s="21">
        <f>EXP(-LN(2)/25)*EB179+(1-EXP(-LN(2)/25))/(LN(2)/25)*Calculateur!DW180*Calculateur!DY180*VLOOKUP('Données projet'!$B$14,Paramètres!$A$1:$I$89,3,0)*0.475*44/12</f>
        <v>1.7609127084293172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7.6920708886614966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-6.7984728957526396E-14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355.09162485318728</v>
      </c>
      <c r="T181" s="59">
        <f t="shared" si="142"/>
        <v>320.06572891923685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23.6564817278887</v>
      </c>
      <c r="AA181" s="21">
        <f>EXP(-LN(2)/25)*AA180+(1-EXP(-LN(2)/25))/(LN(2)/25)*Calculateur!V181*Calculateur!X181*VLOOKUP('Données projet'!$B$9,Paramètres!$A$1:$I$89,3,0)*0.475*44/12</f>
        <v>2.5073330638516578</v>
      </c>
      <c r="AB181" s="21">
        <f>EXP(-LN(2)/2)*AB180+(1-EXP(-LN(2)/2))/(LN(2)/2)*V181*Y181*VLOOKUP('Données projet'!$B$9,Paramètres!$A$1:$I$89,3,0)*0.475*44/12</f>
        <v>2.0734585478106098E-14</v>
      </c>
      <c r="AC181" s="22">
        <f t="shared" si="163"/>
        <v>26.163814791740378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5.1159076974727213E-13</v>
      </c>
      <c r="AJ181" s="13">
        <f>AI181*VLOOKUP('Données projet'!$B$10,Paramètres!$A$1:$I$89,3,0)*VLOOKUP('Données projet'!$B$10,Paramètres!$A$1:$I$89,5,0)</f>
        <v>2.3942448024172334E-13</v>
      </c>
      <c r="AK181" s="13">
        <f t="shared" si="164"/>
        <v>3.2492669905861755E-12</v>
      </c>
      <c r="AL181" s="20">
        <f t="shared" si="165"/>
        <v>6.0761376450252565E-12</v>
      </c>
      <c r="AM181" s="59">
        <f t="shared" si="113"/>
        <v>293.3333333333394</v>
      </c>
      <c r="AN181" s="59">
        <f ca="1">AVERAGE(OFFSET($AM$3,0,0,'Données projet'!$E$10+1,1))-AVERAGE(OFFSET($H$3,0,0,'Données projet'!$E$10+1,1))</f>
        <v>246.72166704460847</v>
      </c>
      <c r="AO181" s="59">
        <f t="shared" si="144"/>
        <v>145.54897745089966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34.097279207788709</v>
      </c>
      <c r="AV181" s="21">
        <f>EXP(-LN(2)/25)*AV180+(1-EXP(-LN(2)/25))/(LN(2)/25)*Calculateur!AQ181*Calculateur!AS181*VLOOKUP('Données projet'!$B$10,Paramètres!$A$1:$I$89,3,0)*0.475*44/12</f>
        <v>4.9080965524772644</v>
      </c>
      <c r="AW181" s="21">
        <f>EXP(-LN(2)/2)*AW180+(1-EXP(-LN(2)/2))/(LN(2)/2)*AQ181*AT181*VLOOKUP('Données projet'!$B$10,Paramètres!$A$1:$I$89,3,0)*0.475*44/12</f>
        <v>7.5521428646694576E-10</v>
      </c>
      <c r="AX181" s="21">
        <f t="shared" si="166"/>
        <v>39.005375761021192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88.478637356802039</v>
      </c>
      <c r="BJ181" s="59">
        <f t="shared" si="146"/>
        <v>239.55411297259155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1.9750501226802455</v>
      </c>
      <c r="BQ181" s="21">
        <f>EXP(-LN(2)/25)*BQ180+(1-EXP(-LN(2)/25))/(LN(2)/25)*Calculateur!BL181*Calculateur!BN181*VLOOKUP('Données projet'!$B$11,Paramètres!$A$1:$I$89,3,0)*0.475*44/12</f>
        <v>0.12058237094148956</v>
      </c>
      <c r="BR181" s="21">
        <f>EXP(-LN(2)/2)*BR180+(1-EXP(-LN(2)/2))/(LN(2)/2)*BL181*BO181*VLOOKUP('Données projet'!$B$11,Paramètres!$A$1:$I$89,3,0)*0.475*44/12</f>
        <v>2.2761088350507561E-23</v>
      </c>
      <c r="BS181" s="22">
        <f t="shared" si="169"/>
        <v>2.0956324936217352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>
        <f>VLOOKUP(A181,'Données projet'!$A$113:$I$133,2,0)</f>
        <v>415.64743589743586</v>
      </c>
      <c r="BW181" s="12">
        <f>VLOOKUP(A181,'Données projet'!$A$113:$I$133,9,0)</f>
        <v>6.4051282051282046</v>
      </c>
      <c r="BX181" s="12">
        <f t="array" ref="BX181">INDEX(BW:BW,MIN(IF(ISNUMBER(BW181:BW377),ROW(BW181:BW377),"")))</f>
        <v>6.4051282051282046</v>
      </c>
      <c r="BY181" s="12">
        <f>IF('Données projet'!$A$114&gt;35,BY180+BX181-CG180,IF(A181&lt;'Données projet'!$A$114,$BV$205^A181,IF(A181='Données projet'!$A$114,'Données projet'!$B$114,BY180+BX181-CG180)))</f>
        <v>415.64743589743654</v>
      </c>
      <c r="BZ181" s="13">
        <f>BY181*VLOOKUP('Données projet'!$B$12,Paramètres!$A$1:$I$89,3,0)*VLOOKUP('Données projet'!$B$12,Paramètres!$A$1:$I$89,5,0)</f>
        <v>376.07780000000059</v>
      </c>
      <c r="CA181" s="13">
        <f t="shared" si="170"/>
        <v>86.909537443390718</v>
      </c>
      <c r="CB181" s="20">
        <f t="shared" si="171"/>
        <v>806.36961271390646</v>
      </c>
      <c r="CC181" s="59">
        <f t="shared" si="119"/>
        <v>1099.7029460472397</v>
      </c>
      <c r="CD181" s="59">
        <f ca="1">AVERAGE(OFFSET($CC$3,0,0,'Données projet'!$E$12+1,1))-AVERAGE(OFFSET($H$3,0,0,'Données projet'!$E$12+1,1))</f>
        <v>437.94387006020412</v>
      </c>
      <c r="CE181" s="59">
        <f t="shared" si="148"/>
        <v>213.95083535531376</v>
      </c>
      <c r="CF181" s="15">
        <f>IF(ISNA(VLOOKUP(A181,'Données projet'!$A$113:$I$133,3,0)),0,VLOOKUP(A181,'Données projet'!$A$113:$I$133,3,0))</f>
        <v>16</v>
      </c>
      <c r="CG181" s="15">
        <f>IF(ISNA(VLOOKUP(A181,'Données projet'!$A$113:$I$133,4,0)),0,VLOOKUP(A181,'Données projet'!$A$113:$I$133,4,0))</f>
        <v>163.11538461538461</v>
      </c>
      <c r="CH181" s="16">
        <f>IF(ISNA(VLOOKUP(A181,'Données projet'!$A$113:$I$133,5,0)),0%,VLOOKUP(A181,'Données projet'!$A$113:$I$133,5,0)*VLOOKUP('Données projet'!$B$12,Paramètres!$A$1:$I$89,7,0))</f>
        <v>0.38700000000000001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119.14474717945393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119.14474717945393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5.4001247917767614E-13</v>
      </c>
      <c r="CU181" s="17">
        <f>CT181*VLOOKUP('Données projet'!$B$13,Paramètres!$A$1:$I$89,3,0)*VLOOKUP('Données projet'!$B$13,Paramètres!$A$1:$I$89,5,0)</f>
        <v>2.5974600248446226E-13</v>
      </c>
      <c r="CV181" s="13">
        <f t="shared" si="173"/>
        <v>3.4917846266292826E-12</v>
      </c>
      <c r="CW181" s="20">
        <f t="shared" si="174"/>
        <v>6.5339158457064384E-12</v>
      </c>
      <c r="CX181" s="59">
        <f t="shared" si="122"/>
        <v>293.33333333333985</v>
      </c>
      <c r="CY181" s="59">
        <f ca="1">AVERAGE(OFFSET($CX$3,0,0,'Données projet'!$E$13+1,1))-AVERAGE(OFFSET($H$3,0,0,'Données projet'!$E$13+1,1))</f>
        <v>258.42493116335032</v>
      </c>
      <c r="CZ181" s="59">
        <f t="shared" si="150"/>
        <v>102.46122697336466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42.330520699664383</v>
      </c>
      <c r="DG181" s="21">
        <f>EXP(-LN(2)/25)*DG180+(1-EXP(-LN(2)/25))/(LN(2)/25)*Calculateur!DB181*Calculateur!DD181*VLOOKUP('Données projet'!$B$13,Paramètres!$A$1:$I$89,3,0)*0.475*44/12</f>
        <v>6.1495517619908702</v>
      </c>
      <c r="DH181" s="21">
        <f>EXP(-LN(2)/2)*DH180+(1-EXP(-LN(2)/2))/(LN(2)/2)*DB181*DE181*VLOOKUP('Données projet'!$B$13,Paramètres!$A$1:$I$89,3,0)*0.475*44/12</f>
        <v>2.3144994727578549E-8</v>
      </c>
      <c r="DI181" s="22">
        <f t="shared" si="175"/>
        <v>48.480072484800246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243</v>
      </c>
      <c r="DP181" s="17">
        <f>DO181*VLOOKUP('Données projet'!$B$14,Paramètres!$A$1:$I$89,3,0)*VLOOKUP('Données projet'!$B$14,Paramètres!$A$1:$I$89,5,0)</f>
        <v>212.28480000000002</v>
      </c>
      <c r="DQ181" s="13">
        <f t="shared" si="176"/>
        <v>52.434557099704193</v>
      </c>
      <c r="DR181" s="20">
        <f t="shared" si="177"/>
        <v>461.05288028198476</v>
      </c>
      <c r="DS181" s="59">
        <f t="shared" si="125"/>
        <v>754.38621361531807</v>
      </c>
      <c r="DT181" s="59">
        <f ca="1">AVERAGE(OFFSET($DS$3,0,0,'Données projet'!$E$14+1,1))-AVERAGE(OFFSET($H$3,0,0,'Données projet'!$E$14+1,1))</f>
        <v>354.24684313982857</v>
      </c>
      <c r="DU181" s="59">
        <f t="shared" si="152"/>
        <v>322.65043486962185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5.8148517859671029</v>
      </c>
      <c r="EB181" s="21">
        <f>EXP(-LN(2)/25)*EB180+(1-EXP(-LN(2)/25))/(LN(2)/25)*Calculateur!DW181*Calculateur!DY181*VLOOKUP('Données projet'!$B$14,Paramètres!$A$1:$I$89,3,0)*0.475*44/12</f>
        <v>1.7127604578149429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7.5276122437820456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-6.7984728957526396E-14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355.09162485318728</v>
      </c>
      <c r="T182" s="59">
        <f t="shared" si="142"/>
        <v>320.06572891923685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23.192592550233908</v>
      </c>
      <c r="AA182" s="21">
        <f>EXP(-LN(2)/25)*AA181+(1-EXP(-LN(2)/25))/(LN(2)/25)*Calculateur!V182*Calculateur!X182*VLOOKUP('Données projet'!$B$9,Paramètres!$A$1:$I$89,3,0)*0.475*44/12</f>
        <v>2.4387699093657189</v>
      </c>
      <c r="AB182" s="21">
        <f>EXP(-LN(2)/2)*AB181+(1-EXP(-LN(2)/2))/(LN(2)/2)*V182*Y182*VLOOKUP('Données projet'!$B$9,Paramètres!$A$1:$I$89,3,0)*0.475*44/12</f>
        <v>1.4661565996660934E-14</v>
      </c>
      <c r="AC182" s="22">
        <f t="shared" si="163"/>
        <v>25.631362459599639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5.1159076974727213E-13</v>
      </c>
      <c r="AJ182" s="13">
        <f>AI182*VLOOKUP('Données projet'!$B$10,Paramètres!$A$1:$I$89,3,0)*VLOOKUP('Données projet'!$B$10,Paramètres!$A$1:$I$89,5,0)</f>
        <v>2.3942448024172334E-13</v>
      </c>
      <c r="AK182" s="13">
        <f t="shared" si="164"/>
        <v>3.2492669905861755E-12</v>
      </c>
      <c r="AL182" s="20">
        <f t="shared" si="165"/>
        <v>6.0761376450252565E-12</v>
      </c>
      <c r="AM182" s="59">
        <f t="shared" si="113"/>
        <v>293.3333333333394</v>
      </c>
      <c r="AN182" s="59">
        <f ca="1">AVERAGE(OFFSET($AM$3,0,0,'Données projet'!$E$10+1,1))-AVERAGE(OFFSET($H$3,0,0,'Données projet'!$E$10+1,1))</f>
        <v>246.72166704460847</v>
      </c>
      <c r="AO182" s="59">
        <f t="shared" si="144"/>
        <v>145.54897745089966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33.428652359810727</v>
      </c>
      <c r="AV182" s="21">
        <f>EXP(-LN(2)/25)*AV181+(1-EXP(-LN(2)/25))/(LN(2)/25)*Calculateur!AQ182*Calculateur!AS182*VLOOKUP('Données projet'!$B$10,Paramètres!$A$1:$I$89,3,0)*0.475*44/12</f>
        <v>4.7738843941441935</v>
      </c>
      <c r="AW182" s="21">
        <f>EXP(-LN(2)/2)*AW181+(1-EXP(-LN(2)/2))/(LN(2)/2)*AQ182*AT182*VLOOKUP('Données projet'!$B$10,Paramètres!$A$1:$I$89,3,0)*0.475*44/12</f>
        <v>5.3401714320973722E-10</v>
      </c>
      <c r="AX182" s="21">
        <f t="shared" si="166"/>
        <v>38.202536754488932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88.478637356802039</v>
      </c>
      <c r="BJ182" s="59">
        <f t="shared" si="146"/>
        <v>239.55411297259155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1.9363205944361102</v>
      </c>
      <c r="BQ182" s="21">
        <f>EXP(-LN(2)/25)*BQ181+(1-EXP(-LN(2)/25))/(LN(2)/25)*Calculateur!BL182*Calculateur!BN182*VLOOKUP('Données projet'!$B$11,Paramètres!$A$1:$I$89,3,0)*0.475*44/12</f>
        <v>0.11728503966694323</v>
      </c>
      <c r="BR182" s="21">
        <f>EXP(-LN(2)/2)*BR181+(1-EXP(-LN(2)/2))/(LN(2)/2)*BL182*BO182*VLOOKUP('Données projet'!$B$11,Paramètres!$A$1:$I$89,3,0)*0.475*44/12</f>
        <v>1.6094519919830026E-23</v>
      </c>
      <c r="BS182" s="22">
        <f t="shared" si="169"/>
        <v>2.0536056341030533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4.1260683760683889</v>
      </c>
      <c r="BY182" s="12">
        <f>IF('Données projet'!$A$114&gt;35,BY181+BX182-CG181,IF(A182&lt;'Données projet'!$A$114,$BV$205^A182,IF(A182='Données projet'!$A$114,'Données projet'!$B$114,BY181+BX182-CG181)))</f>
        <v>256.65811965812031</v>
      </c>
      <c r="BZ182" s="13">
        <f>BY182*VLOOKUP('Données projet'!$B$12,Paramètres!$A$1:$I$89,3,0)*VLOOKUP('Données projet'!$B$12,Paramètres!$A$1:$I$89,5,0)</f>
        <v>232.22426666666723</v>
      </c>
      <c r="CA182" s="13">
        <f t="shared" si="170"/>
        <v>56.763350267479765</v>
      </c>
      <c r="CB182" s="20">
        <f t="shared" si="171"/>
        <v>503.32009949363936</v>
      </c>
      <c r="CC182" s="59">
        <f t="shared" si="119"/>
        <v>796.65343282697268</v>
      </c>
      <c r="CD182" s="59">
        <f ca="1">AVERAGE(OFFSET($CC$3,0,0,'Données projet'!$E$12+1,1))-AVERAGE(OFFSET($H$3,0,0,'Données projet'!$E$12+1,1))</f>
        <v>437.94387006020412</v>
      </c>
      <c r="CE182" s="59">
        <f t="shared" si="148"/>
        <v>213.95083535531376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116.80839135838494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116.80839135838494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5.4001247917767614E-13</v>
      </c>
      <c r="CU182" s="17">
        <f>CT182*VLOOKUP('Données projet'!$B$13,Paramètres!$A$1:$I$89,3,0)*VLOOKUP('Données projet'!$B$13,Paramètres!$A$1:$I$89,5,0)</f>
        <v>2.5974600248446226E-13</v>
      </c>
      <c r="CV182" s="13">
        <f t="shared" si="173"/>
        <v>3.4917846266292826E-12</v>
      </c>
      <c r="CW182" s="20">
        <f t="shared" si="174"/>
        <v>6.5339158457064384E-12</v>
      </c>
      <c r="CX182" s="59">
        <f t="shared" si="122"/>
        <v>293.33333333333985</v>
      </c>
      <c r="CY182" s="59">
        <f ca="1">AVERAGE(OFFSET($CX$3,0,0,'Données projet'!$E$13+1,1))-AVERAGE(OFFSET($H$3,0,0,'Données projet'!$E$13+1,1))</f>
        <v>258.42493116335032</v>
      </c>
      <c r="CZ182" s="59">
        <f t="shared" si="150"/>
        <v>102.46122697336466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41.500445007812168</v>
      </c>
      <c r="DG182" s="21">
        <f>EXP(-LN(2)/25)*DG181+(1-EXP(-LN(2)/25))/(LN(2)/25)*Calculateur!DB182*Calculateur!DD182*VLOOKUP('Données projet'!$B$13,Paramètres!$A$1:$I$89,3,0)*0.475*44/12</f>
        <v>5.9813919456683573</v>
      </c>
      <c r="DH182" s="21">
        <f>EXP(-LN(2)/2)*DH181+(1-EXP(-LN(2)/2))/(LN(2)/2)*DB182*DE182*VLOOKUP('Données projet'!$B$13,Paramètres!$A$1:$I$89,3,0)*0.475*44/12</f>
        <v>1.6365982722397681E-8</v>
      </c>
      <c r="DI182" s="22">
        <f t="shared" si="175"/>
        <v>47.481836969846505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243</v>
      </c>
      <c r="DP182" s="17">
        <f>DO182*VLOOKUP('Données projet'!$B$14,Paramètres!$A$1:$I$89,3,0)*VLOOKUP('Données projet'!$B$14,Paramètres!$A$1:$I$89,5,0)</f>
        <v>212.28480000000002</v>
      </c>
      <c r="DQ182" s="13">
        <f t="shared" si="176"/>
        <v>52.434557099704193</v>
      </c>
      <c r="DR182" s="20">
        <f t="shared" si="177"/>
        <v>461.05288028198476</v>
      </c>
      <c r="DS182" s="59">
        <f t="shared" si="125"/>
        <v>754.38621361531807</v>
      </c>
      <c r="DT182" s="59">
        <f ca="1">AVERAGE(OFFSET($DS$3,0,0,'Données projet'!$E$14+1,1))-AVERAGE(OFFSET($H$3,0,0,'Données projet'!$E$14+1,1))</f>
        <v>354.24684313982857</v>
      </c>
      <c r="DU182" s="59">
        <f t="shared" si="152"/>
        <v>322.65043486962185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5.7008260891536686</v>
      </c>
      <c r="EB182" s="21">
        <f>EXP(-LN(2)/25)*EB181+(1-EXP(-LN(2)/25))/(LN(2)/25)*Calculateur!DW182*Calculateur!DY182*VLOOKUP('Données projet'!$B$14,Paramètres!$A$1:$I$89,3,0)*0.475*44/12</f>
        <v>1.6659249330258354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7.3667510221795043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-6.7984728957526396E-14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355.09162485318728</v>
      </c>
      <c r="T183" s="59">
        <f t="shared" si="142"/>
        <v>320.06572891923685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22.737799956408466</v>
      </c>
      <c r="AA183" s="21">
        <f>EXP(-LN(2)/25)*AA182+(1-EXP(-LN(2)/25))/(LN(2)/25)*Calculateur!V183*Calculateur!X183*VLOOKUP('Données projet'!$B$9,Paramètres!$A$1:$I$89,3,0)*0.475*44/12</f>
        <v>2.3720816179447777</v>
      </c>
      <c r="AB183" s="21">
        <f>EXP(-LN(2)/2)*AB182+(1-EXP(-LN(2)/2))/(LN(2)/2)*V183*Y183*VLOOKUP('Données projet'!$B$9,Paramètres!$A$1:$I$89,3,0)*0.475*44/12</f>
        <v>1.0367292739053049E-14</v>
      </c>
      <c r="AC183" s="22">
        <f t="shared" si="163"/>
        <v>25.109881574353256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5.1159076974727213E-13</v>
      </c>
      <c r="AJ183" s="13">
        <f>AI183*VLOOKUP('Données projet'!$B$10,Paramètres!$A$1:$I$89,3,0)*VLOOKUP('Données projet'!$B$10,Paramètres!$A$1:$I$89,5,0)</f>
        <v>2.3942448024172334E-13</v>
      </c>
      <c r="AK183" s="13">
        <f t="shared" si="164"/>
        <v>3.2492669905861755E-12</v>
      </c>
      <c r="AL183" s="20">
        <f t="shared" si="165"/>
        <v>6.0761376450252565E-12</v>
      </c>
      <c r="AM183" s="59">
        <f t="shared" si="113"/>
        <v>293.3333333333394</v>
      </c>
      <c r="AN183" s="59">
        <f ca="1">AVERAGE(OFFSET($AM$3,0,0,'Données projet'!$E$10+1,1))-AVERAGE(OFFSET($H$3,0,0,'Données projet'!$E$10+1,1))</f>
        <v>246.72166704460847</v>
      </c>
      <c r="AO183" s="59">
        <f t="shared" si="144"/>
        <v>145.54897745089966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32.773136876499485</v>
      </c>
      <c r="AV183" s="21">
        <f>EXP(-LN(2)/25)*AV182+(1-EXP(-LN(2)/25))/(LN(2)/25)*Calculateur!AQ183*Calculateur!AS183*VLOOKUP('Données projet'!$B$10,Paramètres!$A$1:$I$89,3,0)*0.475*44/12</f>
        <v>4.643342274338651</v>
      </c>
      <c r="AW183" s="21">
        <f>EXP(-LN(2)/2)*AW182+(1-EXP(-LN(2)/2))/(LN(2)/2)*AQ183*AT183*VLOOKUP('Données projet'!$B$10,Paramètres!$A$1:$I$89,3,0)*0.475*44/12</f>
        <v>3.7760714323347288E-10</v>
      </c>
      <c r="AX183" s="21">
        <f t="shared" si="166"/>
        <v>37.416479151215739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88.478637356802039</v>
      </c>
      <c r="BJ183" s="59">
        <f t="shared" si="146"/>
        <v>239.55411297259155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1.8983505286181628</v>
      </c>
      <c r="BQ183" s="21">
        <f>EXP(-LN(2)/25)*BQ182+(1-EXP(-LN(2)/25))/(LN(2)/25)*Calculateur!BL183*Calculateur!BN183*VLOOKUP('Données projet'!$B$11,Paramètres!$A$1:$I$89,3,0)*0.475*44/12</f>
        <v>0.11407787408949849</v>
      </c>
      <c r="BR183" s="21">
        <f>EXP(-LN(2)/2)*BR182+(1-EXP(-LN(2)/2))/(LN(2)/2)*BL183*BO183*VLOOKUP('Données projet'!$B$11,Paramètres!$A$1:$I$89,3,0)*0.475*44/12</f>
        <v>1.1380544175253781E-23</v>
      </c>
      <c r="BS183" s="22">
        <f t="shared" si="169"/>
        <v>2.0124284027076613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4.1260683760683889</v>
      </c>
      <c r="BY183" s="12">
        <f>IF('Données projet'!$A$114&gt;35,BY182+BX183-CG182,IF(A183&lt;'Données projet'!$A$114,$BV$205^A183,IF(A183='Données projet'!$A$114,'Données projet'!$B$114,BY182+BX183-CG182)))</f>
        <v>260.78418803418867</v>
      </c>
      <c r="BZ183" s="13">
        <f>BY183*VLOOKUP('Données projet'!$B$12,Paramètres!$A$1:$I$89,3,0)*VLOOKUP('Données projet'!$B$12,Paramètres!$A$1:$I$89,5,0)</f>
        <v>235.95753333333391</v>
      </c>
      <c r="CA183" s="13">
        <f t="shared" si="170"/>
        <v>57.568916073422471</v>
      </c>
      <c r="CB183" s="20">
        <f t="shared" si="171"/>
        <v>511.22523271676738</v>
      </c>
      <c r="CC183" s="59">
        <f t="shared" si="119"/>
        <v>804.55856605010069</v>
      </c>
      <c r="CD183" s="59">
        <f ca="1">AVERAGE(OFFSET($CC$3,0,0,'Données projet'!$E$12+1,1))-AVERAGE(OFFSET($H$3,0,0,'Données projet'!$E$12+1,1))</f>
        <v>437.94387006020412</v>
      </c>
      <c r="CE183" s="59">
        <f t="shared" si="148"/>
        <v>213.95083535531376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114.51785004993077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114.51785004993077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5.4001247917767614E-13</v>
      </c>
      <c r="CU183" s="17">
        <f>CT183*VLOOKUP('Données projet'!$B$13,Paramètres!$A$1:$I$89,3,0)*VLOOKUP('Données projet'!$B$13,Paramètres!$A$1:$I$89,5,0)</f>
        <v>2.5974600248446226E-13</v>
      </c>
      <c r="CV183" s="13">
        <f t="shared" si="173"/>
        <v>3.4917846266292826E-12</v>
      </c>
      <c r="CW183" s="20">
        <f t="shared" si="174"/>
        <v>6.5339158457064384E-12</v>
      </c>
      <c r="CX183" s="59">
        <f t="shared" si="122"/>
        <v>293.33333333333985</v>
      </c>
      <c r="CY183" s="59">
        <f ca="1">AVERAGE(OFFSET($CX$3,0,0,'Données projet'!$E$13+1,1))-AVERAGE(OFFSET($H$3,0,0,'Données projet'!$E$13+1,1))</f>
        <v>258.42493116335032</v>
      </c>
      <c r="CZ183" s="59">
        <f t="shared" si="150"/>
        <v>102.46122697336466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40.686646593980996</v>
      </c>
      <c r="DG183" s="21">
        <f>EXP(-LN(2)/25)*DG182+(1-EXP(-LN(2)/25))/(LN(2)/25)*Calculateur!DB183*Calculateur!DD183*VLOOKUP('Données projet'!$B$13,Paramètres!$A$1:$I$89,3,0)*0.475*44/12</f>
        <v>5.8178304683663242</v>
      </c>
      <c r="DH183" s="21">
        <f>EXP(-LN(2)/2)*DH182+(1-EXP(-LN(2)/2))/(LN(2)/2)*DB183*DE183*VLOOKUP('Données projet'!$B$13,Paramètres!$A$1:$I$89,3,0)*0.475*44/12</f>
        <v>1.1572497363789274E-8</v>
      </c>
      <c r="DI183" s="22">
        <f t="shared" si="175"/>
        <v>46.504477073919816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243</v>
      </c>
      <c r="DP183" s="17">
        <f>DO183*VLOOKUP('Données projet'!$B$14,Paramètres!$A$1:$I$89,3,0)*VLOOKUP('Données projet'!$B$14,Paramètres!$A$1:$I$89,5,0)</f>
        <v>212.28480000000002</v>
      </c>
      <c r="DQ183" s="13">
        <f t="shared" si="176"/>
        <v>52.434557099704193</v>
      </c>
      <c r="DR183" s="20">
        <f t="shared" si="177"/>
        <v>461.05288028198476</v>
      </c>
      <c r="DS183" s="59">
        <f t="shared" si="125"/>
        <v>754.38621361531807</v>
      </c>
      <c r="DT183" s="59">
        <f ca="1">AVERAGE(OFFSET($DS$3,0,0,'Données projet'!$E$14+1,1))-AVERAGE(OFFSET($H$3,0,0,'Données projet'!$E$14+1,1))</f>
        <v>354.24684313982857</v>
      </c>
      <c r="DU183" s="59">
        <f t="shared" si="152"/>
        <v>322.65043486962185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5.5890363667059386</v>
      </c>
      <c r="EB183" s="21">
        <f>EXP(-LN(2)/25)*EB182+(1-EXP(-LN(2)/25))/(LN(2)/25)*Calculateur!DW183*Calculateur!DY183*VLOOKUP('Données projet'!$B$14,Paramètres!$A$1:$I$89,3,0)*0.475*44/12</f>
        <v>1.6203701281250593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7.2094064948309979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-6.7984728957526396E-14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355.09162485318728</v>
      </c>
      <c r="T184" s="59">
        <f t="shared" si="142"/>
        <v>320.06572891923685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22.29192556795185</v>
      </c>
      <c r="AA184" s="21">
        <f>EXP(-LN(2)/25)*AA183+(1-EXP(-LN(2)/25))/(LN(2)/25)*Calculateur!V184*Calculateur!X184*VLOOKUP('Données projet'!$B$9,Paramètres!$A$1:$I$89,3,0)*0.475*44/12</f>
        <v>2.3072169213597271</v>
      </c>
      <c r="AB184" s="21">
        <f>EXP(-LN(2)/2)*AB183+(1-EXP(-LN(2)/2))/(LN(2)/2)*V184*Y184*VLOOKUP('Données projet'!$B$9,Paramètres!$A$1:$I$89,3,0)*0.475*44/12</f>
        <v>7.3307829983304672E-15</v>
      </c>
      <c r="AC184" s="22">
        <f t="shared" si="163"/>
        <v>24.599142489311586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5.1159076974727213E-13</v>
      </c>
      <c r="AJ184" s="13">
        <f>AI184*VLOOKUP('Données projet'!$B$10,Paramètres!$A$1:$I$89,3,0)*VLOOKUP('Données projet'!$B$10,Paramètres!$A$1:$I$89,5,0)</f>
        <v>2.3942448024172334E-13</v>
      </c>
      <c r="AK184" s="13">
        <f t="shared" si="164"/>
        <v>3.2492669905861755E-12</v>
      </c>
      <c r="AL184" s="20">
        <f t="shared" si="165"/>
        <v>6.0761376450252565E-12</v>
      </c>
      <c r="AM184" s="59">
        <f t="shared" si="113"/>
        <v>293.3333333333394</v>
      </c>
      <c r="AN184" s="59">
        <f ca="1">AVERAGE(OFFSET($AM$3,0,0,'Données projet'!$E$10+1,1))-AVERAGE(OFFSET($H$3,0,0,'Données projet'!$E$10+1,1))</f>
        <v>246.72166704460847</v>
      </c>
      <c r="AO184" s="59">
        <f t="shared" si="144"/>
        <v>145.54897745089966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32.130475651991013</v>
      </c>
      <c r="AV184" s="21">
        <f>EXP(-LN(2)/25)*AV183+(1-EXP(-LN(2)/25))/(LN(2)/25)*Calculateur!AQ184*Calculateur!AS184*VLOOKUP('Données projet'!$B$10,Paramètres!$A$1:$I$89,3,0)*0.475*44/12</f>
        <v>4.5163698356641024</v>
      </c>
      <c r="AW184" s="21">
        <f>EXP(-LN(2)/2)*AW183+(1-EXP(-LN(2)/2))/(LN(2)/2)*AQ184*AT184*VLOOKUP('Données projet'!$B$10,Paramètres!$A$1:$I$89,3,0)*0.475*44/12</f>
        <v>2.6700857160486861E-10</v>
      </c>
      <c r="AX184" s="21">
        <f t="shared" si="166"/>
        <v>36.646845487922121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88.478637356802039</v>
      </c>
      <c r="BJ184" s="59">
        <f t="shared" si="146"/>
        <v>239.55411297259155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1.8611250326314519</v>
      </c>
      <c r="BQ184" s="21">
        <f>EXP(-LN(2)/25)*BQ183+(1-EXP(-LN(2)/25))/(LN(2)/25)*Calculateur!BL184*Calculateur!BN184*VLOOKUP('Données projet'!$B$11,Paramètres!$A$1:$I$89,3,0)*0.475*44/12</f>
        <v>0.11095840862342649</v>
      </c>
      <c r="BR184" s="21">
        <f>EXP(-LN(2)/2)*BR183+(1-EXP(-LN(2)/2))/(LN(2)/2)*BL184*BO184*VLOOKUP('Données projet'!$B$11,Paramètres!$A$1:$I$89,3,0)*0.475*44/12</f>
        <v>8.047259959915013E-24</v>
      </c>
      <c r="BS184" s="22">
        <f t="shared" si="169"/>
        <v>1.9720834412548784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>
        <f>VLOOKUP(A184,'Données projet'!$A$113:$I$133,2,0)</f>
        <v>264.91025641025641</v>
      </c>
      <c r="BW184" s="12">
        <f>VLOOKUP(A184,'Données projet'!$A$113:$I$133,9,0)</f>
        <v>4.1260683760683889</v>
      </c>
      <c r="BX184" s="12">
        <f t="array" ref="BX184">INDEX(BW:BW,MIN(IF(ISNUMBER(BW184:BW380),ROW(BW184:BW380),"")))</f>
        <v>4.1260683760683889</v>
      </c>
      <c r="BY184" s="12">
        <f>IF('Données projet'!$A$114&gt;35,BY183+BX184-CG183,IF(A184&lt;'Données projet'!$A$114,$BV$205^A184,IF(A184='Données projet'!$A$114,'Données projet'!$B$114,BY183+BX184-CG183)))</f>
        <v>264.91025641025703</v>
      </c>
      <c r="BZ184" s="13">
        <f>BY184*VLOOKUP('Données projet'!$B$12,Paramètres!$A$1:$I$89,3,0)*VLOOKUP('Données projet'!$B$12,Paramètres!$A$1:$I$89,5,0)</f>
        <v>239.69080000000056</v>
      </c>
      <c r="CA184" s="13">
        <f t="shared" si="170"/>
        <v>58.372999605409603</v>
      </c>
      <c r="CB184" s="20">
        <f t="shared" si="171"/>
        <v>519.12778431275603</v>
      </c>
      <c r="CC184" s="59">
        <f t="shared" si="119"/>
        <v>812.46111764608941</v>
      </c>
      <c r="CD184" s="59">
        <f ca="1">AVERAGE(OFFSET($CC$3,0,0,'Données projet'!$E$12+1,1))-AVERAGE(OFFSET($H$3,0,0,'Données projet'!$E$12+1,1))</f>
        <v>437.94387006020412</v>
      </c>
      <c r="CE184" s="59">
        <f t="shared" si="148"/>
        <v>213.95083535531376</v>
      </c>
      <c r="CF184" s="15">
        <f>IF(ISNA(VLOOKUP(A184,'Données projet'!$A$113:$I$133,3,0)),0,VLOOKUP(A184,'Données projet'!$A$113:$I$133,3,0))</f>
        <v>17</v>
      </c>
      <c r="CG184" s="15">
        <f>IF(ISNA(VLOOKUP(A184,'Données projet'!$A$113:$I$133,4,0)),0,VLOOKUP(A184,'Données projet'!$A$113:$I$133,4,0))</f>
        <v>89.608974358974351</v>
      </c>
      <c r="CH184" s="16">
        <f>IF(ISNA(VLOOKUP(A184,'Données projet'!$A$113:$I$133,5,0)),0%,VLOOKUP(A184,'Données projet'!$A$113:$I$133,5,0)*VLOOKUP('Données projet'!$B$12,Paramètres!$A$1:$I$89,7,0))</f>
        <v>0.38700000000000001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146.95886013894648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146.95886013894648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5.4001247917767614E-13</v>
      </c>
      <c r="CU184" s="17">
        <f>CT184*VLOOKUP('Données projet'!$B$13,Paramètres!$A$1:$I$89,3,0)*VLOOKUP('Données projet'!$B$13,Paramètres!$A$1:$I$89,5,0)</f>
        <v>2.5974600248446226E-13</v>
      </c>
      <c r="CV184" s="13">
        <f t="shared" si="173"/>
        <v>3.4917846266292826E-12</v>
      </c>
      <c r="CW184" s="20">
        <f t="shared" si="174"/>
        <v>6.5339158457064384E-12</v>
      </c>
      <c r="CX184" s="59">
        <f t="shared" si="122"/>
        <v>293.33333333333985</v>
      </c>
      <c r="CY184" s="59">
        <f ca="1">AVERAGE(OFFSET($CX$3,0,0,'Données projet'!$E$13+1,1))-AVERAGE(OFFSET($H$3,0,0,'Données projet'!$E$13+1,1))</f>
        <v>258.42493116335032</v>
      </c>
      <c r="CZ184" s="59">
        <f t="shared" si="150"/>
        <v>102.46122697336466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39.888806270677037</v>
      </c>
      <c r="DG184" s="21">
        <f>EXP(-LN(2)/25)*DG183+(1-EXP(-LN(2)/25))/(LN(2)/25)*Calculateur!DB184*Calculateur!DD184*VLOOKUP('Données projet'!$B$13,Paramètres!$A$1:$I$89,3,0)*0.475*44/12</f>
        <v>5.6587415882624397</v>
      </c>
      <c r="DH184" s="21">
        <f>EXP(-LN(2)/2)*DH183+(1-EXP(-LN(2)/2))/(LN(2)/2)*DB184*DE184*VLOOKUP('Données projet'!$B$13,Paramètres!$A$1:$I$89,3,0)*0.475*44/12</f>
        <v>8.1829913611988403E-9</v>
      </c>
      <c r="DI184" s="22">
        <f t="shared" si="175"/>
        <v>45.547547867122468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243</v>
      </c>
      <c r="DP184" s="17">
        <f>DO184*VLOOKUP('Données projet'!$B$14,Paramètres!$A$1:$I$89,3,0)*VLOOKUP('Données projet'!$B$14,Paramètres!$A$1:$I$89,5,0)</f>
        <v>212.28480000000002</v>
      </c>
      <c r="DQ184" s="13">
        <f t="shared" si="176"/>
        <v>52.434557099704193</v>
      </c>
      <c r="DR184" s="20">
        <f t="shared" si="177"/>
        <v>461.05288028198476</v>
      </c>
      <c r="DS184" s="59">
        <f t="shared" si="125"/>
        <v>754.38621361531807</v>
      </c>
      <c r="DT184" s="59">
        <f ca="1">AVERAGE(OFFSET($DS$3,0,0,'Données projet'!$E$14+1,1))-AVERAGE(OFFSET($H$3,0,0,'Données projet'!$E$14+1,1))</f>
        <v>354.24684313982857</v>
      </c>
      <c r="DU184" s="59">
        <f t="shared" si="152"/>
        <v>322.65043486962185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5.4794387725304103</v>
      </c>
      <c r="EB184" s="21">
        <f>EXP(-LN(2)/25)*EB183+(1-EXP(-LN(2)/25))/(LN(2)/25)*Calculateur!DW184*Calculateur!DY184*VLOOKUP('Données projet'!$B$14,Paramètres!$A$1:$I$89,3,0)*0.475*44/12</f>
        <v>1.576061021759918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7.0554997942903288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-6.7984728957526396E-14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355.09162485318728</v>
      </c>
      <c r="T185" s="59">
        <f t="shared" si="142"/>
        <v>320.06572891923685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21.854794504296343</v>
      </c>
      <c r="AA185" s="21">
        <f>EXP(-LN(2)/25)*AA184+(1-EXP(-LN(2)/25))/(LN(2)/25)*Calculateur!V185*Calculateur!X185*VLOOKUP('Données projet'!$B$9,Paramètres!$A$1:$I$89,3,0)*0.475*44/12</f>
        <v>2.2441259533138807</v>
      </c>
      <c r="AB185" s="21">
        <f>EXP(-LN(2)/2)*AB184+(1-EXP(-LN(2)/2))/(LN(2)/2)*V185*Y185*VLOOKUP('Données projet'!$B$9,Paramètres!$A$1:$I$89,3,0)*0.475*44/12</f>
        <v>5.1836463695265245E-15</v>
      </c>
      <c r="AC185" s="22">
        <f t="shared" si="163"/>
        <v>24.098920457610227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5.1159076974727213E-13</v>
      </c>
      <c r="AJ185" s="13">
        <f>AI185*VLOOKUP('Données projet'!$B$10,Paramètres!$A$1:$I$89,3,0)*VLOOKUP('Données projet'!$B$10,Paramètres!$A$1:$I$89,5,0)</f>
        <v>2.3942448024172334E-13</v>
      </c>
      <c r="AK185" s="13">
        <f t="shared" si="164"/>
        <v>3.2492669905861755E-12</v>
      </c>
      <c r="AL185" s="20">
        <f t="shared" si="165"/>
        <v>6.0761376450252565E-12</v>
      </c>
      <c r="AM185" s="59">
        <f t="shared" si="113"/>
        <v>293.3333333333394</v>
      </c>
      <c r="AN185" s="59">
        <f ca="1">AVERAGE(OFFSET($AM$3,0,0,'Données projet'!$E$10+1,1))-AVERAGE(OFFSET($H$3,0,0,'Données projet'!$E$10+1,1))</f>
        <v>246.72166704460847</v>
      </c>
      <c r="AO185" s="59">
        <f t="shared" si="144"/>
        <v>145.54897745089966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31.50041662211051</v>
      </c>
      <c r="AV185" s="21">
        <f>EXP(-LN(2)/25)*AV184+(1-EXP(-LN(2)/25))/(LN(2)/25)*Calculateur!AQ185*Calculateur!AS185*VLOOKUP('Données projet'!$B$10,Paramètres!$A$1:$I$89,3,0)*0.475*44/12</f>
        <v>4.3928694650022999</v>
      </c>
      <c r="AW185" s="21">
        <f>EXP(-LN(2)/2)*AW184+(1-EXP(-LN(2)/2))/(LN(2)/2)*AQ185*AT185*VLOOKUP('Données projet'!$B$10,Paramètres!$A$1:$I$89,3,0)*0.475*44/12</f>
        <v>1.8880357161673644E-10</v>
      </c>
      <c r="AX185" s="21">
        <f t="shared" si="166"/>
        <v>35.893286087301618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88.478637356802039</v>
      </c>
      <c r="BJ185" s="59">
        <f t="shared" si="146"/>
        <v>239.55411297259155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1.8246295059157298</v>
      </c>
      <c r="BQ185" s="21">
        <f>EXP(-LN(2)/25)*BQ184+(1-EXP(-LN(2)/25))/(LN(2)/25)*Calculateur!BL185*Calculateur!BN185*VLOOKUP('Données projet'!$B$11,Paramètres!$A$1:$I$89,3,0)*0.475*44/12</f>
        <v>0.10792424510456977</v>
      </c>
      <c r="BR185" s="21">
        <f>EXP(-LN(2)/2)*BR184+(1-EXP(-LN(2)/2))/(LN(2)/2)*BL185*BO185*VLOOKUP('Données projet'!$B$11,Paramètres!$A$1:$I$89,3,0)*0.475*44/12</f>
        <v>5.6902720876268903E-24</v>
      </c>
      <c r="BS185" s="22">
        <f t="shared" si="169"/>
        <v>1.9325537510202997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2.4358974358974401</v>
      </c>
      <c r="BY185" s="12">
        <f>IF('Données projet'!$A$114&gt;35,BY184+BX185-CG184,IF(A185&lt;'Données projet'!$A$114,$BV$205^A185,IF(A185='Données projet'!$A$114,'Données projet'!$B$114,BY184+BX185-CG184)))</f>
        <v>177.73717948718013</v>
      </c>
      <c r="BZ185" s="13">
        <f>BY185*VLOOKUP('Données projet'!$B$12,Paramètres!$A$1:$I$89,3,0)*VLOOKUP('Données projet'!$B$12,Paramètres!$A$1:$I$89,5,0)</f>
        <v>160.81660000000059</v>
      </c>
      <c r="CA185" s="13">
        <f t="shared" si="170"/>
        <v>41.026647209320608</v>
      </c>
      <c r="CB185" s="20">
        <f t="shared" si="171"/>
        <v>351.5436555562344</v>
      </c>
      <c r="CC185" s="59">
        <f t="shared" si="119"/>
        <v>644.87698888956766</v>
      </c>
      <c r="CD185" s="59">
        <f ca="1">AVERAGE(OFFSET($CC$3,0,0,'Données projet'!$E$12+1,1))-AVERAGE(OFFSET($H$3,0,0,'Données projet'!$E$12+1,1))</f>
        <v>437.94387006020412</v>
      </c>
      <c r="CE185" s="59">
        <f t="shared" si="148"/>
        <v>213.95083535531376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144.07708652767559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144.07708652767559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5.4001247917767614E-13</v>
      </c>
      <c r="CU185" s="17">
        <f>CT185*VLOOKUP('Données projet'!$B$13,Paramètres!$A$1:$I$89,3,0)*VLOOKUP('Données projet'!$B$13,Paramètres!$A$1:$I$89,5,0)</f>
        <v>2.5974600248446226E-13</v>
      </c>
      <c r="CV185" s="13">
        <f t="shared" si="173"/>
        <v>3.4917846266292826E-12</v>
      </c>
      <c r="CW185" s="20">
        <f t="shared" si="174"/>
        <v>6.5339158457064384E-12</v>
      </c>
      <c r="CX185" s="59">
        <f t="shared" si="122"/>
        <v>293.33333333333985</v>
      </c>
      <c r="CY185" s="59">
        <f ca="1">AVERAGE(OFFSET($CX$3,0,0,'Données projet'!$E$13+1,1))-AVERAGE(OFFSET($H$3,0,0,'Données projet'!$E$13+1,1))</f>
        <v>258.42493116335032</v>
      </c>
      <c r="CZ185" s="59">
        <f t="shared" si="150"/>
        <v>102.46122697336466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39.106611109478521</v>
      </c>
      <c r="DG185" s="21">
        <f>EXP(-LN(2)/25)*DG184+(1-EXP(-LN(2)/25))/(LN(2)/25)*Calculateur!DB185*Calculateur!DD185*VLOOKUP('Données projet'!$B$13,Paramètres!$A$1:$I$89,3,0)*0.475*44/12</f>
        <v>5.5040030019511166</v>
      </c>
      <c r="DH185" s="21">
        <f>EXP(-LN(2)/2)*DH184+(1-EXP(-LN(2)/2))/(LN(2)/2)*DB185*DE185*VLOOKUP('Données projet'!$B$13,Paramètres!$A$1:$I$89,3,0)*0.475*44/12</f>
        <v>5.7862486818946372E-9</v>
      </c>
      <c r="DI185" s="22">
        <f t="shared" si="175"/>
        <v>44.610614117215889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243</v>
      </c>
      <c r="DP185" s="17">
        <f>DO185*VLOOKUP('Données projet'!$B$14,Paramètres!$A$1:$I$89,3,0)*VLOOKUP('Données projet'!$B$14,Paramètres!$A$1:$I$89,5,0)</f>
        <v>212.28480000000002</v>
      </c>
      <c r="DQ185" s="13">
        <f t="shared" si="176"/>
        <v>52.434557099704193</v>
      </c>
      <c r="DR185" s="20">
        <f t="shared" si="177"/>
        <v>461.05288028198476</v>
      </c>
      <c r="DS185" s="59">
        <f t="shared" si="125"/>
        <v>754.38621361531807</v>
      </c>
      <c r="DT185" s="59">
        <f ca="1">AVERAGE(OFFSET($DS$3,0,0,'Données projet'!$E$14+1,1))-AVERAGE(OFFSET($H$3,0,0,'Données projet'!$E$14+1,1))</f>
        <v>354.24684313982857</v>
      </c>
      <c r="DU185" s="59">
        <f t="shared" si="152"/>
        <v>322.65043486962185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5.3719903203287327</v>
      </c>
      <c r="EB185" s="21">
        <f>EXP(-LN(2)/25)*EB184+(1-EXP(-LN(2)/25))/(LN(2)/25)*Calculateur!DW185*Calculateur!DY185*VLOOKUP('Données projet'!$B$14,Paramètres!$A$1:$I$89,3,0)*0.475*44/12</f>
        <v>1.532963550238446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6.9049538705671782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-6.7984728957526396E-14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355.09162485318728</v>
      </c>
      <c r="T186" s="59">
        <f t="shared" si="142"/>
        <v>320.06572891923685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21.4262353141755</v>
      </c>
      <c r="AA186" s="21">
        <f>EXP(-LN(2)/25)*AA185+(1-EXP(-LN(2)/25))/(LN(2)/25)*Calculateur!V186*Calculateur!X186*VLOOKUP('Données projet'!$B$9,Paramètres!$A$1:$I$89,3,0)*0.475*44/12</f>
        <v>2.1827602111070576</v>
      </c>
      <c r="AB186" s="21">
        <f>EXP(-LN(2)/2)*AB185+(1-EXP(-LN(2)/2))/(LN(2)/2)*V186*Y186*VLOOKUP('Données projet'!$B$9,Paramètres!$A$1:$I$89,3,0)*0.475*44/12</f>
        <v>3.6653914991652336E-15</v>
      </c>
      <c r="AC186" s="22">
        <f t="shared" si="163"/>
        <v>23.608995525282563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5.1159076974727213E-13</v>
      </c>
      <c r="AJ186" s="13">
        <f>AI186*VLOOKUP('Données projet'!$B$10,Paramètres!$A$1:$I$89,3,0)*VLOOKUP('Données projet'!$B$10,Paramètres!$A$1:$I$89,5,0)</f>
        <v>2.3942448024172334E-13</v>
      </c>
      <c r="AK186" s="13">
        <f t="shared" si="164"/>
        <v>3.2492669905861755E-12</v>
      </c>
      <c r="AL186" s="20">
        <f t="shared" si="165"/>
        <v>6.0761376450252565E-12</v>
      </c>
      <c r="AM186" s="59">
        <f t="shared" si="113"/>
        <v>293.3333333333394</v>
      </c>
      <c r="AN186" s="59">
        <f ca="1">AVERAGE(OFFSET($AM$3,0,0,'Données projet'!$E$10+1,1))-AVERAGE(OFFSET($H$3,0,0,'Données projet'!$E$10+1,1))</f>
        <v>246.72166704460847</v>
      </c>
      <c r="AO186" s="59">
        <f t="shared" si="144"/>
        <v>145.54897745089966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30.882712665507903</v>
      </c>
      <c r="AV186" s="21">
        <f>EXP(-LN(2)/25)*AV185+(1-EXP(-LN(2)/25))/(LN(2)/25)*Calculateur!AQ186*Calculateur!AS186*VLOOKUP('Données projet'!$B$10,Paramètres!$A$1:$I$89,3,0)*0.475*44/12</f>
        <v>4.2727462184708465</v>
      </c>
      <c r="AW186" s="21">
        <f>EXP(-LN(2)/2)*AW185+(1-EXP(-LN(2)/2))/(LN(2)/2)*AQ186*AT186*VLOOKUP('Données projet'!$B$10,Paramètres!$A$1:$I$89,3,0)*0.475*44/12</f>
        <v>1.3350428580243431E-10</v>
      </c>
      <c r="AX186" s="21">
        <f t="shared" si="166"/>
        <v>35.155458884112257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88.478637356802039</v>
      </c>
      <c r="BJ186" s="59">
        <f t="shared" si="146"/>
        <v>239.55411297259155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1.7888496342188298</v>
      </c>
      <c r="BQ186" s="21">
        <f>EXP(-LN(2)/25)*BQ185+(1-EXP(-LN(2)/25))/(LN(2)/25)*Calculateur!BL186*Calculateur!BN186*VLOOKUP('Données projet'!$B$11,Paramètres!$A$1:$I$89,3,0)*0.475*44/12</f>
        <v>0.10497305094669593</v>
      </c>
      <c r="BR186" s="21">
        <f>EXP(-LN(2)/2)*BR185+(1-EXP(-LN(2)/2))/(LN(2)/2)*BL186*BO186*VLOOKUP('Données projet'!$B$11,Paramètres!$A$1:$I$89,3,0)*0.475*44/12</f>
        <v>4.0236299799575065E-24</v>
      </c>
      <c r="BS186" s="22">
        <f t="shared" si="169"/>
        <v>1.8938226851655258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2.4358974358974401</v>
      </c>
      <c r="BY186" s="12">
        <f>IF('Données projet'!$A$114&gt;35,BY185+BX186-CG185,IF(A186&lt;'Données projet'!$A$114,$BV$205^A186,IF(A186='Données projet'!$A$114,'Données projet'!$B$114,BY185+BX186-CG185)))</f>
        <v>180.17307692307756</v>
      </c>
      <c r="BZ186" s="13">
        <f>BY186*VLOOKUP('Données projet'!$B$12,Paramètres!$A$1:$I$89,3,0)*VLOOKUP('Données projet'!$B$12,Paramètres!$A$1:$I$89,5,0)</f>
        <v>163.02060000000057</v>
      </c>
      <c r="CA186" s="13">
        <f t="shared" si="170"/>
        <v>41.523076796344697</v>
      </c>
      <c r="CB186" s="20">
        <f t="shared" si="171"/>
        <v>356.24690375363463</v>
      </c>
      <c r="CC186" s="59">
        <f t="shared" si="119"/>
        <v>649.58023708696794</v>
      </c>
      <c r="CD186" s="59">
        <f ca="1">AVERAGE(OFFSET($CC$3,0,0,'Données projet'!$E$12+1,1))-AVERAGE(OFFSET($H$3,0,0,'Données projet'!$E$12+1,1))</f>
        <v>437.94387006020412</v>
      </c>
      <c r="CE186" s="59">
        <f t="shared" si="148"/>
        <v>213.95083535531376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141.2518227392134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141.2518227392134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5.4001247917767614E-13</v>
      </c>
      <c r="CU186" s="17">
        <f>CT186*VLOOKUP('Données projet'!$B$13,Paramètres!$A$1:$I$89,3,0)*VLOOKUP('Données projet'!$B$13,Paramètres!$A$1:$I$89,5,0)</f>
        <v>2.5974600248446226E-13</v>
      </c>
      <c r="CV186" s="13">
        <f t="shared" si="173"/>
        <v>3.4917846266292826E-12</v>
      </c>
      <c r="CW186" s="20">
        <f t="shared" si="174"/>
        <v>6.5339158457064384E-12</v>
      </c>
      <c r="CX186" s="59">
        <f t="shared" si="122"/>
        <v>293.33333333333985</v>
      </c>
      <c r="CY186" s="59">
        <f ca="1">AVERAGE(OFFSET($CX$3,0,0,'Données projet'!$E$13+1,1))-AVERAGE(OFFSET($H$3,0,0,'Données projet'!$E$13+1,1))</f>
        <v>258.42493116335032</v>
      </c>
      <c r="CZ186" s="59">
        <f t="shared" si="150"/>
        <v>102.46122697336466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38.339754318299171</v>
      </c>
      <c r="DG186" s="21">
        <f>EXP(-LN(2)/25)*DG185+(1-EXP(-LN(2)/25))/(LN(2)/25)*Calculateur!DB186*Calculateur!DD186*VLOOKUP('Données projet'!$B$13,Paramètres!$A$1:$I$89,3,0)*0.475*44/12</f>
        <v>5.3534957504198246</v>
      </c>
      <c r="DH186" s="21">
        <f>EXP(-LN(2)/2)*DH185+(1-EXP(-LN(2)/2))/(LN(2)/2)*DB186*DE186*VLOOKUP('Données projet'!$B$13,Paramètres!$A$1:$I$89,3,0)*0.475*44/12</f>
        <v>4.0914956805994201E-9</v>
      </c>
      <c r="DI186" s="22">
        <f t="shared" si="175"/>
        <v>43.693250072810493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243</v>
      </c>
      <c r="DP186" s="17">
        <f>DO186*VLOOKUP('Données projet'!$B$14,Paramètres!$A$1:$I$89,3,0)*VLOOKUP('Données projet'!$B$14,Paramètres!$A$1:$I$89,5,0)</f>
        <v>212.28480000000002</v>
      </c>
      <c r="DQ186" s="13">
        <f t="shared" si="176"/>
        <v>52.434557099704193</v>
      </c>
      <c r="DR186" s="20">
        <f t="shared" si="177"/>
        <v>461.05288028198476</v>
      </c>
      <c r="DS186" s="59">
        <f t="shared" si="125"/>
        <v>754.38621361531807</v>
      </c>
      <c r="DT186" s="59">
        <f ca="1">AVERAGE(OFFSET($DS$3,0,0,'Données projet'!$E$14+1,1))-AVERAGE(OFFSET($H$3,0,0,'Données projet'!$E$14+1,1))</f>
        <v>354.24684313982857</v>
      </c>
      <c r="DU186" s="59">
        <f t="shared" si="152"/>
        <v>322.65043486962185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5.2666488667376452</v>
      </c>
      <c r="EB186" s="21">
        <f>EXP(-LN(2)/25)*EB185+(1-EXP(-LN(2)/25))/(LN(2)/25)*Calculateur!DW186*Calculateur!DY186*VLOOKUP('Données projet'!$B$14,Paramètres!$A$1:$I$89,3,0)*0.475*44/12</f>
        <v>1.4910445813421263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6.7576934480797712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-6.7984728957526396E-14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355.09162485318728</v>
      </c>
      <c r="T187" s="59">
        <f t="shared" si="142"/>
        <v>320.06572891923685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21.006079908377632</v>
      </c>
      <c r="AA187" s="21">
        <f>EXP(-LN(2)/25)*AA186+(1-EXP(-LN(2)/25))/(LN(2)/25)*Calculateur!V187*Calculateur!X187*VLOOKUP('Données projet'!$B$9,Paramètres!$A$1:$I$89,3,0)*0.475*44/12</f>
        <v>2.1230725183479646</v>
      </c>
      <c r="AB187" s="21">
        <f>EXP(-LN(2)/2)*AB186+(1-EXP(-LN(2)/2))/(LN(2)/2)*V187*Y187*VLOOKUP('Données projet'!$B$9,Paramètres!$A$1:$I$89,3,0)*0.475*44/12</f>
        <v>2.5918231847632622E-15</v>
      </c>
      <c r="AC187" s="22">
        <f t="shared" si="163"/>
        <v>23.1291524267256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5.1159076974727213E-13</v>
      </c>
      <c r="AJ187" s="13">
        <f>AI187*VLOOKUP('Données projet'!$B$10,Paramètres!$A$1:$I$89,3,0)*VLOOKUP('Données projet'!$B$10,Paramètres!$A$1:$I$89,5,0)</f>
        <v>2.3942448024172334E-13</v>
      </c>
      <c r="AK187" s="13">
        <f t="shared" si="164"/>
        <v>3.2492669905861755E-12</v>
      </c>
      <c r="AL187" s="20">
        <f t="shared" si="165"/>
        <v>6.0761376450252565E-12</v>
      </c>
      <c r="AM187" s="59">
        <f t="shared" si="113"/>
        <v>293.3333333333394</v>
      </c>
      <c r="AN187" s="59">
        <f ca="1">AVERAGE(OFFSET($AM$3,0,0,'Données projet'!$E$10+1,1))-AVERAGE(OFFSET($H$3,0,0,'Données projet'!$E$10+1,1))</f>
        <v>246.72166704460847</v>
      </c>
      <c r="AO187" s="59">
        <f t="shared" si="144"/>
        <v>145.54897745089966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30.277121506732058</v>
      </c>
      <c r="AV187" s="21">
        <f>EXP(-LN(2)/25)*AV186+(1-EXP(-LN(2)/25))/(LN(2)/25)*Calculateur!AQ187*Calculateur!AS187*VLOOKUP('Données projet'!$B$10,Paramètres!$A$1:$I$89,3,0)*0.475*44/12</f>
        <v>4.1559077484328029</v>
      </c>
      <c r="AW187" s="21">
        <f>EXP(-LN(2)/2)*AW186+(1-EXP(-LN(2)/2))/(LN(2)/2)*AQ187*AT187*VLOOKUP('Données projet'!$B$10,Paramètres!$A$1:$I$89,3,0)*0.475*44/12</f>
        <v>9.440178580836822E-11</v>
      </c>
      <c r="AX187" s="21">
        <f t="shared" si="166"/>
        <v>34.433029255259264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88.478637356802039</v>
      </c>
      <c r="BJ187" s="59">
        <f t="shared" si="146"/>
        <v>239.55411297259155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1.7537713839823392</v>
      </c>
      <c r="BQ187" s="21">
        <f>EXP(-LN(2)/25)*BQ186+(1-EXP(-LN(2)/25))/(LN(2)/25)*Calculateur!BL187*Calculateur!BN187*VLOOKUP('Données projet'!$B$11,Paramètres!$A$1:$I$89,3,0)*0.475*44/12</f>
        <v>0.1021025573482657</v>
      </c>
      <c r="BR187" s="21">
        <f>EXP(-LN(2)/2)*BR186+(1-EXP(-LN(2)/2))/(LN(2)/2)*BL187*BO187*VLOOKUP('Données projet'!$B$11,Paramètres!$A$1:$I$89,3,0)*0.475*44/12</f>
        <v>2.8451360438134452E-24</v>
      </c>
      <c r="BS187" s="22">
        <f t="shared" si="169"/>
        <v>1.8558739413306049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>
        <f>VLOOKUP(A187,'Données projet'!$A$113:$I$133,2,0)</f>
        <v>182.60897435897436</v>
      </c>
      <c r="BW187" s="12">
        <f>VLOOKUP(A187,'Données projet'!$A$113:$I$133,9,0)</f>
        <v>2.4358974358974401</v>
      </c>
      <c r="BX187" s="12">
        <f t="array" ref="BX187">INDEX(BW:BW,MIN(IF(ISNUMBER(BW187:BW383),ROW(BW187:BW383),"")))</f>
        <v>2.4358974358974401</v>
      </c>
      <c r="BY187" s="12">
        <f>IF('Données projet'!$A$114&gt;35,BY186+BX187-CG186,IF(A187&lt;'Données projet'!$A$114,$BV$205^A187,IF(A187='Données projet'!$A$114,'Données projet'!$B$114,BY186+BX187-CG186)))</f>
        <v>182.60897435897499</v>
      </c>
      <c r="BZ187" s="13">
        <f>BY187*VLOOKUP('Données projet'!$B$12,Paramètres!$A$1:$I$89,3,0)*VLOOKUP('Données projet'!$B$12,Paramètres!$A$1:$I$89,5,0)</f>
        <v>165.22460000000058</v>
      </c>
      <c r="CA187" s="13">
        <f t="shared" si="170"/>
        <v>42.018725741121635</v>
      </c>
      <c r="CB187" s="20">
        <f t="shared" si="171"/>
        <v>360.94879233245456</v>
      </c>
      <c r="CC187" s="59">
        <f t="shared" si="119"/>
        <v>654.28212566578782</v>
      </c>
      <c r="CD187" s="59">
        <f ca="1">AVERAGE(OFFSET($CC$3,0,0,'Données projet'!$E$12+1,1))-AVERAGE(OFFSET($H$3,0,0,'Données projet'!$E$12+1,1))</f>
        <v>437.94387006020412</v>
      </c>
      <c r="CE187" s="59">
        <f t="shared" si="148"/>
        <v>213.95083535531376</v>
      </c>
      <c r="CF187" s="15">
        <f>IF(ISNA(VLOOKUP(A187,'Données projet'!$A$113:$I$133,3,0)),0,VLOOKUP(A187,'Données projet'!$A$113:$I$133,3,0))</f>
        <v>18</v>
      </c>
      <c r="CG187" s="15">
        <f>IF(ISNA(VLOOKUP(A187,'Données projet'!$A$113:$I$133,4,0)),0,VLOOKUP(A187,'Données projet'!$A$113:$I$133,4,0))</f>
        <v>62.82692307692308</v>
      </c>
      <c r="CH187" s="16">
        <f>IF(ISNA(VLOOKUP(A187,'Données projet'!$A$113:$I$133,5,0)),0%,VLOOKUP(A187,'Données projet'!$A$113:$I$133,5,0)*VLOOKUP('Données projet'!$B$12,Paramètres!$A$1:$I$89,7,0))</f>
        <v>0.38700000000000001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162.80156236543274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162.80156236543274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5.4001247917767614E-13</v>
      </c>
      <c r="CU187" s="17">
        <f>CT187*VLOOKUP('Données projet'!$B$13,Paramètres!$A$1:$I$89,3,0)*VLOOKUP('Données projet'!$B$13,Paramètres!$A$1:$I$89,5,0)</f>
        <v>2.5974600248446226E-13</v>
      </c>
      <c r="CV187" s="13">
        <f t="shared" si="173"/>
        <v>3.4917846266292826E-12</v>
      </c>
      <c r="CW187" s="20">
        <f t="shared" si="174"/>
        <v>6.5339158457064384E-12</v>
      </c>
      <c r="CX187" s="59">
        <f t="shared" si="122"/>
        <v>293.33333333333985</v>
      </c>
      <c r="CY187" s="59">
        <f ca="1">AVERAGE(OFFSET($CX$3,0,0,'Données projet'!$E$13+1,1))-AVERAGE(OFFSET($H$3,0,0,'Données projet'!$E$13+1,1))</f>
        <v>258.42493116335032</v>
      </c>
      <c r="CZ187" s="59">
        <f t="shared" si="150"/>
        <v>102.46122697336466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37.587935121058386</v>
      </c>
      <c r="DG187" s="21">
        <f>EXP(-LN(2)/25)*DG186+(1-EXP(-LN(2)/25))/(LN(2)/25)*Calculateur!DB187*Calculateur!DD187*VLOOKUP('Données projet'!$B$13,Paramètres!$A$1:$I$89,3,0)*0.475*44/12</f>
        <v>5.2071041275964882</v>
      </c>
      <c r="DH187" s="21">
        <f>EXP(-LN(2)/2)*DH186+(1-EXP(-LN(2)/2))/(LN(2)/2)*DB187*DE187*VLOOKUP('Données projet'!$B$13,Paramètres!$A$1:$I$89,3,0)*0.475*44/12</f>
        <v>2.8931243409473186E-9</v>
      </c>
      <c r="DI187" s="22">
        <f t="shared" si="175"/>
        <v>42.795039251547998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243</v>
      </c>
      <c r="DP187" s="17">
        <f>DO187*VLOOKUP('Données projet'!$B$14,Paramètres!$A$1:$I$89,3,0)*VLOOKUP('Données projet'!$B$14,Paramètres!$A$1:$I$89,5,0)</f>
        <v>212.28480000000002</v>
      </c>
      <c r="DQ187" s="13">
        <f t="shared" si="176"/>
        <v>52.434557099704193</v>
      </c>
      <c r="DR187" s="20">
        <f t="shared" si="177"/>
        <v>461.05288028198476</v>
      </c>
      <c r="DS187" s="59">
        <f t="shared" si="125"/>
        <v>754.38621361531807</v>
      </c>
      <c r="DT187" s="59">
        <f ca="1">AVERAGE(OFFSET($DS$3,0,0,'Données projet'!$E$14+1,1))-AVERAGE(OFFSET($H$3,0,0,'Données projet'!$E$14+1,1))</f>
        <v>354.24684313982857</v>
      </c>
      <c r="DU187" s="59">
        <f t="shared" si="152"/>
        <v>322.65043486962185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5.1633730947995362</v>
      </c>
      <c r="EB187" s="21">
        <f>EXP(-LN(2)/25)*EB186+(1-EXP(-LN(2)/25))/(LN(2)/25)*Calculateur!DW187*Calculateur!DY187*VLOOKUP('Données projet'!$B$14,Paramètres!$A$1:$I$89,3,0)*0.475*44/12</f>
        <v>1.450271888854699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6.6136449836542353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-6.7984728957526396E-14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355.09162485318728</v>
      </c>
      <c r="T188" s="59">
        <f t="shared" si="142"/>
        <v>320.06572891923685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20.594163493817966</v>
      </c>
      <c r="AA188" s="21">
        <f>EXP(-LN(2)/25)*AA187+(1-EXP(-LN(2)/25))/(LN(2)/25)*Calculateur!V188*Calculateur!X188*VLOOKUP('Données projet'!$B$9,Paramètres!$A$1:$I$89,3,0)*0.475*44/12</f>
        <v>2.065016988686208</v>
      </c>
      <c r="AB188" s="21">
        <f>EXP(-LN(2)/2)*AB187+(1-EXP(-LN(2)/2))/(LN(2)/2)*V188*Y188*VLOOKUP('Données projet'!$B$9,Paramètres!$A$1:$I$89,3,0)*0.475*44/12</f>
        <v>1.8326957495826168E-15</v>
      </c>
      <c r="AC188" s="22">
        <f t="shared" si="163"/>
        <v>22.659180482504176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5.1159076974727213E-13</v>
      </c>
      <c r="AJ188" s="13">
        <f>AI188*VLOOKUP('Données projet'!$B$10,Paramètres!$A$1:$I$89,3,0)*VLOOKUP('Données projet'!$B$10,Paramètres!$A$1:$I$89,5,0)</f>
        <v>2.3942448024172334E-13</v>
      </c>
      <c r="AK188" s="13">
        <f t="shared" si="164"/>
        <v>3.2492669905861755E-12</v>
      </c>
      <c r="AL188" s="20">
        <f t="shared" si="165"/>
        <v>6.0761376450252565E-12</v>
      </c>
      <c r="AM188" s="59">
        <f t="shared" si="113"/>
        <v>293.3333333333394</v>
      </c>
      <c r="AN188" s="59">
        <f ca="1">AVERAGE(OFFSET($AM$3,0,0,'Données projet'!$E$10+1,1))-AVERAGE(OFFSET($H$3,0,0,'Données projet'!$E$10+1,1))</f>
        <v>246.72166704460847</v>
      </c>
      <c r="AO188" s="59">
        <f t="shared" si="144"/>
        <v>145.54897745089966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29.683405621205676</v>
      </c>
      <c r="AV188" s="21">
        <f>EXP(-LN(2)/25)*AV187+(1-EXP(-LN(2)/25))/(LN(2)/25)*Calculateur!AQ188*Calculateur!AS188*VLOOKUP('Données projet'!$B$10,Paramètres!$A$1:$I$89,3,0)*0.475*44/12</f>
        <v>4.0422642325022178</v>
      </c>
      <c r="AW188" s="21">
        <f>EXP(-LN(2)/2)*AW187+(1-EXP(-LN(2)/2))/(LN(2)/2)*AQ188*AT188*VLOOKUP('Données projet'!$B$10,Paramètres!$A$1:$I$89,3,0)*0.475*44/12</f>
        <v>6.6752142901217153E-11</v>
      </c>
      <c r="AX188" s="21">
        <f t="shared" si="166"/>
        <v>33.725669853774647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88.478637356802039</v>
      </c>
      <c r="BJ188" s="59">
        <f t="shared" si="146"/>
        <v>239.55411297259155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1.7193809968373661</v>
      </c>
      <c r="BQ188" s="21">
        <f>EXP(-LN(2)/25)*BQ187+(1-EXP(-LN(2)/25))/(LN(2)/25)*Calculateur!BL188*Calculateur!BN188*VLOOKUP('Données projet'!$B$11,Paramètres!$A$1:$I$89,3,0)*0.475*44/12</f>
        <v>9.9310557548237241E-2</v>
      </c>
      <c r="BR188" s="21">
        <f>EXP(-LN(2)/2)*BR187+(1-EXP(-LN(2)/2))/(LN(2)/2)*BL188*BO188*VLOOKUP('Données projet'!$B$11,Paramètres!$A$1:$I$89,3,0)*0.475*44/12</f>
        <v>2.0118149899787532E-24</v>
      </c>
      <c r="BS188" s="22">
        <f t="shared" si="169"/>
        <v>1.8186915543856033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1.4935897435897421</v>
      </c>
      <c r="BY188" s="12">
        <f>IF('Données projet'!$A$114&gt;35,BY187+BX188-CG187,IF(A188&lt;'Données projet'!$A$114,$BV$205^A188,IF(A188='Données projet'!$A$114,'Données projet'!$B$114,BY187+BX188-CG187)))</f>
        <v>121.27564102564166</v>
      </c>
      <c r="BZ188" s="13">
        <f>BY188*VLOOKUP('Données projet'!$B$12,Paramètres!$A$1:$I$89,3,0)*VLOOKUP('Données projet'!$B$12,Paramètres!$A$1:$I$89,5,0)</f>
        <v>109.73020000000056</v>
      </c>
      <c r="CA188" s="13">
        <f t="shared" si="170"/>
        <v>29.26740850579769</v>
      </c>
      <c r="CB188" s="20">
        <f t="shared" si="171"/>
        <v>242.08750148093193</v>
      </c>
      <c r="CC188" s="59">
        <f t="shared" si="119"/>
        <v>535.42083481426528</v>
      </c>
      <c r="CD188" s="59">
        <f ca="1">AVERAGE(OFFSET($CC$3,0,0,'Données projet'!$E$12+1,1))-AVERAGE(OFFSET($H$3,0,0,'Données projet'!$E$12+1,1))</f>
        <v>437.94387006020412</v>
      </c>
      <c r="CE188" s="59">
        <f t="shared" si="148"/>
        <v>213.95083535531376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159.60912302659469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159.60912302659469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5.4001247917767614E-13</v>
      </c>
      <c r="CU188" s="17">
        <f>CT188*VLOOKUP('Données projet'!$B$13,Paramètres!$A$1:$I$89,3,0)*VLOOKUP('Données projet'!$B$13,Paramètres!$A$1:$I$89,5,0)</f>
        <v>2.5974600248446226E-13</v>
      </c>
      <c r="CV188" s="13">
        <f t="shared" si="173"/>
        <v>3.4917846266292826E-12</v>
      </c>
      <c r="CW188" s="20">
        <f t="shared" si="174"/>
        <v>6.5339158457064384E-12</v>
      </c>
      <c r="CX188" s="59">
        <f t="shared" si="122"/>
        <v>293.33333333333985</v>
      </c>
      <c r="CY188" s="59">
        <f ca="1">AVERAGE(OFFSET($CX$3,0,0,'Données projet'!$E$13+1,1))-AVERAGE(OFFSET($H$3,0,0,'Données projet'!$E$13+1,1))</f>
        <v>258.42493116335032</v>
      </c>
      <c r="CZ188" s="59">
        <f t="shared" si="150"/>
        <v>102.46122697336466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36.850858639711063</v>
      </c>
      <c r="DG188" s="21">
        <f>EXP(-LN(2)/25)*DG187+(1-EXP(-LN(2)/25))/(LN(2)/25)*Calculateur!DB188*Calculateur!DD188*VLOOKUP('Données projet'!$B$13,Paramètres!$A$1:$I$89,3,0)*0.475*44/12</f>
        <v>5.0647155913976576</v>
      </c>
      <c r="DH188" s="21">
        <f>EXP(-LN(2)/2)*DH187+(1-EXP(-LN(2)/2))/(LN(2)/2)*DB188*DE188*VLOOKUP('Données projet'!$B$13,Paramètres!$A$1:$I$89,3,0)*0.475*44/12</f>
        <v>2.0457478402997101E-9</v>
      </c>
      <c r="DI188" s="22">
        <f t="shared" si="175"/>
        <v>41.915574233154466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243</v>
      </c>
      <c r="DP188" s="17">
        <f>DO188*VLOOKUP('Données projet'!$B$14,Paramètres!$A$1:$I$89,3,0)*VLOOKUP('Données projet'!$B$14,Paramètres!$A$1:$I$89,5,0)</f>
        <v>212.28480000000002</v>
      </c>
      <c r="DQ188" s="13">
        <f t="shared" si="176"/>
        <v>52.434557099704193</v>
      </c>
      <c r="DR188" s="20">
        <f t="shared" si="177"/>
        <v>461.05288028198476</v>
      </c>
      <c r="DS188" s="59">
        <f t="shared" si="125"/>
        <v>754.38621361531807</v>
      </c>
      <c r="DT188" s="59">
        <f ca="1">AVERAGE(OFFSET($DS$3,0,0,'Données projet'!$E$14+1,1))-AVERAGE(OFFSET($H$3,0,0,'Données projet'!$E$14+1,1))</f>
        <v>354.24684313982857</v>
      </c>
      <c r="DU188" s="59">
        <f t="shared" si="152"/>
        <v>322.65043486962185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5.0621224977571329</v>
      </c>
      <c r="EB188" s="21">
        <f>EXP(-LN(2)/25)*EB187+(1-EXP(-LN(2)/25))/(LN(2)/25)*Calculateur!DW188*Calculateur!DY188*VLOOKUP('Données projet'!$B$14,Paramètres!$A$1:$I$89,3,0)*0.475*44/12</f>
        <v>1.4106141277874833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6.4727366255446164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-6.7984728957526396E-14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355.09162485318728</v>
      </c>
      <c r="T189" s="59">
        <f t="shared" si="142"/>
        <v>320.06572891923685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20.190324508903611</v>
      </c>
      <c r="AA189" s="21">
        <f>EXP(-LN(2)/25)*AA188+(1-EXP(-LN(2)/25))/(LN(2)/25)*Calculateur!V189*Calculateur!X189*VLOOKUP('Données projet'!$B$9,Paramètres!$A$1:$I$89,3,0)*0.475*44/12</f>
        <v>2.0085489905360601</v>
      </c>
      <c r="AB189" s="21">
        <f>EXP(-LN(2)/2)*AB188+(1-EXP(-LN(2)/2))/(LN(2)/2)*V189*Y189*VLOOKUP('Données projet'!$B$9,Paramètres!$A$1:$I$89,3,0)*0.475*44/12</f>
        <v>1.2959115923816311E-15</v>
      </c>
      <c r="AC189" s="22">
        <f t="shared" si="163"/>
        <v>22.198873499439671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5.1159076974727213E-13</v>
      </c>
      <c r="AJ189" s="13">
        <f>AI189*VLOOKUP('Données projet'!$B$10,Paramètres!$A$1:$I$89,3,0)*VLOOKUP('Données projet'!$B$10,Paramètres!$A$1:$I$89,5,0)</f>
        <v>2.3942448024172334E-13</v>
      </c>
      <c r="AK189" s="13">
        <f t="shared" si="164"/>
        <v>3.2492669905861755E-12</v>
      </c>
      <c r="AL189" s="20">
        <f t="shared" si="165"/>
        <v>6.0761376450252565E-12</v>
      </c>
      <c r="AM189" s="59">
        <f t="shared" si="113"/>
        <v>293.3333333333394</v>
      </c>
      <c r="AN189" s="59">
        <f ca="1">AVERAGE(OFFSET($AM$3,0,0,'Données projet'!$E$10+1,1))-AVERAGE(OFFSET($H$3,0,0,'Données projet'!$E$10+1,1))</f>
        <v>246.72166704460847</v>
      </c>
      <c r="AO189" s="59">
        <f t="shared" si="144"/>
        <v>145.54897745089966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29.101332142063534</v>
      </c>
      <c r="AV189" s="21">
        <f>EXP(-LN(2)/25)*AV188+(1-EXP(-LN(2)/25))/(LN(2)/25)*Calculateur!AQ189*Calculateur!AS189*VLOOKUP('Données projet'!$B$10,Paramètres!$A$1:$I$89,3,0)*0.475*44/12</f>
        <v>3.9317283044910072</v>
      </c>
      <c r="AW189" s="21">
        <f>EXP(-LN(2)/2)*AW188+(1-EXP(-LN(2)/2))/(LN(2)/2)*AQ189*AT189*VLOOKUP('Données projet'!$B$10,Paramètres!$A$1:$I$89,3,0)*0.475*44/12</f>
        <v>4.720089290418411E-11</v>
      </c>
      <c r="AX189" s="21">
        <f t="shared" si="166"/>
        <v>33.033060446601745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88.478637356802039</v>
      </c>
      <c r="BJ189" s="59">
        <f t="shared" si="146"/>
        <v>239.55411297259155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1.685664984208241</v>
      </c>
      <c r="BQ189" s="21">
        <f>EXP(-LN(2)/25)*BQ188+(1-EXP(-LN(2)/25))/(LN(2)/25)*Calculateur!BL189*Calculateur!BN189*VLOOKUP('Données projet'!$B$11,Paramètres!$A$1:$I$89,3,0)*0.475*44/12</f>
        <v>9.659490512956545E-2</v>
      </c>
      <c r="BR189" s="21">
        <f>EXP(-LN(2)/2)*BR188+(1-EXP(-LN(2)/2))/(LN(2)/2)*BL189*BO189*VLOOKUP('Données projet'!$B$11,Paramètres!$A$1:$I$89,3,0)*0.475*44/12</f>
        <v>1.4225680219067226E-24</v>
      </c>
      <c r="BS189" s="22">
        <f t="shared" si="169"/>
        <v>1.7822598893378063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1.4935897435897421</v>
      </c>
      <c r="BY189" s="12">
        <f>IF('Données projet'!$A$114&gt;35,BY188+BX189-CG188,IF(A189&lt;'Données projet'!$A$114,$BV$205^A189,IF(A189='Données projet'!$A$114,'Données projet'!$B$114,BY188+BX189-CG188)))</f>
        <v>122.7692307692314</v>
      </c>
      <c r="BZ189" s="13">
        <f>BY189*VLOOKUP('Données projet'!$B$12,Paramètres!$A$1:$I$89,3,0)*VLOOKUP('Données projet'!$B$12,Paramètres!$A$1:$I$89,5,0)</f>
        <v>111.08160000000056</v>
      </c>
      <c r="CA189" s="13">
        <f t="shared" si="170"/>
        <v>29.585672667416791</v>
      </c>
      <c r="CB189" s="20">
        <f t="shared" si="171"/>
        <v>244.99549989575189</v>
      </c>
      <c r="CC189" s="59">
        <f t="shared" si="119"/>
        <v>538.32883322908515</v>
      </c>
      <c r="CD189" s="59">
        <f ca="1">AVERAGE(OFFSET($CC$3,0,0,'Données projet'!$E$12+1,1))-AVERAGE(OFFSET($H$3,0,0,'Données projet'!$E$12+1,1))</f>
        <v>437.94387006020412</v>
      </c>
      <c r="CE189" s="59">
        <f t="shared" si="148"/>
        <v>213.95083535531376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156.47928547599551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156.47928547599551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5.4001247917767614E-13</v>
      </c>
      <c r="CU189" s="17">
        <f>CT189*VLOOKUP('Données projet'!$B$13,Paramètres!$A$1:$I$89,3,0)*VLOOKUP('Données projet'!$B$13,Paramètres!$A$1:$I$89,5,0)</f>
        <v>2.5974600248446226E-13</v>
      </c>
      <c r="CV189" s="13">
        <f t="shared" si="173"/>
        <v>3.4917846266292826E-12</v>
      </c>
      <c r="CW189" s="20">
        <f t="shared" si="174"/>
        <v>6.5339158457064384E-12</v>
      </c>
      <c r="CX189" s="59">
        <f t="shared" si="122"/>
        <v>293.33333333333985</v>
      </c>
      <c r="CY189" s="59">
        <f ca="1">AVERAGE(OFFSET($CX$3,0,0,'Données projet'!$E$13+1,1))-AVERAGE(OFFSET($H$3,0,0,'Données projet'!$E$13+1,1))</f>
        <v>258.42493116335032</v>
      </c>
      <c r="CZ189" s="59">
        <f t="shared" si="150"/>
        <v>102.46122697336466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36.1282357785907</v>
      </c>
      <c r="DG189" s="21">
        <f>EXP(-LN(2)/25)*DG188+(1-EXP(-LN(2)/25))/(LN(2)/25)*Calculateur!DB189*Calculateur!DD189*VLOOKUP('Données projet'!$B$13,Paramètres!$A$1:$I$89,3,0)*0.475*44/12</f>
        <v>4.9262206772090709</v>
      </c>
      <c r="DH189" s="21">
        <f>EXP(-LN(2)/2)*DH188+(1-EXP(-LN(2)/2))/(LN(2)/2)*DB189*DE189*VLOOKUP('Données projet'!$B$13,Paramètres!$A$1:$I$89,3,0)*0.475*44/12</f>
        <v>1.4465621704736593E-9</v>
      </c>
      <c r="DI189" s="22">
        <f t="shared" si="175"/>
        <v>41.054456457246339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243</v>
      </c>
      <c r="DP189" s="17">
        <f>DO189*VLOOKUP('Données projet'!$B$14,Paramètres!$A$1:$I$89,3,0)*VLOOKUP('Données projet'!$B$14,Paramètres!$A$1:$I$89,5,0)</f>
        <v>212.28480000000002</v>
      </c>
      <c r="DQ189" s="13">
        <f t="shared" si="176"/>
        <v>52.434557099704193</v>
      </c>
      <c r="DR189" s="20">
        <f t="shared" si="177"/>
        <v>461.05288028198476</v>
      </c>
      <c r="DS189" s="59">
        <f t="shared" si="125"/>
        <v>754.38621361531807</v>
      </c>
      <c r="DT189" s="59">
        <f ca="1">AVERAGE(OFFSET($DS$3,0,0,'Données projet'!$E$14+1,1))-AVERAGE(OFFSET($H$3,0,0,'Données projet'!$E$14+1,1))</f>
        <v>354.24684313982857</v>
      </c>
      <c r="DU189" s="59">
        <f t="shared" si="152"/>
        <v>322.65043486962185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4.9628573631659654</v>
      </c>
      <c r="EB189" s="21">
        <f>EXP(-LN(2)/25)*EB188+(1-EXP(-LN(2)/25))/(LN(2)/25)*Calculateur!DW189*Calculateur!DY189*VLOOKUP('Données projet'!$B$14,Paramètres!$A$1:$I$89,3,0)*0.475*44/12</f>
        <v>1.3720408102821615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6.3348981734481269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-6.7984728957526396E-14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355.09162485318728</v>
      </c>
      <c r="T190" s="59">
        <f t="shared" si="142"/>
        <v>320.06572891923685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19.794404560165969</v>
      </c>
      <c r="AA190" s="21">
        <f>EXP(-LN(2)/25)*AA189+(1-EXP(-LN(2)/25))/(LN(2)/25)*Calculateur!V190*Calculateur!X190*VLOOKUP('Données projet'!$B$9,Paramètres!$A$1:$I$89,3,0)*0.475*44/12</f>
        <v>1.9536251127648507</v>
      </c>
      <c r="AB190" s="21">
        <f>EXP(-LN(2)/2)*AB189+(1-EXP(-LN(2)/2))/(LN(2)/2)*V190*Y190*VLOOKUP('Données projet'!$B$9,Paramètres!$A$1:$I$89,3,0)*0.475*44/12</f>
        <v>9.163478747913084E-16</v>
      </c>
      <c r="AC190" s="22">
        <f t="shared" si="163"/>
        <v>21.748029672930819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5.1159076974727213E-13</v>
      </c>
      <c r="AJ190" s="13">
        <f>AI190*VLOOKUP('Données projet'!$B$10,Paramètres!$A$1:$I$89,3,0)*VLOOKUP('Données projet'!$B$10,Paramètres!$A$1:$I$89,5,0)</f>
        <v>2.3942448024172334E-13</v>
      </c>
      <c r="AK190" s="13">
        <f t="shared" si="164"/>
        <v>3.2492669905861755E-12</v>
      </c>
      <c r="AL190" s="20">
        <f t="shared" si="165"/>
        <v>6.0761376450252565E-12</v>
      </c>
      <c r="AM190" s="59">
        <f t="shared" si="113"/>
        <v>293.3333333333394</v>
      </c>
      <c r="AN190" s="59">
        <f ca="1">AVERAGE(OFFSET($AM$3,0,0,'Données projet'!$E$10+1,1))-AVERAGE(OFFSET($H$3,0,0,'Données projet'!$E$10+1,1))</f>
        <v>246.72166704460847</v>
      </c>
      <c r="AO190" s="59">
        <f t="shared" si="144"/>
        <v>145.54897745089966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28.530672768817603</v>
      </c>
      <c r="AV190" s="21">
        <f>EXP(-LN(2)/25)*AV189+(1-EXP(-LN(2)/25))/(LN(2)/25)*Calculateur!AQ190*Calculateur!AS190*VLOOKUP('Données projet'!$B$10,Paramètres!$A$1:$I$89,3,0)*0.475*44/12</f>
        <v>3.8242149872440954</v>
      </c>
      <c r="AW190" s="21">
        <f>EXP(-LN(2)/2)*AW189+(1-EXP(-LN(2)/2))/(LN(2)/2)*AQ190*AT190*VLOOKUP('Données projet'!$B$10,Paramètres!$A$1:$I$89,3,0)*0.475*44/12</f>
        <v>3.3376071450608576E-11</v>
      </c>
      <c r="AX190" s="21">
        <f t="shared" si="166"/>
        <v>32.354887756095074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88.478637356802039</v>
      </c>
      <c r="BJ190" s="59">
        <f t="shared" si="146"/>
        <v>239.55411297259155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1.6526101220220359</v>
      </c>
      <c r="BQ190" s="21">
        <f>EXP(-LN(2)/25)*BQ189+(1-EXP(-LN(2)/25))/(LN(2)/25)*Calculateur!BL190*Calculateur!BN190*VLOOKUP('Données projet'!$B$11,Paramètres!$A$1:$I$89,3,0)*0.475*44/12</f>
        <v>9.395351236909219E-2</v>
      </c>
      <c r="BR190" s="21">
        <f>EXP(-LN(2)/2)*BR189+(1-EXP(-LN(2)/2))/(LN(2)/2)*BL190*BO190*VLOOKUP('Données projet'!$B$11,Paramètres!$A$1:$I$89,3,0)*0.475*44/12</f>
        <v>1.0059074949893766E-24</v>
      </c>
      <c r="BS190" s="22">
        <f t="shared" si="169"/>
        <v>1.7465636343911282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>
        <f>VLOOKUP(A190,'Données projet'!$A$113:$I$133,2,0)</f>
        <v>124.26282051282051</v>
      </c>
      <c r="BW190" s="12">
        <f>VLOOKUP(A190,'Données projet'!$A$113:$I$133,9,0)</f>
        <v>1.4935897435897421</v>
      </c>
      <c r="BX190" s="12">
        <f t="array" ref="BX190">INDEX(BW:BW,MIN(IF(ISNUMBER(BW190:BW386),ROW(BW190:BW386),"")))</f>
        <v>1.4935897435897421</v>
      </c>
      <c r="BY190" s="12">
        <f>IF('Données projet'!$A$114&gt;35,BY189+BX190-CG189,IF(A190&lt;'Données projet'!$A$114,$BV$205^A190,IF(A190='Données projet'!$A$114,'Données projet'!$B$114,BY189+BX190-CG189)))</f>
        <v>124.26282051282114</v>
      </c>
      <c r="BZ190" s="13">
        <f>BY190*VLOOKUP('Données projet'!$B$12,Paramètres!$A$1:$I$89,3,0)*VLOOKUP('Données projet'!$B$12,Paramètres!$A$1:$I$89,5,0)</f>
        <v>112.43300000000056</v>
      </c>
      <c r="CA190" s="13">
        <f t="shared" si="170"/>
        <v>29.903486441494852</v>
      </c>
      <c r="CB190" s="20">
        <f t="shared" si="171"/>
        <v>247.9027138856045</v>
      </c>
      <c r="CC190" s="59">
        <f t="shared" si="119"/>
        <v>541.23604721893776</v>
      </c>
      <c r="CD190" s="59">
        <f ca="1">AVERAGE(OFFSET($CC$3,0,0,'Données projet'!$E$12+1,1))-AVERAGE(OFFSET($H$3,0,0,'Données projet'!$E$12+1,1))</f>
        <v>437.94387006020412</v>
      </c>
      <c r="CE190" s="59">
        <f t="shared" si="148"/>
        <v>213.95083535531376</v>
      </c>
      <c r="CF190" s="15">
        <f>IF(ISNA(VLOOKUP(A190,'Données projet'!$A$113:$I$133,3,0)),0,VLOOKUP(A190,'Données projet'!$A$113:$I$133,3,0))</f>
        <v>19</v>
      </c>
      <c r="CG190" s="15">
        <f>IF(ISNA(VLOOKUP(A190,'Données projet'!$A$113:$I$133,4,0)),0,VLOOKUP(A190,'Données projet'!$A$113:$I$133,4,0))</f>
        <v>124.26282051282051</v>
      </c>
      <c r="CH190" s="16">
        <f>IF(ISNA(VLOOKUP(A190,'Données projet'!$A$113:$I$133,5,0)),0%,VLOOKUP(A190,'Données projet'!$A$113:$I$133,5,0)*VLOOKUP('Données projet'!$B$12,Paramètres!$A$1:$I$89,7,0))</f>
        <v>0.38700000000000001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201.51157503819607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201.51157503819607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5.4001247917767614E-13</v>
      </c>
      <c r="CU190" s="17">
        <f>CT190*VLOOKUP('Données projet'!$B$13,Paramètres!$A$1:$I$89,3,0)*VLOOKUP('Données projet'!$B$13,Paramètres!$A$1:$I$89,5,0)</f>
        <v>2.5974600248446226E-13</v>
      </c>
      <c r="CV190" s="13">
        <f t="shared" si="173"/>
        <v>3.4917846266292826E-12</v>
      </c>
      <c r="CW190" s="20">
        <f t="shared" si="174"/>
        <v>6.5339158457064384E-12</v>
      </c>
      <c r="CX190" s="59">
        <f t="shared" si="122"/>
        <v>293.33333333333985</v>
      </c>
      <c r="CY190" s="59">
        <f ca="1">AVERAGE(OFFSET($CX$3,0,0,'Données projet'!$E$13+1,1))-AVERAGE(OFFSET($H$3,0,0,'Données projet'!$E$13+1,1))</f>
        <v>258.42493116335032</v>
      </c>
      <c r="CZ190" s="59">
        <f t="shared" si="150"/>
        <v>102.46122697336466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35.419783111020479</v>
      </c>
      <c r="DG190" s="21">
        <f>EXP(-LN(2)/25)*DG189+(1-EXP(-LN(2)/25))/(LN(2)/25)*Calculateur!DB190*Calculateur!DD190*VLOOKUP('Données projet'!$B$13,Paramètres!$A$1:$I$89,3,0)*0.475*44/12</f>
        <v>4.7915129137321024</v>
      </c>
      <c r="DH190" s="21">
        <f>EXP(-LN(2)/2)*DH189+(1-EXP(-LN(2)/2))/(LN(2)/2)*DB190*DE190*VLOOKUP('Données projet'!$B$13,Paramètres!$A$1:$I$89,3,0)*0.475*44/12</f>
        <v>1.022873920149855E-9</v>
      </c>
      <c r="DI190" s="22">
        <f t="shared" si="175"/>
        <v>40.211296025775461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243</v>
      </c>
      <c r="DP190" s="17">
        <f>DO190*VLOOKUP('Données projet'!$B$14,Paramètres!$A$1:$I$89,3,0)*VLOOKUP('Données projet'!$B$14,Paramètres!$A$1:$I$89,5,0)</f>
        <v>212.28480000000002</v>
      </c>
      <c r="DQ190" s="13">
        <f t="shared" si="176"/>
        <v>52.434557099704193</v>
      </c>
      <c r="DR190" s="20">
        <f t="shared" si="177"/>
        <v>461.05288028198476</v>
      </c>
      <c r="DS190" s="59">
        <f t="shared" si="125"/>
        <v>754.38621361531807</v>
      </c>
      <c r="DT190" s="59">
        <f ca="1">AVERAGE(OFFSET($DS$3,0,0,'Données projet'!$E$14+1,1))-AVERAGE(OFFSET($H$3,0,0,'Données projet'!$E$14+1,1))</f>
        <v>354.24684313982857</v>
      </c>
      <c r="DU190" s="59">
        <f t="shared" si="152"/>
        <v>322.65043486962185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4.8655387573183768</v>
      </c>
      <c r="EB190" s="21">
        <f>EXP(-LN(2)/25)*EB189+(1-EXP(-LN(2)/25))/(LN(2)/25)*Calculateur!DW190*Calculateur!DY190*VLOOKUP('Données projet'!$B$14,Paramètres!$A$1:$I$89,3,0)*0.475*44/12</f>
        <v>1.3345222821725053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6.2000610394908824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-6.7984728957526396E-14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355.09162485318728</v>
      </c>
      <c r="T191" s="59">
        <f t="shared" si="142"/>
        <v>320.06572891923685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19.406248360135748</v>
      </c>
      <c r="AA191" s="21">
        <f>EXP(-LN(2)/25)*AA190+(1-EXP(-LN(2)/25))/(LN(2)/25)*Calculateur!V191*Calculateur!X191*VLOOKUP('Données projet'!$B$9,Paramètres!$A$1:$I$89,3,0)*0.475*44/12</f>
        <v>1.9002031313196164</v>
      </c>
      <c r="AB191" s="21">
        <f>EXP(-LN(2)/2)*AB190+(1-EXP(-LN(2)/2))/(LN(2)/2)*V191*Y191*VLOOKUP('Données projet'!$B$9,Paramètres!$A$1:$I$89,3,0)*0.475*44/12</f>
        <v>6.4795579619081556E-16</v>
      </c>
      <c r="AC191" s="22">
        <f t="shared" si="163"/>
        <v>21.306451491455366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5.1159076974727213E-13</v>
      </c>
      <c r="AJ191" s="13">
        <f>AI191*VLOOKUP('Données projet'!$B$10,Paramètres!$A$1:$I$89,3,0)*VLOOKUP('Données projet'!$B$10,Paramètres!$A$1:$I$89,5,0)</f>
        <v>2.3942448024172334E-13</v>
      </c>
      <c r="AK191" s="13">
        <f t="shared" si="164"/>
        <v>3.2492669905861755E-12</v>
      </c>
      <c r="AL191" s="20">
        <f t="shared" si="165"/>
        <v>6.0761376450252565E-12</v>
      </c>
      <c r="AM191" s="59">
        <f t="shared" si="113"/>
        <v>293.3333333333394</v>
      </c>
      <c r="AN191" s="59">
        <f ca="1">AVERAGE(OFFSET($AM$3,0,0,'Données projet'!$E$10+1,1))-AVERAGE(OFFSET($H$3,0,0,'Données projet'!$E$10+1,1))</f>
        <v>246.72166704460847</v>
      </c>
      <c r="AO191" s="59">
        <f t="shared" si="144"/>
        <v>145.54897745089966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27.971203677813175</v>
      </c>
      <c r="AV191" s="21">
        <f>EXP(-LN(2)/25)*AV190+(1-EXP(-LN(2)/25))/(LN(2)/25)*Calculateur!AQ191*Calculateur!AS191*VLOOKUP('Données projet'!$B$10,Paramètres!$A$1:$I$89,3,0)*0.475*44/12</f>
        <v>3.7196416273111796</v>
      </c>
      <c r="AW191" s="21">
        <f>EXP(-LN(2)/2)*AW190+(1-EXP(-LN(2)/2))/(LN(2)/2)*AQ191*AT191*VLOOKUP('Données projet'!$B$10,Paramètres!$A$1:$I$89,3,0)*0.475*44/12</f>
        <v>2.3600446452092055E-11</v>
      </c>
      <c r="AX191" s="21">
        <f t="shared" si="166"/>
        <v>31.690845305147956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88.478637356802039</v>
      </c>
      <c r="BJ191" s="59">
        <f t="shared" si="146"/>
        <v>239.55411297259155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1.6202034455218273</v>
      </c>
      <c r="BQ191" s="21">
        <f>EXP(-LN(2)/25)*BQ190+(1-EXP(-LN(2)/25))/(LN(2)/25)*Calculateur!BL191*Calculateur!BN191*VLOOKUP('Données projet'!$B$11,Paramètres!$A$1:$I$89,3,0)*0.475*44/12</f>
        <v>9.1384348632558884E-2</v>
      </c>
      <c r="BR191" s="21">
        <f>EXP(-LN(2)/2)*BR190+(1-EXP(-LN(2)/2))/(LN(2)/2)*BL191*BO191*VLOOKUP('Données projet'!$B$11,Paramètres!$A$1:$I$89,3,0)*0.475*44/12</f>
        <v>7.1128401095336129E-25</v>
      </c>
      <c r="BS191" s="22">
        <f t="shared" si="169"/>
        <v>1.7115877941543862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6.2527760746888816E-13</v>
      </c>
      <c r="BZ191" s="13">
        <f>BY191*VLOOKUP('Données projet'!$B$12,Paramètres!$A$1:$I$89,3,0)*VLOOKUP('Données projet'!$B$12,Paramètres!$A$1:$I$89,5,0)</f>
        <v>5.6575117923785E-13</v>
      </c>
      <c r="CA191" s="13">
        <f t="shared" si="170"/>
        <v>6.9465941821953252E-12</v>
      </c>
      <c r="CB191" s="20">
        <f t="shared" si="171"/>
        <v>1.3084001504496114E-11</v>
      </c>
      <c r="CC191" s="59">
        <f t="shared" si="119"/>
        <v>293.33333333334639</v>
      </c>
      <c r="CD191" s="59">
        <f ca="1">AVERAGE(OFFSET($CC$3,0,0,'Données projet'!$E$12+1,1))-AVERAGE(OFFSET($H$3,0,0,'Données projet'!$E$12+1,1))</f>
        <v>437.94387006020412</v>
      </c>
      <c r="CE191" s="59">
        <f t="shared" si="148"/>
        <v>213.95083535531376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197.56005596162146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197.56005596162146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5.4001247917767614E-13</v>
      </c>
      <c r="CU191" s="17">
        <f>CT191*VLOOKUP('Données projet'!$B$13,Paramètres!$A$1:$I$89,3,0)*VLOOKUP('Données projet'!$B$13,Paramètres!$A$1:$I$89,5,0)</f>
        <v>2.5974600248446226E-13</v>
      </c>
      <c r="CV191" s="13">
        <f t="shared" si="173"/>
        <v>3.4917846266292826E-12</v>
      </c>
      <c r="CW191" s="20">
        <f t="shared" si="174"/>
        <v>6.5339158457064384E-12</v>
      </c>
      <c r="CX191" s="59">
        <f t="shared" si="122"/>
        <v>293.33333333333985</v>
      </c>
      <c r="CY191" s="59">
        <f ca="1">AVERAGE(OFFSET($CX$3,0,0,'Données projet'!$E$13+1,1))-AVERAGE(OFFSET($H$3,0,0,'Données projet'!$E$13+1,1))</f>
        <v>258.42493116335032</v>
      </c>
      <c r="CZ191" s="59">
        <f t="shared" si="150"/>
        <v>102.46122697336466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34.725222768147852</v>
      </c>
      <c r="DG191" s="21">
        <f>EXP(-LN(2)/25)*DG190+(1-EXP(-LN(2)/25))/(LN(2)/25)*Calculateur!DB191*Calculateur!DD191*VLOOKUP('Données projet'!$B$13,Paramètres!$A$1:$I$89,3,0)*0.475*44/12</f>
        <v>4.6604887411313847</v>
      </c>
      <c r="DH191" s="21">
        <f>EXP(-LN(2)/2)*DH190+(1-EXP(-LN(2)/2))/(LN(2)/2)*DB191*DE191*VLOOKUP('Données projet'!$B$13,Paramètres!$A$1:$I$89,3,0)*0.475*44/12</f>
        <v>7.2328108523682965E-10</v>
      </c>
      <c r="DI191" s="22">
        <f t="shared" si="175"/>
        <v>39.385711510002515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243</v>
      </c>
      <c r="DP191" s="17">
        <f>DO191*VLOOKUP('Données projet'!$B$14,Paramètres!$A$1:$I$89,3,0)*VLOOKUP('Données projet'!$B$14,Paramètres!$A$1:$I$89,5,0)</f>
        <v>212.28480000000002</v>
      </c>
      <c r="DQ191" s="13">
        <f t="shared" si="176"/>
        <v>52.434557099704193</v>
      </c>
      <c r="DR191" s="20">
        <f t="shared" si="177"/>
        <v>461.05288028198476</v>
      </c>
      <c r="DS191" s="59">
        <f t="shared" si="125"/>
        <v>754.38621361531807</v>
      </c>
      <c r="DT191" s="59">
        <f ca="1">AVERAGE(OFFSET($DS$3,0,0,'Données projet'!$E$14+1,1))-AVERAGE(OFFSET($H$3,0,0,'Données projet'!$E$14+1,1))</f>
        <v>354.24684313982857</v>
      </c>
      <c r="DU191" s="59">
        <f t="shared" si="152"/>
        <v>322.65043486962185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4.7701285099729711</v>
      </c>
      <c r="EB191" s="21">
        <f>EXP(-LN(2)/25)*EB190+(1-EXP(-LN(2)/25))/(LN(2)/25)*Calculateur!DW191*Calculateur!DY191*VLOOKUP('Données projet'!$B$14,Paramètres!$A$1:$I$89,3,0)*0.475*44/12</f>
        <v>1.2980297001870214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6.0681582101599929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-6.7984728957526396E-14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355.09162485318728</v>
      </c>
      <c r="T192" s="59">
        <f t="shared" si="142"/>
        <v>320.06572891923685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19.025703666436215</v>
      </c>
      <c r="AA192" s="21">
        <f>EXP(-LN(2)/25)*AA191+(1-EXP(-LN(2)/25))/(LN(2)/25)*Calculateur!V192*Calculateur!X192*VLOOKUP('Données projet'!$B$9,Paramètres!$A$1:$I$89,3,0)*0.475*44/12</f>
        <v>1.8482419767663418</v>
      </c>
      <c r="AB192" s="21">
        <f>EXP(-LN(2)/2)*AB191+(1-EXP(-LN(2)/2))/(LN(2)/2)*V192*Y192*VLOOKUP('Données projet'!$B$9,Paramètres!$A$1:$I$89,3,0)*0.475*44/12</f>
        <v>4.581739373956542E-16</v>
      </c>
      <c r="AC192" s="22">
        <f t="shared" si="163"/>
        <v>20.873945643202557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5.1159076974727213E-13</v>
      </c>
      <c r="AJ192" s="13">
        <f>AI192*VLOOKUP('Données projet'!$B$10,Paramètres!$A$1:$I$89,3,0)*VLOOKUP('Données projet'!$B$10,Paramètres!$A$1:$I$89,5,0)</f>
        <v>2.3942448024172334E-13</v>
      </c>
      <c r="AK192" s="13">
        <f t="shared" si="164"/>
        <v>3.2492669905861755E-12</v>
      </c>
      <c r="AL192" s="20">
        <f t="shared" si="165"/>
        <v>6.0761376450252565E-12</v>
      </c>
      <c r="AM192" s="59">
        <f t="shared" si="113"/>
        <v>293.3333333333394</v>
      </c>
      <c r="AN192" s="59">
        <f ca="1">AVERAGE(OFFSET($AM$3,0,0,'Données projet'!$E$10+1,1))-AVERAGE(OFFSET($H$3,0,0,'Données projet'!$E$10+1,1))</f>
        <v>246.72166704460847</v>
      </c>
      <c r="AO192" s="59">
        <f t="shared" si="144"/>
        <v>145.54897745089966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27.422705434440893</v>
      </c>
      <c r="AV192" s="21">
        <f>EXP(-LN(2)/25)*AV191+(1-EXP(-LN(2)/25))/(LN(2)/25)*Calculateur!AQ192*Calculateur!AS192*VLOOKUP('Données projet'!$B$10,Paramètres!$A$1:$I$89,3,0)*0.475*44/12</f>
        <v>3.6179278314049035</v>
      </c>
      <c r="AW192" s="21">
        <f>EXP(-LN(2)/2)*AW191+(1-EXP(-LN(2)/2))/(LN(2)/2)*AQ192*AT192*VLOOKUP('Données projet'!$B$10,Paramètres!$A$1:$I$89,3,0)*0.475*44/12</f>
        <v>1.6688035725304288E-11</v>
      </c>
      <c r="AX192" s="21">
        <f t="shared" si="166"/>
        <v>31.040633265862482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88.478637356802039</v>
      </c>
      <c r="BJ192" s="59">
        <f t="shared" si="146"/>
        <v>239.55411297259155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1.5884322441816667</v>
      </c>
      <c r="BQ192" s="21">
        <f>EXP(-LN(2)/25)*BQ191+(1-EXP(-LN(2)/25))/(LN(2)/25)*Calculateur!BL192*Calculateur!BN192*VLOOKUP('Données projet'!$B$11,Paramètres!$A$1:$I$89,3,0)*0.475*44/12</f>
        <v>8.8885438813507522E-2</v>
      </c>
      <c r="BR192" s="21">
        <f>EXP(-LN(2)/2)*BR191+(1-EXP(-LN(2)/2))/(LN(2)/2)*BL192*BO192*VLOOKUP('Données projet'!$B$11,Paramètres!$A$1:$I$89,3,0)*0.475*44/12</f>
        <v>5.0295374749468831E-25</v>
      </c>
      <c r="BS192" s="22">
        <f t="shared" si="169"/>
        <v>1.6773176829951741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6.2527760746888816E-13</v>
      </c>
      <c r="BZ192" s="13">
        <f>BY192*VLOOKUP('Données projet'!$B$12,Paramètres!$A$1:$I$89,3,0)*VLOOKUP('Données projet'!$B$12,Paramètres!$A$1:$I$89,5,0)</f>
        <v>5.6575117923785E-13</v>
      </c>
      <c r="CA192" s="13">
        <f t="shared" si="170"/>
        <v>6.9465941821953252E-12</v>
      </c>
      <c r="CB192" s="20">
        <f t="shared" si="171"/>
        <v>1.3084001504496114E-11</v>
      </c>
      <c r="CC192" s="59">
        <f t="shared" si="119"/>
        <v>293.33333333334639</v>
      </c>
      <c r="CD192" s="59">
        <f ca="1">AVERAGE(OFFSET($CC$3,0,0,'Données projet'!$E$12+1,1))-AVERAGE(OFFSET($H$3,0,0,'Données projet'!$E$12+1,1))</f>
        <v>437.94387006020412</v>
      </c>
      <c r="CE192" s="59">
        <f t="shared" si="148"/>
        <v>213.95083535531376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193.68602376394983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193.68602376394983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5.4001247917767614E-13</v>
      </c>
      <c r="CU192" s="17">
        <f>CT192*VLOOKUP('Données projet'!$B$13,Paramètres!$A$1:$I$89,3,0)*VLOOKUP('Données projet'!$B$13,Paramètres!$A$1:$I$89,5,0)</f>
        <v>2.5974600248446226E-13</v>
      </c>
      <c r="CV192" s="13">
        <f t="shared" si="173"/>
        <v>3.4917846266292826E-12</v>
      </c>
      <c r="CW192" s="20">
        <f t="shared" si="174"/>
        <v>6.5339158457064384E-12</v>
      </c>
      <c r="CX192" s="59">
        <f t="shared" si="122"/>
        <v>293.33333333333985</v>
      </c>
      <c r="CY192" s="59">
        <f ca="1">AVERAGE(OFFSET($CX$3,0,0,'Données projet'!$E$13+1,1))-AVERAGE(OFFSET($H$3,0,0,'Données projet'!$E$13+1,1))</f>
        <v>258.42493116335032</v>
      </c>
      <c r="CZ192" s="59">
        <f t="shared" si="150"/>
        <v>102.46122697336466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34.044282329958982</v>
      </c>
      <c r="DG192" s="21">
        <f>EXP(-LN(2)/25)*DG191+(1-EXP(-LN(2)/25))/(LN(2)/25)*Calculateur!DB192*Calculateur!DD192*VLOOKUP('Données projet'!$B$13,Paramètres!$A$1:$I$89,3,0)*0.475*44/12</f>
        <v>4.5330474314206954</v>
      </c>
      <c r="DH192" s="21">
        <f>EXP(-LN(2)/2)*DH191+(1-EXP(-LN(2)/2))/(LN(2)/2)*DB192*DE192*VLOOKUP('Données projet'!$B$13,Paramètres!$A$1:$I$89,3,0)*0.475*44/12</f>
        <v>5.1143696007492752E-10</v>
      </c>
      <c r="DI192" s="22">
        <f t="shared" si="175"/>
        <v>38.577329761891114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243</v>
      </c>
      <c r="DP192" s="17">
        <f>DO192*VLOOKUP('Données projet'!$B$14,Paramètres!$A$1:$I$89,3,0)*VLOOKUP('Données projet'!$B$14,Paramètres!$A$1:$I$89,5,0)</f>
        <v>212.28480000000002</v>
      </c>
      <c r="DQ192" s="13">
        <f t="shared" si="176"/>
        <v>52.434557099704193</v>
      </c>
      <c r="DR192" s="20">
        <f t="shared" si="177"/>
        <v>461.05288028198476</v>
      </c>
      <c r="DS192" s="59">
        <f t="shared" si="125"/>
        <v>754.38621361531807</v>
      </c>
      <c r="DT192" s="59">
        <f ca="1">AVERAGE(OFFSET($DS$3,0,0,'Données projet'!$E$14+1,1))-AVERAGE(OFFSET($H$3,0,0,'Données projet'!$E$14+1,1))</f>
        <v>354.24684313982857</v>
      </c>
      <c r="DU192" s="59">
        <f t="shared" si="152"/>
        <v>322.65043486962185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4.6765891993835043</v>
      </c>
      <c r="EB192" s="21">
        <f>EXP(-LN(2)/25)*EB191+(1-EXP(-LN(2)/25))/(LN(2)/25)*Calculateur!DW192*Calculateur!DY192*VLOOKUP('Données projet'!$B$14,Paramètres!$A$1:$I$89,3,0)*0.475*44/12</f>
        <v>1.2625350097749921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5.9391242091584964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-6.7984728957526396E-14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355.09162485318728</v>
      </c>
      <c r="T193" s="59">
        <f t="shared" si="142"/>
        <v>320.06572891923685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18.652621222070785</v>
      </c>
      <c r="AA193" s="21">
        <f>EXP(-LN(2)/25)*AA192+(1-EXP(-LN(2)/25))/(LN(2)/25)*Calculateur!V193*Calculateur!X193*VLOOKUP('Données projet'!$B$9,Paramètres!$A$1:$I$89,3,0)*0.475*44/12</f>
        <v>1.7977017027168449</v>
      </c>
      <c r="AB193" s="21">
        <f>EXP(-LN(2)/2)*AB192+(1-EXP(-LN(2)/2))/(LN(2)/2)*V193*Y193*VLOOKUP('Données projet'!$B$9,Paramètres!$A$1:$I$89,3,0)*0.475*44/12</f>
        <v>3.2397789809540778E-16</v>
      </c>
      <c r="AC193" s="22">
        <f t="shared" si="163"/>
        <v>20.450322924787631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5.1159076974727213E-13</v>
      </c>
      <c r="AJ193" s="13">
        <f>AI193*VLOOKUP('Données projet'!$B$10,Paramètres!$A$1:$I$89,3,0)*VLOOKUP('Données projet'!$B$10,Paramètres!$A$1:$I$89,5,0)</f>
        <v>2.3942448024172334E-13</v>
      </c>
      <c r="AK193" s="13">
        <f t="shared" si="164"/>
        <v>3.2492669905861755E-12</v>
      </c>
      <c r="AL193" s="20">
        <f t="shared" si="165"/>
        <v>6.0761376450252565E-12</v>
      </c>
      <c r="AM193" s="59">
        <f t="shared" si="113"/>
        <v>293.3333333333394</v>
      </c>
      <c r="AN193" s="59">
        <f ca="1">AVERAGE(OFFSET($AM$3,0,0,'Données projet'!$E$10+1,1))-AVERAGE(OFFSET($H$3,0,0,'Données projet'!$E$10+1,1))</f>
        <v>246.72166704460847</v>
      </c>
      <c r="AO193" s="59">
        <f t="shared" si="144"/>
        <v>145.54897745089966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26.884962907070246</v>
      </c>
      <c r="AV193" s="21">
        <f>EXP(-LN(2)/25)*AV192+(1-EXP(-LN(2)/25))/(LN(2)/25)*Calculateur!AQ193*Calculateur!AS193*VLOOKUP('Données projet'!$B$10,Paramètres!$A$1:$I$89,3,0)*0.475*44/12</f>
        <v>3.5189954045965806</v>
      </c>
      <c r="AW193" s="21">
        <f>EXP(-LN(2)/2)*AW192+(1-EXP(-LN(2)/2))/(LN(2)/2)*AQ193*AT193*VLOOKUP('Données projet'!$B$10,Paramètres!$A$1:$I$89,3,0)*0.475*44/12</f>
        <v>1.1800223226046027E-11</v>
      </c>
      <c r="AX193" s="21">
        <f t="shared" si="166"/>
        <v>30.403958311678625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88.478637356802039</v>
      </c>
      <c r="BJ193" s="59">
        <f t="shared" si="146"/>
        <v>239.55411297259155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1.5572840567212674</v>
      </c>
      <c r="BQ193" s="21">
        <f>EXP(-LN(2)/25)*BQ192+(1-EXP(-LN(2)/25))/(LN(2)/25)*Calculateur!BL193*Calculateur!BN193*VLOOKUP('Données projet'!$B$11,Paramètres!$A$1:$I$89,3,0)*0.475*44/12</f>
        <v>8.6454861814870082E-2</v>
      </c>
      <c r="BR193" s="21">
        <f>EXP(-LN(2)/2)*BR192+(1-EXP(-LN(2)/2))/(LN(2)/2)*BL193*BO193*VLOOKUP('Données projet'!$B$11,Paramètres!$A$1:$I$89,3,0)*0.475*44/12</f>
        <v>3.5564200547668065E-25</v>
      </c>
      <c r="BS193" s="22">
        <f t="shared" si="169"/>
        <v>1.6437389185361375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6.2527760746888816E-13</v>
      </c>
      <c r="BZ193" s="13">
        <f>BY193*VLOOKUP('Données projet'!$B$12,Paramètres!$A$1:$I$89,3,0)*VLOOKUP('Données projet'!$B$12,Paramètres!$A$1:$I$89,5,0)</f>
        <v>5.6575117923785E-13</v>
      </c>
      <c r="CA193" s="13">
        <f t="shared" si="170"/>
        <v>6.9465941821953252E-12</v>
      </c>
      <c r="CB193" s="20">
        <f t="shared" si="171"/>
        <v>1.3084001504496114E-11</v>
      </c>
      <c r="CC193" s="59">
        <f t="shared" si="119"/>
        <v>293.33333333334639</v>
      </c>
      <c r="CD193" s="59">
        <f ca="1">AVERAGE(OFFSET($CC$3,0,0,'Données projet'!$E$12+1,1))-AVERAGE(OFFSET($H$3,0,0,'Données projet'!$E$12+1,1))</f>
        <v>437.94387006020412</v>
      </c>
      <c r="CE193" s="59">
        <f t="shared" si="148"/>
        <v>213.95083535531376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189.88795897474824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189.88795897474824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5.4001247917767614E-13</v>
      </c>
      <c r="CU193" s="17">
        <f>CT193*VLOOKUP('Données projet'!$B$13,Paramètres!$A$1:$I$89,3,0)*VLOOKUP('Données projet'!$B$13,Paramètres!$A$1:$I$89,5,0)</f>
        <v>2.5974600248446226E-13</v>
      </c>
      <c r="CV193" s="13">
        <f t="shared" si="173"/>
        <v>3.4917846266292826E-12</v>
      </c>
      <c r="CW193" s="20">
        <f t="shared" si="174"/>
        <v>6.5339158457064384E-12</v>
      </c>
      <c r="CX193" s="59">
        <f t="shared" si="122"/>
        <v>293.33333333333985</v>
      </c>
      <c r="CY193" s="59">
        <f ca="1">AVERAGE(OFFSET($CX$3,0,0,'Données projet'!$E$13+1,1))-AVERAGE(OFFSET($H$3,0,0,'Données projet'!$E$13+1,1))</f>
        <v>258.42493116335032</v>
      </c>
      <c r="CZ193" s="59">
        <f t="shared" si="150"/>
        <v>102.46122697336466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33.376694718430336</v>
      </c>
      <c r="DG193" s="21">
        <f>EXP(-LN(2)/25)*DG192+(1-EXP(-LN(2)/25))/(LN(2)/25)*Calculateur!DB193*Calculateur!DD193*VLOOKUP('Données projet'!$B$13,Paramètres!$A$1:$I$89,3,0)*0.475*44/12</f>
        <v>4.4090910110258923</v>
      </c>
      <c r="DH193" s="21">
        <f>EXP(-LN(2)/2)*DH192+(1-EXP(-LN(2)/2))/(LN(2)/2)*DB193*DE193*VLOOKUP('Données projet'!$B$13,Paramètres!$A$1:$I$89,3,0)*0.475*44/12</f>
        <v>3.6164054261841482E-10</v>
      </c>
      <c r="DI193" s="22">
        <f t="shared" si="175"/>
        <v>37.785785729817867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243</v>
      </c>
      <c r="DP193" s="17">
        <f>DO193*VLOOKUP('Données projet'!$B$14,Paramètres!$A$1:$I$89,3,0)*VLOOKUP('Données projet'!$B$14,Paramètres!$A$1:$I$89,5,0)</f>
        <v>212.28480000000002</v>
      </c>
      <c r="DQ193" s="13">
        <f t="shared" si="176"/>
        <v>52.434557099704193</v>
      </c>
      <c r="DR193" s="20">
        <f t="shared" si="177"/>
        <v>461.05288028198476</v>
      </c>
      <c r="DS193" s="59">
        <f t="shared" si="125"/>
        <v>754.38621361531807</v>
      </c>
      <c r="DT193" s="59">
        <f ca="1">AVERAGE(OFFSET($DS$3,0,0,'Données projet'!$E$14+1,1))-AVERAGE(OFFSET($H$3,0,0,'Données projet'!$E$14+1,1))</f>
        <v>354.24684313982857</v>
      </c>
      <c r="DU193" s="59">
        <f t="shared" si="152"/>
        <v>322.65043486962185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4.5848841376213505</v>
      </c>
      <c r="EB193" s="21">
        <f>EXP(-LN(2)/25)*EB192+(1-EXP(-LN(2)/25))/(LN(2)/25)*Calculateur!DW193*Calculateur!DY193*VLOOKUP('Données projet'!$B$14,Paramètres!$A$1:$I$89,3,0)*0.475*44/12</f>
        <v>1.2280109235388643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5.8128950611602148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-6.7984728957526396E-14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355.09162485318728</v>
      </c>
      <c r="T194" s="59">
        <f t="shared" si="142"/>
        <v>320.06572891923685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18.286854696881541</v>
      </c>
      <c r="AA194" s="21">
        <f>EXP(-LN(2)/25)*AA193+(1-EXP(-LN(2)/25))/(LN(2)/25)*Calculateur!V194*Calculateur!X194*VLOOKUP('Données projet'!$B$9,Paramètres!$A$1:$I$89,3,0)*0.475*44/12</f>
        <v>1.7485434551190289</v>
      </c>
      <c r="AB194" s="21">
        <f>EXP(-LN(2)/2)*AB193+(1-EXP(-LN(2)/2))/(LN(2)/2)*V194*Y194*VLOOKUP('Données projet'!$B$9,Paramètres!$A$1:$I$89,3,0)*0.475*44/12</f>
        <v>2.290869686978271E-16</v>
      </c>
      <c r="AC194" s="22">
        <f t="shared" si="163"/>
        <v>20.035398152000571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5.1159076974727213E-13</v>
      </c>
      <c r="AJ194" s="13">
        <f>AI194*VLOOKUP('Données projet'!$B$10,Paramètres!$A$1:$I$89,3,0)*VLOOKUP('Données projet'!$B$10,Paramètres!$A$1:$I$89,5,0)</f>
        <v>2.3942448024172334E-13</v>
      </c>
      <c r="AK194" s="13">
        <f t="shared" si="164"/>
        <v>3.2492669905861755E-12</v>
      </c>
      <c r="AL194" s="20">
        <f t="shared" si="165"/>
        <v>6.0761376450252565E-12</v>
      </c>
      <c r="AM194" s="59">
        <f t="shared" si="113"/>
        <v>293.3333333333394</v>
      </c>
      <c r="AN194" s="59">
        <f ca="1">AVERAGE(OFFSET($AM$3,0,0,'Données projet'!$E$10+1,1))-AVERAGE(OFFSET($H$3,0,0,'Données projet'!$E$10+1,1))</f>
        <v>246.72166704460847</v>
      </c>
      <c r="AO194" s="59">
        <f t="shared" si="144"/>
        <v>145.54897745089966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26.357765182670782</v>
      </c>
      <c r="AV194" s="21">
        <f>EXP(-LN(2)/25)*AV193+(1-EXP(-LN(2)/25))/(LN(2)/25)*Calculateur!AQ194*Calculateur!AS194*VLOOKUP('Données projet'!$B$10,Paramètres!$A$1:$I$89,3,0)*0.475*44/12</f>
        <v>3.4227682902019616</v>
      </c>
      <c r="AW194" s="21">
        <f>EXP(-LN(2)/2)*AW193+(1-EXP(-LN(2)/2))/(LN(2)/2)*AQ194*AT194*VLOOKUP('Données projet'!$B$10,Paramètres!$A$1:$I$89,3,0)*0.475*44/12</f>
        <v>8.3440178626521441E-12</v>
      </c>
      <c r="AX194" s="21">
        <f t="shared" si="166"/>
        <v>29.780533472881089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88.478637356802039</v>
      </c>
      <c r="BJ194" s="59">
        <f t="shared" si="146"/>
        <v>239.55411297259155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1.5267466662184481</v>
      </c>
      <c r="BQ194" s="21">
        <f>EXP(-LN(2)/25)*BQ193+(1-EXP(-LN(2)/25))/(LN(2)/25)*Calculateur!BL194*Calculateur!BN194*VLOOKUP('Données projet'!$B$11,Paramètres!$A$1:$I$89,3,0)*0.475*44/12</f>
        <v>8.4090749072078877E-2</v>
      </c>
      <c r="BR194" s="21">
        <f>EXP(-LN(2)/2)*BR193+(1-EXP(-LN(2)/2))/(LN(2)/2)*BL194*BO194*VLOOKUP('Données projet'!$B$11,Paramètres!$A$1:$I$89,3,0)*0.475*44/12</f>
        <v>2.5147687374734416E-25</v>
      </c>
      <c r="BS194" s="22">
        <f t="shared" si="169"/>
        <v>1.6108374152905269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6.2527760746888816E-13</v>
      </c>
      <c r="BZ194" s="13">
        <f>BY194*VLOOKUP('Données projet'!$B$12,Paramètres!$A$1:$I$89,3,0)*VLOOKUP('Données projet'!$B$12,Paramètres!$A$1:$I$89,5,0)</f>
        <v>5.6575117923785E-13</v>
      </c>
      <c r="CA194" s="13">
        <f t="shared" si="170"/>
        <v>6.9465941821953252E-12</v>
      </c>
      <c r="CB194" s="20">
        <f t="shared" si="171"/>
        <v>1.3084001504496114E-11</v>
      </c>
      <c r="CC194" s="59">
        <f t="shared" si="119"/>
        <v>293.33333333334639</v>
      </c>
      <c r="CD194" s="59">
        <f ca="1">AVERAGE(OFFSET($CC$3,0,0,'Données projet'!$E$12+1,1))-AVERAGE(OFFSET($H$3,0,0,'Données projet'!$E$12+1,1))</f>
        <v>437.94387006020412</v>
      </c>
      <c r="CE194" s="59">
        <f t="shared" si="148"/>
        <v>213.95083535531376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186.1643719194721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186.1643719194721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5.4001247917767614E-13</v>
      </c>
      <c r="CU194" s="17">
        <f>CT194*VLOOKUP('Données projet'!$B$13,Paramètres!$A$1:$I$89,3,0)*VLOOKUP('Données projet'!$B$13,Paramètres!$A$1:$I$89,5,0)</f>
        <v>2.5974600248446226E-13</v>
      </c>
      <c r="CV194" s="13">
        <f t="shared" si="173"/>
        <v>3.4917846266292826E-12</v>
      </c>
      <c r="CW194" s="20">
        <f t="shared" si="174"/>
        <v>6.5339158457064384E-12</v>
      </c>
      <c r="CX194" s="59">
        <f t="shared" si="122"/>
        <v>293.33333333333985</v>
      </c>
      <c r="CY194" s="59">
        <f ca="1">AVERAGE(OFFSET($CX$3,0,0,'Données projet'!$E$13+1,1))-AVERAGE(OFFSET($H$3,0,0,'Données projet'!$E$13+1,1))</f>
        <v>258.42493116335032</v>
      </c>
      <c r="CZ194" s="59">
        <f t="shared" si="150"/>
        <v>102.46122697336466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32.722198092775535</v>
      </c>
      <c r="DG194" s="21">
        <f>EXP(-LN(2)/25)*DG193+(1-EXP(-LN(2)/25))/(LN(2)/25)*Calculateur!DB194*Calculateur!DD194*VLOOKUP('Données projet'!$B$13,Paramètres!$A$1:$I$89,3,0)*0.475*44/12</f>
        <v>4.28852418546537</v>
      </c>
      <c r="DH194" s="21">
        <f>EXP(-LN(2)/2)*DH193+(1-EXP(-LN(2)/2))/(LN(2)/2)*DB194*DE194*VLOOKUP('Données projet'!$B$13,Paramètres!$A$1:$I$89,3,0)*0.475*44/12</f>
        <v>2.5571848003746376E-10</v>
      </c>
      <c r="DI194" s="22">
        <f t="shared" si="175"/>
        <v>37.010722278496623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243</v>
      </c>
      <c r="DP194" s="17">
        <f>DO194*VLOOKUP('Données projet'!$B$14,Paramètres!$A$1:$I$89,3,0)*VLOOKUP('Données projet'!$B$14,Paramètres!$A$1:$I$89,5,0)</f>
        <v>212.28480000000002</v>
      </c>
      <c r="DQ194" s="13">
        <f t="shared" si="176"/>
        <v>52.434557099704193</v>
      </c>
      <c r="DR194" s="20">
        <f t="shared" si="177"/>
        <v>461.05288028198476</v>
      </c>
      <c r="DS194" s="59">
        <f t="shared" si="125"/>
        <v>754.38621361531807</v>
      </c>
      <c r="DT194" s="59">
        <f ca="1">AVERAGE(OFFSET($DS$3,0,0,'Données projet'!$E$14+1,1))-AVERAGE(OFFSET($H$3,0,0,'Données projet'!$E$14+1,1))</f>
        <v>354.24684313982857</v>
      </c>
      <c r="DU194" s="59">
        <f t="shared" si="152"/>
        <v>322.65043486962185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4.494977356185788</v>
      </c>
      <c r="EB194" s="21">
        <f>EXP(-LN(2)/25)*EB193+(1-EXP(-LN(2)/25))/(LN(2)/25)*Calculateur!DW194*Calculateur!DY194*VLOOKUP('Données projet'!$B$14,Paramètres!$A$1:$I$89,3,0)*0.475*44/12</f>
        <v>1.1944309002564062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5.6894082564421939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-6.7984728957526396E-14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355.09162485318728</v>
      </c>
      <c r="T195" s="59">
        <f t="shared" si="142"/>
        <v>320.06572891923685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17.928260630155705</v>
      </c>
      <c r="AA195" s="21">
        <f>EXP(-LN(2)/25)*AA194+(1-EXP(-LN(2)/25))/(LN(2)/25)*Calculateur!V195*Calculateur!X195*VLOOKUP('Données projet'!$B$9,Paramètres!$A$1:$I$89,3,0)*0.475*44/12</f>
        <v>1.7007294423868951</v>
      </c>
      <c r="AB195" s="21">
        <f>EXP(-LN(2)/2)*AB194+(1-EXP(-LN(2)/2))/(LN(2)/2)*V195*Y195*VLOOKUP('Données projet'!$B$9,Paramètres!$A$1:$I$89,3,0)*0.475*44/12</f>
        <v>1.6198894904770389E-16</v>
      </c>
      <c r="AC195" s="22">
        <f t="shared" si="163"/>
        <v>19.628990072542599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5.1159076974727213E-13</v>
      </c>
      <c r="AJ195" s="13">
        <f>AI195*VLOOKUP('Données projet'!$B$10,Paramètres!$A$1:$I$89,3,0)*VLOOKUP('Données projet'!$B$10,Paramètres!$A$1:$I$89,5,0)</f>
        <v>2.3942448024172334E-13</v>
      </c>
      <c r="AK195" s="13">
        <f t="shared" si="164"/>
        <v>3.2492669905861755E-12</v>
      </c>
      <c r="AL195" s="20">
        <f t="shared" si="165"/>
        <v>6.0761376450252565E-12</v>
      </c>
      <c r="AM195" s="59">
        <f t="shared" si="113"/>
        <v>293.3333333333394</v>
      </c>
      <c r="AN195" s="59">
        <f ca="1">AVERAGE(OFFSET($AM$3,0,0,'Données projet'!$E$10+1,1))-AVERAGE(OFFSET($H$3,0,0,'Données projet'!$E$10+1,1))</f>
        <v>246.72166704460847</v>
      </c>
      <c r="AO195" s="59">
        <f t="shared" si="144"/>
        <v>145.54897745089966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25.840905484087934</v>
      </c>
      <c r="AV195" s="21">
        <f>EXP(-LN(2)/25)*AV194+(1-EXP(-LN(2)/25))/(LN(2)/25)*Calculateur!AQ195*Calculateur!AS195*VLOOKUP('Données projet'!$B$10,Paramètres!$A$1:$I$89,3,0)*0.475*44/12</f>
        <v>3.3291725113108273</v>
      </c>
      <c r="AW195" s="21">
        <f>EXP(-LN(2)/2)*AW194+(1-EXP(-LN(2)/2))/(LN(2)/2)*AQ195*AT195*VLOOKUP('Données projet'!$B$10,Paramètres!$A$1:$I$89,3,0)*0.475*44/12</f>
        <v>5.9001116130230137E-12</v>
      </c>
      <c r="AX195" s="21">
        <f t="shared" si="166"/>
        <v>29.170077995404661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88.478637356802039</v>
      </c>
      <c r="BJ195" s="59">
        <f t="shared" si="146"/>
        <v>239.55411297259155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1.4968080953174201</v>
      </c>
      <c r="BQ195" s="21">
        <f>EXP(-LN(2)/25)*BQ194+(1-EXP(-LN(2)/25))/(LN(2)/25)*Calculateur!BL195*Calculateur!BN195*VLOOKUP('Données projet'!$B$11,Paramètres!$A$1:$I$89,3,0)*0.475*44/12</f>
        <v>8.1791283116562571E-2</v>
      </c>
      <c r="BR195" s="21">
        <f>EXP(-LN(2)/2)*BR194+(1-EXP(-LN(2)/2))/(LN(2)/2)*BL195*BO195*VLOOKUP('Données projet'!$B$11,Paramètres!$A$1:$I$89,3,0)*0.475*44/12</f>
        <v>1.7782100273834032E-25</v>
      </c>
      <c r="BS195" s="22">
        <f t="shared" si="169"/>
        <v>1.5785993784339827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6.2527760746888816E-13</v>
      </c>
      <c r="BZ195" s="13">
        <f>BY195*VLOOKUP('Données projet'!$B$12,Paramètres!$A$1:$I$89,3,0)*VLOOKUP('Données projet'!$B$12,Paramètres!$A$1:$I$89,5,0)</f>
        <v>5.6575117923785E-13</v>
      </c>
      <c r="CA195" s="13">
        <f t="shared" si="170"/>
        <v>6.9465941821953252E-12</v>
      </c>
      <c r="CB195" s="20">
        <f t="shared" si="171"/>
        <v>1.3084001504496114E-11</v>
      </c>
      <c r="CC195" s="59">
        <f t="shared" si="119"/>
        <v>293.33333333334639</v>
      </c>
      <c r="CD195" s="59">
        <f ca="1">AVERAGE(OFFSET($CC$3,0,0,'Données projet'!$E$12+1,1))-AVERAGE(OFFSET($H$3,0,0,'Données projet'!$E$12+1,1))</f>
        <v>437.94387006020412</v>
      </c>
      <c r="CE195" s="59">
        <f t="shared" si="148"/>
        <v>213.95083535531376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182.5138021351861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182.5138021351861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5.4001247917767614E-13</v>
      </c>
      <c r="CU195" s="17">
        <f>CT195*VLOOKUP('Données projet'!$B$13,Paramètres!$A$1:$I$89,3,0)*VLOOKUP('Données projet'!$B$13,Paramètres!$A$1:$I$89,5,0)</f>
        <v>2.5974600248446226E-13</v>
      </c>
      <c r="CV195" s="13">
        <f t="shared" si="173"/>
        <v>3.4917846266292826E-12</v>
      </c>
      <c r="CW195" s="20">
        <f t="shared" si="174"/>
        <v>6.5339158457064384E-12</v>
      </c>
      <c r="CX195" s="59">
        <f t="shared" si="122"/>
        <v>293.33333333333985</v>
      </c>
      <c r="CY195" s="59">
        <f ca="1">AVERAGE(OFFSET($CX$3,0,0,'Données projet'!$E$13+1,1))-AVERAGE(OFFSET($H$3,0,0,'Données projet'!$E$13+1,1))</f>
        <v>258.42493116335032</v>
      </c>
      <c r="CZ195" s="59">
        <f t="shared" si="150"/>
        <v>102.46122697336466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32.0805357467463</v>
      </c>
      <c r="DG195" s="21">
        <f>EXP(-LN(2)/25)*DG194+(1-EXP(-LN(2)/25))/(LN(2)/25)*Calculateur!DB195*Calculateur!DD195*VLOOKUP('Données projet'!$B$13,Paramètres!$A$1:$I$89,3,0)*0.475*44/12</f>
        <v>4.1712542660901342</v>
      </c>
      <c r="DH195" s="21">
        <f>EXP(-LN(2)/2)*DH194+(1-EXP(-LN(2)/2))/(LN(2)/2)*DB195*DE195*VLOOKUP('Données projet'!$B$13,Paramètres!$A$1:$I$89,3,0)*0.475*44/12</f>
        <v>1.8082027130920741E-10</v>
      </c>
      <c r="DI195" s="22">
        <f t="shared" si="175"/>
        <v>36.251790013017256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243</v>
      </c>
      <c r="DP195" s="17">
        <f>DO195*VLOOKUP('Données projet'!$B$14,Paramètres!$A$1:$I$89,3,0)*VLOOKUP('Données projet'!$B$14,Paramètres!$A$1:$I$89,5,0)</f>
        <v>212.28480000000002</v>
      </c>
      <c r="DQ195" s="13">
        <f t="shared" si="176"/>
        <v>52.434557099704193</v>
      </c>
      <c r="DR195" s="20">
        <f t="shared" si="177"/>
        <v>461.05288028198476</v>
      </c>
      <c r="DS195" s="59">
        <f t="shared" si="125"/>
        <v>754.38621361531807</v>
      </c>
      <c r="DT195" s="59">
        <f ca="1">AVERAGE(OFFSET($DS$3,0,0,'Données projet'!$E$14+1,1))-AVERAGE(OFFSET($H$3,0,0,'Données projet'!$E$14+1,1))</f>
        <v>354.24684313982857</v>
      </c>
      <c r="DU195" s="59">
        <f t="shared" si="152"/>
        <v>322.65043486962185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4.4068335918964552</v>
      </c>
      <c r="EB195" s="21">
        <f>EXP(-LN(2)/25)*EB194+(1-EXP(-LN(2)/25))/(LN(2)/25)*Calculateur!DW195*Calculateur!DY195*VLOOKUP('Données projet'!$B$14,Paramètres!$A$1:$I$89,3,0)*0.475*44/12</f>
        <v>1.1617691244765036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5.5686027163729586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-6.7984728957526396E-14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355.09162485318728</v>
      </c>
      <c r="T196" s="59">
        <f t="shared" si="142"/>
        <v>320.06572891923685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17.57669837435758</v>
      </c>
      <c r="AA196" s="21">
        <f>EXP(-LN(2)/25)*AA195+(1-EXP(-LN(2)/25))/(LN(2)/25)*Calculateur!V196*Calculateur!X196*VLOOKUP('Données projet'!$B$9,Paramètres!$A$1:$I$89,3,0)*0.475*44/12</f>
        <v>1.654222906347351</v>
      </c>
      <c r="AB196" s="21">
        <f>EXP(-LN(2)/2)*AB195+(1-EXP(-LN(2)/2))/(LN(2)/2)*V196*Y196*VLOOKUP('Données projet'!$B$9,Paramètres!$A$1:$I$89,3,0)*0.475*44/12</f>
        <v>1.1454348434891355E-16</v>
      </c>
      <c r="AC196" s="22">
        <f t="shared" si="163"/>
        <v>19.23092128070493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5.1159076974727213E-13</v>
      </c>
      <c r="AJ196" s="13">
        <f>AI196*VLOOKUP('Données projet'!$B$10,Paramètres!$A$1:$I$89,3,0)*VLOOKUP('Données projet'!$B$10,Paramètres!$A$1:$I$89,5,0)</f>
        <v>2.3942448024172334E-13</v>
      </c>
      <c r="AK196" s="13">
        <f t="shared" si="164"/>
        <v>3.2492669905861755E-12</v>
      </c>
      <c r="AL196" s="20">
        <f t="shared" si="165"/>
        <v>6.0761376450252565E-12</v>
      </c>
      <c r="AM196" s="59">
        <f t="shared" ref="AM196:AM203" si="193">AL196+(AD196+AE196)*44/12</f>
        <v>293.3333333333394</v>
      </c>
      <c r="AN196" s="59">
        <f ca="1">AVERAGE(OFFSET($AM$3,0,0,'Données projet'!$E$10+1,1))-AVERAGE(OFFSET($H$3,0,0,'Données projet'!$E$10+1,1))</f>
        <v>246.72166704460847</v>
      </c>
      <c r="AO196" s="59">
        <f t="shared" si="144"/>
        <v>145.54897745089966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25.334181088941005</v>
      </c>
      <c r="AV196" s="21">
        <f>EXP(-LN(2)/25)*AV195+(1-EXP(-LN(2)/25))/(LN(2)/25)*Calculateur!AQ196*Calculateur!AS196*VLOOKUP('Données projet'!$B$10,Paramètres!$A$1:$I$89,3,0)*0.475*44/12</f>
        <v>3.2381361139154592</v>
      </c>
      <c r="AW196" s="21">
        <f>EXP(-LN(2)/2)*AW195+(1-EXP(-LN(2)/2))/(LN(2)/2)*AQ196*AT196*VLOOKUP('Données projet'!$B$10,Paramètres!$A$1:$I$89,3,0)*0.475*44/12</f>
        <v>4.172008931326072E-12</v>
      </c>
      <c r="AX196" s="21">
        <f t="shared" si="166"/>
        <v>28.572317202860635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88.478637356802039</v>
      </c>
      <c r="BJ196" s="59">
        <f t="shared" si="146"/>
        <v>239.55411297259155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1.467456601531036</v>
      </c>
      <c r="BQ196" s="21">
        <f>EXP(-LN(2)/25)*BQ195+(1-EXP(-LN(2)/25))/(LN(2)/25)*Calculateur!BL196*Calculateur!BN196*VLOOKUP('Données projet'!$B$11,Paramètres!$A$1:$I$89,3,0)*0.475*44/12</f>
        <v>7.9554696178523523E-2</v>
      </c>
      <c r="BR196" s="21">
        <f>EXP(-LN(2)/2)*BR195+(1-EXP(-LN(2)/2))/(LN(2)/2)*BL196*BO196*VLOOKUP('Données projet'!$B$11,Paramètres!$A$1:$I$89,3,0)*0.475*44/12</f>
        <v>1.2573843687367208E-25</v>
      </c>
      <c r="BS196" s="22">
        <f t="shared" si="169"/>
        <v>1.5470112977095596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6.2527760746888816E-13</v>
      </c>
      <c r="BZ196" s="13">
        <f>BY196*VLOOKUP('Données projet'!$B$12,Paramètres!$A$1:$I$89,3,0)*VLOOKUP('Données projet'!$B$12,Paramètres!$A$1:$I$89,5,0)</f>
        <v>5.6575117923785E-13</v>
      </c>
      <c r="CA196" s="13">
        <f t="shared" si="170"/>
        <v>6.9465941821953252E-12</v>
      </c>
      <c r="CB196" s="20">
        <f t="shared" si="171"/>
        <v>1.3084001504496114E-11</v>
      </c>
      <c r="CC196" s="59">
        <f t="shared" ref="CC196:CC203" si="195">CB196+(BT196+BU196)*44/12</f>
        <v>293.33333333334639</v>
      </c>
      <c r="CD196" s="59">
        <f ca="1">AVERAGE(OFFSET($CC$3,0,0,'Données projet'!$E$12+1,1))-AVERAGE(OFFSET($H$3,0,0,'Données projet'!$E$12+1,1))</f>
        <v>437.94387006020412</v>
      </c>
      <c r="CE196" s="59">
        <f t="shared" si="148"/>
        <v>213.95083535531376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178.93481779774223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178.93481779774223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5.4001247917767614E-13</v>
      </c>
      <c r="CU196" s="17">
        <f>CT196*VLOOKUP('Données projet'!$B$13,Paramètres!$A$1:$I$89,3,0)*VLOOKUP('Données projet'!$B$13,Paramètres!$A$1:$I$89,5,0)</f>
        <v>2.5974600248446226E-13</v>
      </c>
      <c r="CV196" s="13">
        <f t="shared" si="173"/>
        <v>3.4917846266292826E-12</v>
      </c>
      <c r="CW196" s="20">
        <f t="shared" si="174"/>
        <v>6.5339158457064384E-12</v>
      </c>
      <c r="CX196" s="59">
        <f t="shared" ref="CX196:CX203" si="196">CW196+(CO196+CP196)*44/12</f>
        <v>293.33333333333985</v>
      </c>
      <c r="CY196" s="59">
        <f ca="1">AVERAGE(OFFSET($CX$3,0,0,'Données projet'!$E$13+1,1))-AVERAGE(OFFSET($H$3,0,0,'Données projet'!$E$13+1,1))</f>
        <v>258.42493116335032</v>
      </c>
      <c r="CZ196" s="59">
        <f t="shared" si="150"/>
        <v>102.46122697336466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31.451456007947311</v>
      </c>
      <c r="DG196" s="21">
        <f>EXP(-LN(2)/25)*DG195+(1-EXP(-LN(2)/25))/(LN(2)/25)*Calculateur!DB196*Calculateur!DD196*VLOOKUP('Données projet'!$B$13,Paramètres!$A$1:$I$89,3,0)*0.475*44/12</f>
        <v>4.0571910988271709</v>
      </c>
      <c r="DH196" s="21">
        <f>EXP(-LN(2)/2)*DH195+(1-EXP(-LN(2)/2))/(LN(2)/2)*DB196*DE196*VLOOKUP('Données projet'!$B$13,Paramètres!$A$1:$I$89,3,0)*0.475*44/12</f>
        <v>1.2785924001873188E-10</v>
      </c>
      <c r="DI196" s="22">
        <f t="shared" si="175"/>
        <v>35.508647106902345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243</v>
      </c>
      <c r="DP196" s="17">
        <f>DO196*VLOOKUP('Données projet'!$B$14,Paramètres!$A$1:$I$89,3,0)*VLOOKUP('Données projet'!$B$14,Paramètres!$A$1:$I$89,5,0)</f>
        <v>212.28480000000002</v>
      </c>
      <c r="DQ196" s="13">
        <f t="shared" si="176"/>
        <v>52.434557099704193</v>
      </c>
      <c r="DR196" s="20">
        <f t="shared" si="177"/>
        <v>461.05288028198476</v>
      </c>
      <c r="DS196" s="59">
        <f t="shared" ref="DS196:DS203" si="197">DR196+(DJ196+DK196)*44/12</f>
        <v>754.38621361531807</v>
      </c>
      <c r="DT196" s="59">
        <f ca="1">AVERAGE(OFFSET($DS$3,0,0,'Données projet'!$E$14+1,1))-AVERAGE(OFFSET($H$3,0,0,'Données projet'!$E$14+1,1))</f>
        <v>354.24684313982857</v>
      </c>
      <c r="DU196" s="59">
        <f t="shared" si="152"/>
        <v>322.65043486962185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4.3204182730624483</v>
      </c>
      <c r="EB196" s="21">
        <f>EXP(-LN(2)/25)*EB195+(1-EXP(-LN(2)/25))/(LN(2)/25)*Calculateur!DW196*Calculateur!DY196*VLOOKUP('Données projet'!$B$14,Paramètres!$A$1:$I$89,3,0)*0.475*44/12</f>
        <v>1.1300004866729105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5.4504187597353591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-6.7984728957526396E-14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355.09162485318728</v>
      </c>
      <c r="T197" s="59">
        <f t="shared" ref="T197:T203" si="204">$T$3</f>
        <v>320.06572891923685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17.232030039963853</v>
      </c>
      <c r="AA197" s="21">
        <f>EXP(-LN(2)/25)*AA196+(1-EXP(-LN(2)/25))/(LN(2)/25)*Calculateur!V197*Calculateur!X197*VLOOKUP('Données projet'!$B$9,Paramètres!$A$1:$I$89,3,0)*0.475*44/12</f>
        <v>1.6089880939814809</v>
      </c>
      <c r="AB197" s="21">
        <f>EXP(-LN(2)/2)*AB196+(1-EXP(-LN(2)/2))/(LN(2)/2)*V197*Y197*VLOOKUP('Données projet'!$B$9,Paramètres!$A$1:$I$89,3,0)*0.475*44/12</f>
        <v>8.0994474523851945E-17</v>
      </c>
      <c r="AC197" s="22">
        <f t="shared" si="163"/>
        <v>18.841018133945333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5.1159076974727213E-13</v>
      </c>
      <c r="AJ197" s="13">
        <f>AI197*VLOOKUP('Données projet'!$B$10,Paramètres!$A$1:$I$89,3,0)*VLOOKUP('Données projet'!$B$10,Paramètres!$A$1:$I$89,5,0)</f>
        <v>2.3942448024172334E-13</v>
      </c>
      <c r="AK197" s="13">
        <f t="shared" si="164"/>
        <v>3.2492669905861755E-12</v>
      </c>
      <c r="AL197" s="20">
        <f t="shared" si="165"/>
        <v>6.0761376450252565E-12</v>
      </c>
      <c r="AM197" s="59">
        <f t="shared" si="193"/>
        <v>293.3333333333394</v>
      </c>
      <c r="AN197" s="59">
        <f ca="1">AVERAGE(OFFSET($AM$3,0,0,'Données projet'!$E$10+1,1))-AVERAGE(OFFSET($H$3,0,0,'Données projet'!$E$10+1,1))</f>
        <v>246.72166704460847</v>
      </c>
      <c r="AO197" s="59">
        <f t="shared" ref="AO197:AO203" si="205">$AO$3</f>
        <v>145.54897745089966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24.837393250111546</v>
      </c>
      <c r="AV197" s="21">
        <f>EXP(-LN(2)/25)*AV196+(1-EXP(-LN(2)/25))/(LN(2)/25)*Calculateur!AQ197*Calculateur!AS197*VLOOKUP('Données projet'!$B$10,Paramètres!$A$1:$I$89,3,0)*0.475*44/12</f>
        <v>3.1495891115942638</v>
      </c>
      <c r="AW197" s="21">
        <f>EXP(-LN(2)/2)*AW196+(1-EXP(-LN(2)/2))/(LN(2)/2)*AQ197*AT197*VLOOKUP('Données projet'!$B$10,Paramètres!$A$1:$I$89,3,0)*0.475*44/12</f>
        <v>2.9500558065115069E-12</v>
      </c>
      <c r="AX197" s="21">
        <f t="shared" si="166"/>
        <v>27.986982361708758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88.478637356802039</v>
      </c>
      <c r="BJ197" s="59">
        <f t="shared" ref="BJ197:BJ203" si="206">$BJ$3</f>
        <v>239.55411297259155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1.4386806726351595</v>
      </c>
      <c r="BQ197" s="21">
        <f>EXP(-LN(2)/25)*BQ196+(1-EXP(-LN(2)/25))/(LN(2)/25)*Calculateur!BL197*Calculateur!BN197*VLOOKUP('Données projet'!$B$11,Paramètres!$A$1:$I$89,3,0)*0.475*44/12</f>
        <v>7.7379268827922149E-2</v>
      </c>
      <c r="BR197" s="21">
        <f>EXP(-LN(2)/2)*BR196+(1-EXP(-LN(2)/2))/(LN(2)/2)*BL197*BO197*VLOOKUP('Données projet'!$B$11,Paramètres!$A$1:$I$89,3,0)*0.475*44/12</f>
        <v>8.8910501369170161E-26</v>
      </c>
      <c r="BS197" s="22">
        <f t="shared" si="169"/>
        <v>1.5160599414630818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6.2527760746888816E-13</v>
      </c>
      <c r="BZ197" s="13">
        <f>BY197*VLOOKUP('Données projet'!$B$12,Paramètres!$A$1:$I$89,3,0)*VLOOKUP('Données projet'!$B$12,Paramètres!$A$1:$I$89,5,0)</f>
        <v>5.6575117923785E-13</v>
      </c>
      <c r="CA197" s="13">
        <f t="shared" si="170"/>
        <v>6.9465941821953252E-12</v>
      </c>
      <c r="CB197" s="20">
        <f t="shared" si="171"/>
        <v>1.3084001504496114E-11</v>
      </c>
      <c r="CC197" s="59">
        <f t="shared" si="195"/>
        <v>293.33333333334639</v>
      </c>
      <c r="CD197" s="59">
        <f ca="1">AVERAGE(OFFSET($CC$3,0,0,'Données projet'!$E$12+1,1))-AVERAGE(OFFSET($H$3,0,0,'Données projet'!$E$12+1,1))</f>
        <v>437.94387006020412</v>
      </c>
      <c r="CE197" s="59">
        <f t="shared" ref="CE197:CE203" si="207">$CE$3</f>
        <v>213.95083535531376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175.42601516019073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175.42601516019073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5.4001247917767614E-13</v>
      </c>
      <c r="CU197" s="17">
        <f>CT197*VLOOKUP('Données projet'!$B$13,Paramètres!$A$1:$I$89,3,0)*VLOOKUP('Données projet'!$B$13,Paramètres!$A$1:$I$89,5,0)</f>
        <v>2.5974600248446226E-13</v>
      </c>
      <c r="CV197" s="13">
        <f t="shared" si="173"/>
        <v>3.4917846266292826E-12</v>
      </c>
      <c r="CW197" s="20">
        <f t="shared" si="174"/>
        <v>6.5339158457064384E-12</v>
      </c>
      <c r="CX197" s="59">
        <f t="shared" si="196"/>
        <v>293.33333333333985</v>
      </c>
      <c r="CY197" s="59">
        <f ca="1">AVERAGE(OFFSET($CX$3,0,0,'Données projet'!$E$13+1,1))-AVERAGE(OFFSET($H$3,0,0,'Données projet'!$E$13+1,1))</f>
        <v>258.42493116335032</v>
      </c>
      <c r="CZ197" s="59">
        <f t="shared" ref="CZ197:CZ203" si="208">$CZ$3</f>
        <v>102.46122697336466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30.834712139125415</v>
      </c>
      <c r="DG197" s="21">
        <f>EXP(-LN(2)/25)*DG196+(1-EXP(-LN(2)/25))/(LN(2)/25)*Calculateur!DB197*Calculateur!DD197*VLOOKUP('Données projet'!$B$13,Paramètres!$A$1:$I$89,3,0)*0.475*44/12</f>
        <v>3.946246994871335</v>
      </c>
      <c r="DH197" s="21">
        <f>EXP(-LN(2)/2)*DH196+(1-EXP(-LN(2)/2))/(LN(2)/2)*DB197*DE197*VLOOKUP('Données projet'!$B$13,Paramètres!$A$1:$I$89,3,0)*0.475*44/12</f>
        <v>9.0410135654603706E-11</v>
      </c>
      <c r="DI197" s="22">
        <f t="shared" si="175"/>
        <v>34.780959134087162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243</v>
      </c>
      <c r="DP197" s="17">
        <f>DO197*VLOOKUP('Données projet'!$B$14,Paramètres!$A$1:$I$89,3,0)*VLOOKUP('Données projet'!$B$14,Paramètres!$A$1:$I$89,5,0)</f>
        <v>212.28480000000002</v>
      </c>
      <c r="DQ197" s="13">
        <f t="shared" si="176"/>
        <v>52.434557099704193</v>
      </c>
      <c r="DR197" s="20">
        <f t="shared" si="177"/>
        <v>461.05288028198476</v>
      </c>
      <c r="DS197" s="59">
        <f t="shared" si="197"/>
        <v>754.38621361531807</v>
      </c>
      <c r="DT197" s="59">
        <f ca="1">AVERAGE(OFFSET($DS$3,0,0,'Données projet'!$E$14+1,1))-AVERAGE(OFFSET($H$3,0,0,'Données projet'!$E$14+1,1))</f>
        <v>354.24684313982857</v>
      </c>
      <c r="DU197" s="59">
        <f t="shared" ref="DU197:DU203" si="209">$DU$3</f>
        <v>322.65043486962185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4.2356975059226363</v>
      </c>
      <c r="EB197" s="21">
        <f>EXP(-LN(2)/25)*EB196+(1-EXP(-LN(2)/25))/(LN(2)/25)*Calculateur!DW197*Calculateur!DY197*VLOOKUP('Données projet'!$B$14,Paramètres!$A$1:$I$89,3,0)*0.475*44/12</f>
        <v>1.0991005639406968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5.334798069863333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-6.7984728957526396E-14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355.09162485318728</v>
      </c>
      <c r="T198" s="59">
        <f t="shared" si="204"/>
        <v>320.06572891923685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16.894120441380661</v>
      </c>
      <c r="AA198" s="21">
        <f>EXP(-LN(2)/25)*AA197+(1-EXP(-LN(2)/25))/(LN(2)/25)*Calculateur!V198*Calculateur!X198*VLOOKUP('Données projet'!$B$9,Paramètres!$A$1:$I$89,3,0)*0.475*44/12</f>
        <v>1.5649902299385507</v>
      </c>
      <c r="AB198" s="21">
        <f>EXP(-LN(2)/2)*AB197+(1-EXP(-LN(2)/2))/(LN(2)/2)*V198*Y198*VLOOKUP('Données projet'!$B$9,Paramètres!$A$1:$I$89,3,0)*0.475*44/12</f>
        <v>5.7271742174456775E-17</v>
      </c>
      <c r="AC198" s="22">
        <f t="shared" si="163"/>
        <v>18.459110671319213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5.1159076974727213E-13</v>
      </c>
      <c r="AJ198" s="13">
        <f>AI198*VLOOKUP('Données projet'!$B$10,Paramètres!$A$1:$I$89,3,0)*VLOOKUP('Données projet'!$B$10,Paramètres!$A$1:$I$89,5,0)</f>
        <v>2.3942448024172334E-13</v>
      </c>
      <c r="AK198" s="13">
        <f t="shared" si="164"/>
        <v>3.2492669905861755E-12</v>
      </c>
      <c r="AL198" s="20">
        <f t="shared" si="165"/>
        <v>6.0761376450252565E-12</v>
      </c>
      <c r="AM198" s="59">
        <f t="shared" si="193"/>
        <v>293.3333333333394</v>
      </c>
      <c r="AN198" s="59">
        <f ca="1">AVERAGE(OFFSET($AM$3,0,0,'Données projet'!$E$10+1,1))-AVERAGE(OFFSET($H$3,0,0,'Données projet'!$E$10+1,1))</f>
        <v>246.72166704460847</v>
      </c>
      <c r="AO198" s="59">
        <f t="shared" si="205"/>
        <v>145.54897745089966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24.350347117790871</v>
      </c>
      <c r="AV198" s="21">
        <f>EXP(-LN(2)/25)*AV197+(1-EXP(-LN(2)/25))/(LN(2)/25)*Calculateur!AQ198*Calculateur!AS198*VLOOKUP('Données projet'!$B$10,Paramètres!$A$1:$I$89,3,0)*0.475*44/12</f>
        <v>3.0634634317080258</v>
      </c>
      <c r="AW198" s="21">
        <f>EXP(-LN(2)/2)*AW197+(1-EXP(-LN(2)/2))/(LN(2)/2)*AQ198*AT198*VLOOKUP('Données projet'!$B$10,Paramètres!$A$1:$I$89,3,0)*0.475*44/12</f>
        <v>2.086004465663036E-12</v>
      </c>
      <c r="AX198" s="21">
        <f t="shared" si="166"/>
        <v>27.413810549500983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88.478637356802039</v>
      </c>
      <c r="BJ198" s="59">
        <f t="shared" si="206"/>
        <v>239.55411297259155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1.4104690221533476</v>
      </c>
      <c r="BQ198" s="21">
        <f>EXP(-LN(2)/25)*BQ197+(1-EXP(-LN(2)/25))/(LN(2)/25)*Calculateur!BL198*Calculateur!BN198*VLOOKUP('Données projet'!$B$11,Paramètres!$A$1:$I$89,3,0)*0.475*44/12</f>
        <v>7.5263328652623723E-2</v>
      </c>
      <c r="BR198" s="21">
        <f>EXP(-LN(2)/2)*BR197+(1-EXP(-LN(2)/2))/(LN(2)/2)*BL198*BO198*VLOOKUP('Données projet'!$B$11,Paramètres!$A$1:$I$89,3,0)*0.475*44/12</f>
        <v>6.2869218436836039E-26</v>
      </c>
      <c r="BS198" s="22">
        <f t="shared" si="169"/>
        <v>1.4857323508059712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6.2527760746888816E-13</v>
      </c>
      <c r="BZ198" s="13">
        <f>BY198*VLOOKUP('Données projet'!$B$12,Paramètres!$A$1:$I$89,3,0)*VLOOKUP('Données projet'!$B$12,Paramètres!$A$1:$I$89,5,0)</f>
        <v>5.6575117923785E-13</v>
      </c>
      <c r="CA198" s="13">
        <f t="shared" si="170"/>
        <v>6.9465941821953252E-12</v>
      </c>
      <c r="CB198" s="20">
        <f t="shared" si="171"/>
        <v>1.3084001504496114E-11</v>
      </c>
      <c r="CC198" s="59">
        <f t="shared" si="195"/>
        <v>293.33333333334639</v>
      </c>
      <c r="CD198" s="59">
        <f ca="1">AVERAGE(OFFSET($CC$3,0,0,'Données projet'!$E$12+1,1))-AVERAGE(OFFSET($H$3,0,0,'Données projet'!$E$12+1,1))</f>
        <v>437.94387006020412</v>
      </c>
      <c r="CE198" s="59">
        <f t="shared" si="207"/>
        <v>213.95083535531376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171.98601800220334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171.98601800220334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5.4001247917767614E-13</v>
      </c>
      <c r="CU198" s="17">
        <f>CT198*VLOOKUP('Données projet'!$B$13,Paramètres!$A$1:$I$89,3,0)*VLOOKUP('Données projet'!$B$13,Paramètres!$A$1:$I$89,5,0)</f>
        <v>2.5974600248446226E-13</v>
      </c>
      <c r="CV198" s="13">
        <f t="shared" si="173"/>
        <v>3.4917846266292826E-12</v>
      </c>
      <c r="CW198" s="20">
        <f t="shared" si="174"/>
        <v>6.5339158457064384E-12</v>
      </c>
      <c r="CX198" s="59">
        <f t="shared" si="196"/>
        <v>293.33333333333985</v>
      </c>
      <c r="CY198" s="59">
        <f ca="1">AVERAGE(OFFSET($CX$3,0,0,'Données projet'!$E$13+1,1))-AVERAGE(OFFSET($H$3,0,0,'Données projet'!$E$13+1,1))</f>
        <v>258.42493116335032</v>
      </c>
      <c r="CZ198" s="59">
        <f t="shared" si="208"/>
        <v>102.46122697336466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30.230062241394503</v>
      </c>
      <c r="DG198" s="21">
        <f>EXP(-LN(2)/25)*DG197+(1-EXP(-LN(2)/25))/(LN(2)/25)*Calculateur!DB198*Calculateur!DD198*VLOOKUP('Données projet'!$B$13,Paramètres!$A$1:$I$89,3,0)*0.475*44/12</f>
        <v>3.838336663272468</v>
      </c>
      <c r="DH198" s="21">
        <f>EXP(-LN(2)/2)*DH197+(1-EXP(-LN(2)/2))/(LN(2)/2)*DB198*DE198*VLOOKUP('Données projet'!$B$13,Paramètres!$A$1:$I$89,3,0)*0.475*44/12</f>
        <v>6.3929620009365939E-11</v>
      </c>
      <c r="DI198" s="22">
        <f t="shared" si="175"/>
        <v>34.068398904730898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243</v>
      </c>
      <c r="DP198" s="17">
        <f>DO198*VLOOKUP('Données projet'!$B$14,Paramètres!$A$1:$I$89,3,0)*VLOOKUP('Données projet'!$B$14,Paramètres!$A$1:$I$89,5,0)</f>
        <v>212.28480000000002</v>
      </c>
      <c r="DQ198" s="13">
        <f t="shared" si="176"/>
        <v>52.434557099704193</v>
      </c>
      <c r="DR198" s="20">
        <f t="shared" si="177"/>
        <v>461.05288028198476</v>
      </c>
      <c r="DS198" s="59">
        <f t="shared" si="197"/>
        <v>754.38621361531807</v>
      </c>
      <c r="DT198" s="59">
        <f ca="1">AVERAGE(OFFSET($DS$3,0,0,'Données projet'!$E$14+1,1))-AVERAGE(OFFSET($H$3,0,0,'Données projet'!$E$14+1,1))</f>
        <v>354.24684313982857</v>
      </c>
      <c r="DU198" s="59">
        <f t="shared" si="209"/>
        <v>322.65043486962185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4.1526380613518707</v>
      </c>
      <c r="EB198" s="21">
        <f>EXP(-LN(2)/25)*EB197+(1-EXP(-LN(2)/25))/(LN(2)/25)*Calculateur!DW198*Calculateur!DY198*VLOOKUP('Données projet'!$B$14,Paramètres!$A$1:$I$89,3,0)*0.475*44/12</f>
        <v>1.0690456012205518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5.2216836625724223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-6.7984728957526396E-14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355.09162485318728</v>
      </c>
      <c r="T199" s="59">
        <f t="shared" si="204"/>
        <v>320.06572891923685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16.562837043921181</v>
      </c>
      <c r="AA199" s="21">
        <f>EXP(-LN(2)/25)*AA198+(1-EXP(-LN(2)/25))/(LN(2)/25)*Calculateur!V199*Calculateur!X199*VLOOKUP('Données projet'!$B$9,Paramètres!$A$1:$I$89,3,0)*0.475*44/12</f>
        <v>1.5221954898016217</v>
      </c>
      <c r="AB199" s="21">
        <f>EXP(-LN(2)/2)*AB198+(1-EXP(-LN(2)/2))/(LN(2)/2)*V199*Y199*VLOOKUP('Données projet'!$B$9,Paramètres!$A$1:$I$89,3,0)*0.475*44/12</f>
        <v>4.0497237261925973E-17</v>
      </c>
      <c r="AC199" s="22">
        <f t="shared" si="163"/>
        <v>18.085032533722803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5.1159076974727213E-13</v>
      </c>
      <c r="AJ199" s="13">
        <f>AI199*VLOOKUP('Données projet'!$B$10,Paramètres!$A$1:$I$89,3,0)*VLOOKUP('Données projet'!$B$10,Paramètres!$A$1:$I$89,5,0)</f>
        <v>2.3942448024172334E-13</v>
      </c>
      <c r="AK199" s="13">
        <f t="shared" si="164"/>
        <v>3.2492669905861755E-12</v>
      </c>
      <c r="AL199" s="20">
        <f t="shared" si="165"/>
        <v>6.0761376450252565E-12</v>
      </c>
      <c r="AM199" s="59">
        <f t="shared" si="193"/>
        <v>293.3333333333394</v>
      </c>
      <c r="AN199" s="59">
        <f ca="1">AVERAGE(OFFSET($AM$3,0,0,'Données projet'!$E$10+1,1))-AVERAGE(OFFSET($H$3,0,0,'Données projet'!$E$10+1,1))</f>
        <v>246.72166704460847</v>
      </c>
      <c r="AO199" s="59">
        <f t="shared" si="205"/>
        <v>145.54897745089966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23.872851663056196</v>
      </c>
      <c r="AV199" s="21">
        <f>EXP(-LN(2)/25)*AV198+(1-EXP(-LN(2)/25))/(LN(2)/25)*Calculateur!AQ199*Calculateur!AS199*VLOOKUP('Données projet'!$B$10,Paramètres!$A$1:$I$89,3,0)*0.475*44/12</f>
        <v>2.9796928630674295</v>
      </c>
      <c r="AW199" s="21">
        <f>EXP(-LN(2)/2)*AW198+(1-EXP(-LN(2)/2))/(LN(2)/2)*AQ199*AT199*VLOOKUP('Données projet'!$B$10,Paramètres!$A$1:$I$89,3,0)*0.475*44/12</f>
        <v>1.4750279032557534E-12</v>
      </c>
      <c r="AX199" s="21">
        <f t="shared" si="166"/>
        <v>26.852544526125101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88.478637356802039</v>
      </c>
      <c r="BJ199" s="59">
        <f t="shared" si="206"/>
        <v>239.55411297259155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1.3828105849300762</v>
      </c>
      <c r="BQ199" s="21">
        <f>EXP(-LN(2)/25)*BQ198+(1-EXP(-LN(2)/25))/(LN(2)/25)*Calculateur!BL199*Calculateur!BN199*VLOOKUP('Données projet'!$B$11,Paramètres!$A$1:$I$89,3,0)*0.475*44/12</f>
        <v>7.3205248972691289E-2</v>
      </c>
      <c r="BR199" s="21">
        <f>EXP(-LN(2)/2)*BR198+(1-EXP(-LN(2)/2))/(LN(2)/2)*BL199*BO199*VLOOKUP('Données projet'!$B$11,Paramètres!$A$1:$I$89,3,0)*0.475*44/12</f>
        <v>4.4455250684585081E-26</v>
      </c>
      <c r="BS199" s="22">
        <f t="shared" si="169"/>
        <v>1.4560158339027676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6.2527760746888816E-13</v>
      </c>
      <c r="BZ199" s="13">
        <f>BY199*VLOOKUP('Données projet'!$B$12,Paramètres!$A$1:$I$89,3,0)*VLOOKUP('Données projet'!$B$12,Paramètres!$A$1:$I$89,5,0)</f>
        <v>5.6575117923785E-13</v>
      </c>
      <c r="CA199" s="13">
        <f t="shared" si="170"/>
        <v>6.9465941821953252E-12</v>
      </c>
      <c r="CB199" s="20">
        <f t="shared" si="171"/>
        <v>1.3084001504496114E-11</v>
      </c>
      <c r="CC199" s="59">
        <f t="shared" si="195"/>
        <v>293.33333333334639</v>
      </c>
      <c r="CD199" s="59">
        <f ca="1">AVERAGE(OFFSET($CC$3,0,0,'Données projet'!$E$12+1,1))-AVERAGE(OFFSET($H$3,0,0,'Données projet'!$E$12+1,1))</f>
        <v>437.94387006020412</v>
      </c>
      <c r="CE199" s="59">
        <f t="shared" si="207"/>
        <v>213.95083535531376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168.61347709029297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168.61347709029297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5.4001247917767614E-13</v>
      </c>
      <c r="CU199" s="17">
        <f>CT199*VLOOKUP('Données projet'!$B$13,Paramètres!$A$1:$I$89,3,0)*VLOOKUP('Données projet'!$B$13,Paramètres!$A$1:$I$89,5,0)</f>
        <v>2.5974600248446226E-13</v>
      </c>
      <c r="CV199" s="13">
        <f t="shared" si="173"/>
        <v>3.4917846266292826E-12</v>
      </c>
      <c r="CW199" s="20">
        <f t="shared" si="174"/>
        <v>6.5339158457064384E-12</v>
      </c>
      <c r="CX199" s="59">
        <f t="shared" si="196"/>
        <v>293.33333333333985</v>
      </c>
      <c r="CY199" s="59">
        <f ca="1">AVERAGE(OFFSET($CX$3,0,0,'Données projet'!$E$13+1,1))-AVERAGE(OFFSET($H$3,0,0,'Données projet'!$E$13+1,1))</f>
        <v>258.42493116335032</v>
      </c>
      <c r="CZ199" s="59">
        <f t="shared" si="208"/>
        <v>102.46122697336466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29.637269159358073</v>
      </c>
      <c r="DG199" s="21">
        <f>EXP(-LN(2)/25)*DG198+(1-EXP(-LN(2)/25))/(LN(2)/25)*Calculateur!DB199*Calculateur!DD199*VLOOKUP('Données projet'!$B$13,Paramètres!$A$1:$I$89,3,0)*0.475*44/12</f>
        <v>3.7333771453659299</v>
      </c>
      <c r="DH199" s="21">
        <f>EXP(-LN(2)/2)*DH198+(1-EXP(-LN(2)/2))/(LN(2)/2)*DB199*DE199*VLOOKUP('Données projet'!$B$13,Paramètres!$A$1:$I$89,3,0)*0.475*44/12</f>
        <v>4.5205067827301853E-11</v>
      </c>
      <c r="DI199" s="22">
        <f t="shared" si="175"/>
        <v>33.37064630476921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243</v>
      </c>
      <c r="DP199" s="17">
        <f>DO199*VLOOKUP('Données projet'!$B$14,Paramètres!$A$1:$I$89,3,0)*VLOOKUP('Données projet'!$B$14,Paramètres!$A$1:$I$89,5,0)</f>
        <v>212.28480000000002</v>
      </c>
      <c r="DQ199" s="13">
        <f t="shared" si="176"/>
        <v>52.434557099704193</v>
      </c>
      <c r="DR199" s="20">
        <f t="shared" si="177"/>
        <v>461.05288028198476</v>
      </c>
      <c r="DS199" s="59">
        <f t="shared" si="197"/>
        <v>754.38621361531807</v>
      </c>
      <c r="DT199" s="59">
        <f ca="1">AVERAGE(OFFSET($DS$3,0,0,'Données projet'!$E$14+1,1))-AVERAGE(OFFSET($H$3,0,0,'Données projet'!$E$14+1,1))</f>
        <v>354.24684313982857</v>
      </c>
      <c r="DU199" s="59">
        <f t="shared" si="209"/>
        <v>322.65043486962185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4.071207361827879</v>
      </c>
      <c r="EB199" s="21">
        <f>EXP(-LN(2)/25)*EB198+(1-EXP(-LN(2)/25))/(LN(2)/25)*Calculateur!DW199*Calculateur!DY199*VLOOKUP('Données projet'!$B$14,Paramètres!$A$1:$I$89,3,0)*0.475*44/12</f>
        <v>1.0398124930365109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5.1110198548643897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-6.7984728957526396E-14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355.09162485318728</v>
      </c>
      <c r="T200" s="59">
        <f t="shared" si="204"/>
        <v>320.06572891923685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16.238049911822962</v>
      </c>
      <c r="AA200" s="21">
        <f>EXP(-LN(2)/25)*AA199+(1-EXP(-LN(2)/25))/(LN(2)/25)*Calculateur!V200*Calculateur!X200*VLOOKUP('Données projet'!$B$9,Paramètres!$A$1:$I$89,3,0)*0.475*44/12</f>
        <v>1.4805709740842146</v>
      </c>
      <c r="AB200" s="21">
        <f>EXP(-LN(2)/2)*AB199+(1-EXP(-LN(2)/2))/(LN(2)/2)*V200*Y200*VLOOKUP('Données projet'!$B$9,Paramètres!$A$1:$I$89,3,0)*0.475*44/12</f>
        <v>2.8635871087228388E-17</v>
      </c>
      <c r="AC200" s="22">
        <f t="shared" si="163"/>
        <v>17.718620885907178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5.1159076974727213E-13</v>
      </c>
      <c r="AJ200" s="13">
        <f>AI200*VLOOKUP('Données projet'!$B$10,Paramètres!$A$1:$I$89,3,0)*VLOOKUP('Données projet'!$B$10,Paramètres!$A$1:$I$89,5,0)</f>
        <v>2.3942448024172334E-13</v>
      </c>
      <c r="AK200" s="13">
        <f t="shared" si="164"/>
        <v>3.2492669905861755E-12</v>
      </c>
      <c r="AL200" s="20">
        <f t="shared" si="165"/>
        <v>6.0761376450252565E-12</v>
      </c>
      <c r="AM200" s="59">
        <f t="shared" si="193"/>
        <v>293.3333333333394</v>
      </c>
      <c r="AN200" s="59">
        <f ca="1">AVERAGE(OFFSET($AM$3,0,0,'Données projet'!$E$10+1,1))-AVERAGE(OFFSET($H$3,0,0,'Données projet'!$E$10+1,1))</f>
        <v>246.72166704460847</v>
      </c>
      <c r="AO200" s="59">
        <f t="shared" si="205"/>
        <v>145.54897745089966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23.404719602945399</v>
      </c>
      <c r="AV200" s="21">
        <f>EXP(-LN(2)/25)*AV199+(1-EXP(-LN(2)/25))/(LN(2)/25)*Calculateur!AQ200*Calculateur!AS200*VLOOKUP('Données projet'!$B$10,Paramètres!$A$1:$I$89,3,0)*0.475*44/12</f>
        <v>2.8982130050316131</v>
      </c>
      <c r="AW200" s="21">
        <f>EXP(-LN(2)/2)*AW199+(1-EXP(-LN(2)/2))/(LN(2)/2)*AQ200*AT200*VLOOKUP('Données projet'!$B$10,Paramètres!$A$1:$I$89,3,0)*0.475*44/12</f>
        <v>1.043002232831518E-12</v>
      </c>
      <c r="AX200" s="21">
        <f t="shared" si="166"/>
        <v>26.302932607978057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88.478637356802039</v>
      </c>
      <c r="BJ200" s="59">
        <f t="shared" si="206"/>
        <v>239.55411297259155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1.3556945127907722</v>
      </c>
      <c r="BQ200" s="21">
        <f>EXP(-LN(2)/25)*BQ199+(1-EXP(-LN(2)/25))/(LN(2)/25)*Calculateur!BL200*Calculateur!BN200*VLOOKUP('Données projet'!$B$11,Paramètres!$A$1:$I$89,3,0)*0.475*44/12</f>
        <v>7.1203447589836322E-2</v>
      </c>
      <c r="BR200" s="21">
        <f>EXP(-LN(2)/2)*BR199+(1-EXP(-LN(2)/2))/(LN(2)/2)*BL200*BO200*VLOOKUP('Données projet'!$B$11,Paramètres!$A$1:$I$89,3,0)*0.475*44/12</f>
        <v>3.1434609218418019E-26</v>
      </c>
      <c r="BS200" s="22">
        <f t="shared" si="169"/>
        <v>1.4268979603806087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6.2527760746888816E-13</v>
      </c>
      <c r="BZ200" s="13">
        <f>BY200*VLOOKUP('Données projet'!$B$12,Paramètres!$A$1:$I$89,3,0)*VLOOKUP('Données projet'!$B$12,Paramètres!$A$1:$I$89,5,0)</f>
        <v>5.6575117923785E-13</v>
      </c>
      <c r="CA200" s="13">
        <f t="shared" si="170"/>
        <v>6.9465941821953252E-12</v>
      </c>
      <c r="CB200" s="20">
        <f t="shared" si="171"/>
        <v>1.3084001504496114E-11</v>
      </c>
      <c r="CC200" s="59">
        <f t="shared" si="195"/>
        <v>293.33333333334639</v>
      </c>
      <c r="CD200" s="59">
        <f ca="1">AVERAGE(OFFSET($CC$3,0,0,'Données projet'!$E$12+1,1))-AVERAGE(OFFSET($H$3,0,0,'Données projet'!$E$12+1,1))</f>
        <v>437.94387006020412</v>
      </c>
      <c r="CE200" s="59">
        <f t="shared" si="207"/>
        <v>213.95083535531376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165.30706964861835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165.30706964861835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5.4001247917767614E-13</v>
      </c>
      <c r="CU200" s="17">
        <f>CT200*VLOOKUP('Données projet'!$B$13,Paramètres!$A$1:$I$89,3,0)*VLOOKUP('Données projet'!$B$13,Paramètres!$A$1:$I$89,5,0)</f>
        <v>2.5974600248446226E-13</v>
      </c>
      <c r="CV200" s="13">
        <f t="shared" si="173"/>
        <v>3.4917846266292826E-12</v>
      </c>
      <c r="CW200" s="20">
        <f t="shared" si="174"/>
        <v>6.5339158457064384E-12</v>
      </c>
      <c r="CX200" s="59">
        <f t="shared" si="196"/>
        <v>293.33333333333985</v>
      </c>
      <c r="CY200" s="59">
        <f ca="1">AVERAGE(OFFSET($CX$3,0,0,'Données projet'!$E$13+1,1))-AVERAGE(OFFSET($H$3,0,0,'Données projet'!$E$13+1,1))</f>
        <v>258.42493116335032</v>
      </c>
      <c r="CZ200" s="59">
        <f t="shared" si="208"/>
        <v>102.46122697336466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29.056100388092297</v>
      </c>
      <c r="DG200" s="21">
        <f>EXP(-LN(2)/25)*DG199+(1-EXP(-LN(2)/25))/(LN(2)/25)*Calculateur!DB200*Calculateur!DD200*VLOOKUP('Données projet'!$B$13,Paramètres!$A$1:$I$89,3,0)*0.475*44/12</f>
        <v>3.6312877509961274</v>
      </c>
      <c r="DH200" s="21">
        <f>EXP(-LN(2)/2)*DH199+(1-EXP(-LN(2)/2))/(LN(2)/2)*DB200*DE200*VLOOKUP('Données projet'!$B$13,Paramètres!$A$1:$I$89,3,0)*0.475*44/12</f>
        <v>3.196481000468297E-11</v>
      </c>
      <c r="DI200" s="22">
        <f t="shared" si="175"/>
        <v>32.687388139120394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243</v>
      </c>
      <c r="DP200" s="17">
        <f>DO200*VLOOKUP('Données projet'!$B$14,Paramètres!$A$1:$I$89,3,0)*VLOOKUP('Données projet'!$B$14,Paramètres!$A$1:$I$89,5,0)</f>
        <v>212.28480000000002</v>
      </c>
      <c r="DQ200" s="13">
        <f t="shared" si="176"/>
        <v>52.434557099704193</v>
      </c>
      <c r="DR200" s="20">
        <f t="shared" si="177"/>
        <v>461.05288028198476</v>
      </c>
      <c r="DS200" s="59">
        <f t="shared" si="197"/>
        <v>754.38621361531807</v>
      </c>
      <c r="DT200" s="59">
        <f ca="1">AVERAGE(OFFSET($DS$3,0,0,'Données projet'!$E$14+1,1))-AVERAGE(OFFSET($H$3,0,0,'Données projet'!$E$14+1,1))</f>
        <v>354.24684313982857</v>
      </c>
      <c r="DU200" s="59">
        <f t="shared" si="209"/>
        <v>322.65043486962185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3.9913734686537303</v>
      </c>
      <c r="EB200" s="21">
        <f>EXP(-LN(2)/25)*EB199+(1-EXP(-LN(2)/25))/(LN(2)/25)*Calculateur!DW200*Calculateur!DY200*VLOOKUP('Données projet'!$B$14,Paramètres!$A$1:$I$89,3,0)*0.475*44/12</f>
        <v>1.0113787657330651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5.0027522343867954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-6.7984728957526396E-14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355.09162485318728</v>
      </c>
      <c r="T201" s="59">
        <f t="shared" si="204"/>
        <v>320.06572891923685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15.919631657284599</v>
      </c>
      <c r="AA201" s="21">
        <f>EXP(-LN(2)/25)*AA200+(1-EXP(-LN(2)/25))/(LN(2)/25)*Calculateur!V201*Calculateur!X201*VLOOKUP('Données projet'!$B$9,Paramètres!$A$1:$I$89,3,0)*0.475*44/12</f>
        <v>1.440084682938038</v>
      </c>
      <c r="AB201" s="21">
        <f>EXP(-LN(2)/2)*AB200+(1-EXP(-LN(2)/2))/(LN(2)/2)*V201*Y201*VLOOKUP('Données projet'!$B$9,Paramètres!$A$1:$I$89,3,0)*0.475*44/12</f>
        <v>2.0248618630962986E-17</v>
      </c>
      <c r="AC201" s="22">
        <f t="shared" si="163"/>
        <v>17.359716340222636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5.1159076974727213E-13</v>
      </c>
      <c r="AJ201" s="13">
        <f>AI201*VLOOKUP('Données projet'!$B$10,Paramètres!$A$1:$I$89,3,0)*VLOOKUP('Données projet'!$B$10,Paramètres!$A$1:$I$89,5,0)</f>
        <v>2.3942448024172334E-13</v>
      </c>
      <c r="AK201" s="13">
        <f t="shared" si="164"/>
        <v>3.2492669905861755E-12</v>
      </c>
      <c r="AL201" s="20">
        <f t="shared" si="165"/>
        <v>6.0761376450252565E-12</v>
      </c>
      <c r="AM201" s="59">
        <f t="shared" si="193"/>
        <v>293.3333333333394</v>
      </c>
      <c r="AN201" s="59">
        <f ca="1">AVERAGE(OFFSET($AM$3,0,0,'Données projet'!$E$10+1,1))-AVERAGE(OFFSET($H$3,0,0,'Données projet'!$E$10+1,1))</f>
        <v>246.72166704460847</v>
      </c>
      <c r="AO201" s="59">
        <f t="shared" si="205"/>
        <v>145.54897745089966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22.945767327001011</v>
      </c>
      <c r="AV201" s="21">
        <f>EXP(-LN(2)/25)*AV200+(1-EXP(-LN(2)/25))/(LN(2)/25)*Calculateur!AQ201*Calculateur!AS201*VLOOKUP('Données projet'!$B$10,Paramètres!$A$1:$I$89,3,0)*0.475*44/12</f>
        <v>2.8189612179986256</v>
      </c>
      <c r="AW201" s="21">
        <f>EXP(-LN(2)/2)*AW200+(1-EXP(-LN(2)/2))/(LN(2)/2)*AQ201*AT201*VLOOKUP('Données projet'!$B$10,Paramètres!$A$1:$I$89,3,0)*0.475*44/12</f>
        <v>7.3751395162787672E-13</v>
      </c>
      <c r="AX201" s="21">
        <f t="shared" si="166"/>
        <v>25.764728545000377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88.478637356802039</v>
      </c>
      <c r="BJ201" s="59">
        <f t="shared" si="206"/>
        <v>239.55411297259155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1.3291101702869492</v>
      </c>
      <c r="BQ201" s="21">
        <f>EXP(-LN(2)/25)*BQ200+(1-EXP(-LN(2)/25))/(LN(2)/25)*Calculateur!BL201*Calculateur!BN201*VLOOKUP('Données projet'!$B$11,Paramètres!$A$1:$I$89,3,0)*0.475*44/12</f>
        <v>6.9256385571065671E-2</v>
      </c>
      <c r="BR201" s="21">
        <f>EXP(-LN(2)/2)*BR200+(1-EXP(-LN(2)/2))/(LN(2)/2)*BL201*BO201*VLOOKUP('Données projet'!$B$11,Paramètres!$A$1:$I$89,3,0)*0.475*44/12</f>
        <v>2.222762534229254E-26</v>
      </c>
      <c r="BS201" s="22">
        <f t="shared" si="169"/>
        <v>1.3983665558580149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6.2527760746888816E-13</v>
      </c>
      <c r="BZ201" s="13">
        <f>BY201*VLOOKUP('Données projet'!$B$12,Paramètres!$A$1:$I$89,3,0)*VLOOKUP('Données projet'!$B$12,Paramètres!$A$1:$I$89,5,0)</f>
        <v>5.6575117923785E-13</v>
      </c>
      <c r="CA201" s="13">
        <f t="shared" si="170"/>
        <v>6.9465941821953252E-12</v>
      </c>
      <c r="CB201" s="20">
        <f t="shared" si="171"/>
        <v>1.3084001504496114E-11</v>
      </c>
      <c r="CC201" s="59">
        <f t="shared" si="195"/>
        <v>293.33333333334639</v>
      </c>
      <c r="CD201" s="59">
        <f ca="1">AVERAGE(OFFSET($CC$3,0,0,'Données projet'!$E$12+1,1))-AVERAGE(OFFSET($H$3,0,0,'Données projet'!$E$12+1,1))</f>
        <v>437.94387006020412</v>
      </c>
      <c r="CE201" s="59">
        <f t="shared" si="207"/>
        <v>213.95083535531376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162.06549884016556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162.06549884016556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5.4001247917767614E-13</v>
      </c>
      <c r="CU201" s="17">
        <f>CT201*VLOOKUP('Données projet'!$B$13,Paramètres!$A$1:$I$89,3,0)*VLOOKUP('Données projet'!$B$13,Paramètres!$A$1:$I$89,5,0)</f>
        <v>2.5974600248446226E-13</v>
      </c>
      <c r="CV201" s="13">
        <f t="shared" si="173"/>
        <v>3.4917846266292826E-12</v>
      </c>
      <c r="CW201" s="20">
        <f t="shared" si="174"/>
        <v>6.5339158457064384E-12</v>
      </c>
      <c r="CX201" s="59">
        <f t="shared" si="196"/>
        <v>293.33333333333985</v>
      </c>
      <c r="CY201" s="59">
        <f ca="1">AVERAGE(OFFSET($CX$3,0,0,'Données projet'!$E$13+1,1))-AVERAGE(OFFSET($H$3,0,0,'Données projet'!$E$13+1,1))</f>
        <v>258.42493116335032</v>
      </c>
      <c r="CZ201" s="59">
        <f t="shared" si="208"/>
        <v>102.46122697336466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28.486327981953096</v>
      </c>
      <c r="DG201" s="21">
        <f>EXP(-LN(2)/25)*DG200+(1-EXP(-LN(2)/25))/(LN(2)/25)*Calculateur!DB201*Calculateur!DD201*VLOOKUP('Données projet'!$B$13,Paramètres!$A$1:$I$89,3,0)*0.475*44/12</f>
        <v>3.5319899964840151</v>
      </c>
      <c r="DH201" s="21">
        <f>EXP(-LN(2)/2)*DH200+(1-EXP(-LN(2)/2))/(LN(2)/2)*DB201*DE201*VLOOKUP('Données projet'!$B$13,Paramètres!$A$1:$I$89,3,0)*0.475*44/12</f>
        <v>2.2602533913650927E-11</v>
      </c>
      <c r="DI201" s="22">
        <f t="shared" si="175"/>
        <v>32.018317978459713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243</v>
      </c>
      <c r="DP201" s="17">
        <f>DO201*VLOOKUP('Données projet'!$B$14,Paramètres!$A$1:$I$89,3,0)*VLOOKUP('Données projet'!$B$14,Paramètres!$A$1:$I$89,5,0)</f>
        <v>212.28480000000002</v>
      </c>
      <c r="DQ201" s="13">
        <f t="shared" si="176"/>
        <v>52.434557099704193</v>
      </c>
      <c r="DR201" s="20">
        <f t="shared" si="177"/>
        <v>461.05288028198476</v>
      </c>
      <c r="DS201" s="59">
        <f t="shared" si="197"/>
        <v>754.38621361531807</v>
      </c>
      <c r="DT201" s="59">
        <f ca="1">AVERAGE(OFFSET($DS$3,0,0,'Données projet'!$E$14+1,1))-AVERAGE(OFFSET($H$3,0,0,'Données projet'!$E$14+1,1))</f>
        <v>354.24684313982857</v>
      </c>
      <c r="DU201" s="59">
        <f t="shared" si="209"/>
        <v>322.65043486962185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3.91310506943086</v>
      </c>
      <c r="EB201" s="21">
        <f>EXP(-LN(2)/25)*EB200+(1-EXP(-LN(2)/25))/(LN(2)/25)*Calculateur!DW201*Calculateur!DY201*VLOOKUP('Données projet'!$B$14,Paramètres!$A$1:$I$89,3,0)*0.475*44/12</f>
        <v>0.98372256019799664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4.8968276296288566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-6.7984728957526396E-14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355.09162485318728</v>
      </c>
      <c r="T202" s="59">
        <f t="shared" si="204"/>
        <v>320.06572891923685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15.607457390501775</v>
      </c>
      <c r="AA202" s="21">
        <f>EXP(-LN(2)/25)*AA201+(1-EXP(-LN(2)/25))/(LN(2)/25)*Calculateur!V202*Calculateur!X202*VLOOKUP('Données projet'!$B$9,Paramètres!$A$1:$I$89,3,0)*0.475*44/12</f>
        <v>1.4007054915523354</v>
      </c>
      <c r="AB202" s="21">
        <f>EXP(-LN(2)/2)*AB201+(1-EXP(-LN(2)/2))/(LN(2)/2)*V202*Y202*VLOOKUP('Données projet'!$B$9,Paramètres!$A$1:$I$89,3,0)*0.475*44/12</f>
        <v>1.4317935543614194E-17</v>
      </c>
      <c r="AC202" s="22">
        <f t="shared" si="163"/>
        <v>17.008162882054112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5.1159076974727213E-13</v>
      </c>
      <c r="AJ202" s="13">
        <f>AI202*VLOOKUP('Données projet'!$B$10,Paramètres!$A$1:$I$89,3,0)*VLOOKUP('Données projet'!$B$10,Paramètres!$A$1:$I$89,5,0)</f>
        <v>2.3942448024172334E-13</v>
      </c>
      <c r="AK202" s="13">
        <f t="shared" si="164"/>
        <v>3.2492669905861755E-12</v>
      </c>
      <c r="AL202" s="20">
        <f t="shared" si="165"/>
        <v>6.0761376450252565E-12</v>
      </c>
      <c r="AM202" s="59">
        <f t="shared" si="193"/>
        <v>293.3333333333394</v>
      </c>
      <c r="AN202" s="59">
        <f ca="1">AVERAGE(OFFSET($AM$3,0,0,'Données projet'!$E$10+1,1))-AVERAGE(OFFSET($H$3,0,0,'Données projet'!$E$10+1,1))</f>
        <v>246.72166704460847</v>
      </c>
      <c r="AO202" s="59">
        <f t="shared" si="205"/>
        <v>145.54897745089966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22.495814825254648</v>
      </c>
      <c r="AV202" s="21">
        <f>EXP(-LN(2)/25)*AV201+(1-EXP(-LN(2)/25))/(LN(2)/25)*Calculateur!AQ202*Calculateur!AS202*VLOOKUP('Données projet'!$B$10,Paramètres!$A$1:$I$89,3,0)*0.475*44/12</f>
        <v>2.7418765752497256</v>
      </c>
      <c r="AW202" s="21">
        <f>EXP(-LN(2)/2)*AW201+(1-EXP(-LN(2)/2))/(LN(2)/2)*AQ202*AT202*VLOOKUP('Données projet'!$B$10,Paramètres!$A$1:$I$89,3,0)*0.475*44/12</f>
        <v>5.2150111641575901E-13</v>
      </c>
      <c r="AX202" s="21">
        <f t="shared" si="166"/>
        <v>25.237691400504897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88.478637356802039</v>
      </c>
      <c r="BJ202" s="59">
        <f t="shared" si="206"/>
        <v>239.55411297259155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1.3030471305247784</v>
      </c>
      <c r="BQ202" s="21">
        <f>EXP(-LN(2)/25)*BQ201+(1-EXP(-LN(2)/25))/(LN(2)/25)*Calculateur!BL202*Calculateur!BN202*VLOOKUP('Données projet'!$B$11,Paramètres!$A$1:$I$89,3,0)*0.475*44/12</f>
        <v>6.7362566065589852E-2</v>
      </c>
      <c r="BR202" s="21">
        <f>EXP(-LN(2)/2)*BR201+(1-EXP(-LN(2)/2))/(LN(2)/2)*BL202*BO202*VLOOKUP('Données projet'!$B$11,Paramètres!$A$1:$I$89,3,0)*0.475*44/12</f>
        <v>1.571730460920901E-26</v>
      </c>
      <c r="BS202" s="22">
        <f t="shared" si="169"/>
        <v>1.3704096965903683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6.2527760746888816E-13</v>
      </c>
      <c r="BZ202" s="13">
        <f>BY202*VLOOKUP('Données projet'!$B$12,Paramètres!$A$1:$I$89,3,0)*VLOOKUP('Données projet'!$B$12,Paramètres!$A$1:$I$89,5,0)</f>
        <v>5.6575117923785E-13</v>
      </c>
      <c r="CA202" s="13">
        <f t="shared" si="170"/>
        <v>6.9465941821953252E-12</v>
      </c>
      <c r="CB202" s="20">
        <f t="shared" si="171"/>
        <v>1.3084001504496114E-11</v>
      </c>
      <c r="CC202" s="59">
        <f t="shared" si="195"/>
        <v>293.33333333334639</v>
      </c>
      <c r="CD202" s="59">
        <f ca="1">AVERAGE(OFFSET($CC$3,0,0,'Données projet'!$E$12+1,1))-AVERAGE(OFFSET($H$3,0,0,'Données projet'!$E$12+1,1))</f>
        <v>437.94387006020412</v>
      </c>
      <c r="CE202" s="59">
        <f t="shared" si="207"/>
        <v>213.95083535531376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158.88749325810355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158.88749325810355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5.4001247917767614E-13</v>
      </c>
      <c r="CU202" s="17">
        <f>CT202*VLOOKUP('Données projet'!$B$13,Paramètres!$A$1:$I$89,3,0)*VLOOKUP('Données projet'!$B$13,Paramètres!$A$1:$I$89,5,0)</f>
        <v>2.5974600248446226E-13</v>
      </c>
      <c r="CV202" s="13">
        <f t="shared" si="173"/>
        <v>3.4917846266292826E-12</v>
      </c>
      <c r="CW202" s="20">
        <f t="shared" si="174"/>
        <v>6.5339158457064384E-12</v>
      </c>
      <c r="CX202" s="59">
        <f t="shared" si="196"/>
        <v>293.33333333333985</v>
      </c>
      <c r="CY202" s="59">
        <f ca="1">AVERAGE(OFFSET($CX$3,0,0,'Données projet'!$E$13+1,1))-AVERAGE(OFFSET($H$3,0,0,'Données projet'!$E$13+1,1))</f>
        <v>258.42493116335032</v>
      </c>
      <c r="CZ202" s="59">
        <f t="shared" si="208"/>
        <v>102.46122697336466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27.92772846517143</v>
      </c>
      <c r="DG202" s="21">
        <f>EXP(-LN(2)/25)*DG201+(1-EXP(-LN(2)/25))/(LN(2)/25)*Calculateur!DB202*Calculateur!DD202*VLOOKUP('Données projet'!$B$13,Paramètres!$A$1:$I$89,3,0)*0.475*44/12</f>
        <v>3.4354075442908782</v>
      </c>
      <c r="DH202" s="21">
        <f>EXP(-LN(2)/2)*DH201+(1-EXP(-LN(2)/2))/(LN(2)/2)*DB202*DE202*VLOOKUP('Données projet'!$B$13,Paramètres!$A$1:$I$89,3,0)*0.475*44/12</f>
        <v>1.5982405002341485E-11</v>
      </c>
      <c r="DI202" s="22">
        <f t="shared" si="175"/>
        <v>31.363136009478293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243</v>
      </c>
      <c r="DP202" s="17">
        <f>DO202*VLOOKUP('Données projet'!$B$14,Paramètres!$A$1:$I$89,3,0)*VLOOKUP('Données projet'!$B$14,Paramètres!$A$1:$I$89,5,0)</f>
        <v>212.28480000000002</v>
      </c>
      <c r="DQ202" s="13">
        <f t="shared" si="176"/>
        <v>52.434557099704193</v>
      </c>
      <c r="DR202" s="20">
        <f t="shared" si="177"/>
        <v>461.05288028198476</v>
      </c>
      <c r="DS202" s="59">
        <f t="shared" si="197"/>
        <v>754.38621361531807</v>
      </c>
      <c r="DT202" s="59">
        <f ca="1">AVERAGE(OFFSET($DS$3,0,0,'Données projet'!$E$14+1,1))-AVERAGE(OFFSET($H$3,0,0,'Données projet'!$E$14+1,1))</f>
        <v>354.24684313982857</v>
      </c>
      <c r="DU202" s="59">
        <f t="shared" si="209"/>
        <v>322.65043486962185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3.8363714657777406</v>
      </c>
      <c r="EB202" s="21">
        <f>EXP(-LN(2)/25)*EB201+(1-EXP(-LN(2)/25))/(LN(2)/25)*Calculateur!DW202*Calculateur!DY202*VLOOKUP('Données projet'!$B$14,Paramètres!$A$1:$I$89,3,0)*0.475*44/12</f>
        <v>0.95682261505766131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4.7931940808354021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-6.7984728957526396E-14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355.09162485318728</v>
      </c>
      <c r="T203" s="59">
        <f t="shared" si="204"/>
        <v>320.06572891923685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15.301404670683061</v>
      </c>
      <c r="AA203" s="21">
        <f>EXP(-LN(2)/25)*AA202+(1-EXP(-LN(2)/25))/(LN(2)/25)*Calculateur!V203*Calculateur!X203*VLOOKUP('Données projet'!$B$9,Paramètres!$A$1:$I$89,3,0)*0.475*44/12</f>
        <v>1.3624031262259364</v>
      </c>
      <c r="AB203" s="21">
        <f>EXP(-LN(2)/2)*AB202+(1-EXP(-LN(2)/2))/(LN(2)/2)*V203*Y203*VLOOKUP('Données projet'!$B$9,Paramètres!$A$1:$I$89,3,0)*0.475*44/12</f>
        <v>1.0124309315481493E-17</v>
      </c>
      <c r="AC203" s="22">
        <f t="shared" si="163"/>
        <v>16.663807796908998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5.1159076974727213E-13</v>
      </c>
      <c r="AJ203" s="13">
        <f>AI203*VLOOKUP('Données projet'!$B$10,Paramètres!$A$1:$I$89,3,0)*VLOOKUP('Données projet'!$B$10,Paramètres!$A$1:$I$89,5,0)</f>
        <v>2.3942448024172334E-13</v>
      </c>
      <c r="AK203" s="13">
        <f t="shared" si="164"/>
        <v>3.2492669905861755E-12</v>
      </c>
      <c r="AL203" s="20">
        <f t="shared" si="165"/>
        <v>6.0761376450252565E-12</v>
      </c>
      <c r="AM203" s="59">
        <f t="shared" si="193"/>
        <v>293.3333333333394</v>
      </c>
      <c r="AN203" s="59">
        <f ca="1">AVERAGE(OFFSET($AM$3,0,0,'Données projet'!$E$10+1,1))-AVERAGE(OFFSET($H$3,0,0,'Données projet'!$E$10+1,1))</f>
        <v>246.72166704460847</v>
      </c>
      <c r="AO203" s="59">
        <f t="shared" si="205"/>
        <v>145.54897745089966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22.054685617623601</v>
      </c>
      <c r="AV203" s="21">
        <f>EXP(-LN(2)/25)*AV202+(1-EXP(-LN(2)/25))/(LN(2)/25)*Calculateur!AQ203*Calculateur!AS203*VLOOKUP('Données projet'!$B$10,Paramètres!$A$1:$I$89,3,0)*0.475*44/12</f>
        <v>2.6668998161104995</v>
      </c>
      <c r="AW203" s="21">
        <f>EXP(-LN(2)/2)*AW202+(1-EXP(-LN(2)/2))/(LN(2)/2)*AQ203*AT203*VLOOKUP('Données projet'!$B$10,Paramètres!$A$1:$I$89,3,0)*0.475*44/12</f>
        <v>3.6875697581393836E-13</v>
      </c>
      <c r="AX203" s="21">
        <f t="shared" si="166"/>
        <v>24.721585433734472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88.478637356802039</v>
      </c>
      <c r="BJ203" s="59">
        <f t="shared" si="206"/>
        <v>239.55411297259155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1.277495171075459</v>
      </c>
      <c r="BQ203" s="21">
        <f>EXP(-LN(2)/25)*BQ202+(1-EXP(-LN(2)/25))/(LN(2)/25)*Calculateur!BL203*Calculateur!BN203*VLOOKUP('Données projet'!$B$11,Paramètres!$A$1:$I$89,3,0)*0.475*44/12</f>
        <v>6.5520533154082905E-2</v>
      </c>
      <c r="BR203" s="21">
        <f>EXP(-LN(2)/2)*BR202+(1-EXP(-LN(2)/2))/(LN(2)/2)*BL203*BO203*VLOOKUP('Données projet'!$B$11,Paramètres!$A$1:$I$89,3,0)*0.475*44/12</f>
        <v>1.111381267114627E-26</v>
      </c>
      <c r="BS203" s="22">
        <f t="shared" si="169"/>
        <v>1.3430157042295419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6.2527760746888816E-13</v>
      </c>
      <c r="BZ203" s="13">
        <f>BY203*VLOOKUP('Données projet'!$B$12,Paramètres!$A$1:$I$89,3,0)*VLOOKUP('Données projet'!$B$12,Paramètres!$A$1:$I$89,5,0)</f>
        <v>5.6575117923785E-13</v>
      </c>
      <c r="CA203" s="13">
        <f t="shared" si="170"/>
        <v>6.9465941821953252E-12</v>
      </c>
      <c r="CB203" s="20">
        <f t="shared" si="171"/>
        <v>1.3084001504496114E-11</v>
      </c>
      <c r="CC203" s="59">
        <f t="shared" si="195"/>
        <v>293.33333333334639</v>
      </c>
      <c r="CD203" s="59">
        <f ca="1">AVERAGE(OFFSET($CC$3,0,0,'Données projet'!$E$12+1,1))-AVERAGE(OFFSET($H$3,0,0,'Données projet'!$E$12+1,1))</f>
        <v>437.94387006020412</v>
      </c>
      <c r="CE203" s="59">
        <f t="shared" si="207"/>
        <v>213.95083535531376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155.77180642711377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155.77180642711377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5.4001247917767614E-13</v>
      </c>
      <c r="CU203" s="17">
        <f>CT203*VLOOKUP('Données projet'!$B$13,Paramètres!$A$1:$I$89,3,0)*VLOOKUP('Données projet'!$B$13,Paramètres!$A$1:$I$89,5,0)</f>
        <v>2.5974600248446226E-13</v>
      </c>
      <c r="CV203" s="13">
        <f t="shared" si="173"/>
        <v>3.4917846266292826E-12</v>
      </c>
      <c r="CW203" s="20">
        <f t="shared" si="174"/>
        <v>6.5339158457064384E-12</v>
      </c>
      <c r="CX203" s="59">
        <f t="shared" si="196"/>
        <v>293.33333333333985</v>
      </c>
      <c r="CY203" s="59">
        <f ca="1">AVERAGE(OFFSET($CX$3,0,0,'Données projet'!$E$13+1,1))-AVERAGE(OFFSET($H$3,0,0,'Données projet'!$E$13+1,1))</f>
        <v>258.42493116335032</v>
      </c>
      <c r="CZ203" s="59">
        <f t="shared" si="208"/>
        <v>102.46122697336466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27.380082744201793</v>
      </c>
      <c r="DG203" s="21">
        <f>EXP(-LN(2)/25)*DG202+(1-EXP(-LN(2)/25))/(LN(2)/25)*Calculateur!DB203*Calculateur!DD203*VLOOKUP('Données projet'!$B$13,Paramètres!$A$1:$I$89,3,0)*0.475*44/12</f>
        <v>3.3414661443320131</v>
      </c>
      <c r="DH203" s="21">
        <f>EXP(-LN(2)/2)*DH202+(1-EXP(-LN(2)/2))/(LN(2)/2)*DB203*DE203*VLOOKUP('Données projet'!$B$13,Paramètres!$A$1:$I$89,3,0)*0.475*44/12</f>
        <v>1.1301266956825463E-11</v>
      </c>
      <c r="DI203" s="22">
        <f t="shared" si="175"/>
        <v>30.721548888545108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243</v>
      </c>
      <c r="DP203" s="17">
        <f>DO203*VLOOKUP('Données projet'!$B$14,Paramètres!$A$1:$I$89,3,0)*VLOOKUP('Données projet'!$B$14,Paramètres!$A$1:$I$89,5,0)</f>
        <v>212.28480000000002</v>
      </c>
      <c r="DQ203" s="13">
        <f t="shared" si="176"/>
        <v>52.434557099704193</v>
      </c>
      <c r="DR203" s="20">
        <f t="shared" si="177"/>
        <v>461.05288028198476</v>
      </c>
      <c r="DS203" s="59">
        <f t="shared" si="197"/>
        <v>754.38621361531807</v>
      </c>
      <c r="DT203" s="59">
        <f ca="1">AVERAGE(OFFSET($DS$3,0,0,'Données projet'!$E$14+1,1))-AVERAGE(OFFSET($H$3,0,0,'Données projet'!$E$14+1,1))</f>
        <v>354.24684313982857</v>
      </c>
      <c r="DU203" s="59">
        <f t="shared" si="209"/>
        <v>322.65043486962185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3.7611425612893816</v>
      </c>
      <c r="EB203" s="21">
        <f>EXP(-LN(2)/25)*EB202+(1-EXP(-LN(2)/25))/(LN(2)/25)*Calculateur!DW203*Calculateur!DY203*VLOOKUP('Données projet'!$B$14,Paramètres!$A$1:$I$89,3,0)*0.475*44/12</f>
        <v>0.93065825033179506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4.6918008116211762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117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117</v>
      </c>
      <c r="BA204" s="81" t="s">
        <v>117</v>
      </c>
      <c r="BV204" s="81" t="s">
        <v>117</v>
      </c>
      <c r="CQ204" s="81" t="s">
        <v>117</v>
      </c>
      <c r="DL204" s="81" t="s">
        <v>117</v>
      </c>
      <c r="EG204" s="81" t="s">
        <v>117</v>
      </c>
      <c r="FB204" s="81" t="s">
        <v>117</v>
      </c>
      <c r="FW204" s="81" t="s">
        <v>117</v>
      </c>
      <c r="GR204" s="81" t="s">
        <v>117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1.2909310311160476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1.1671681906248585</v>
      </c>
      <c r="BA205" s="82">
        <f>EXP(LN('Données projet'!B88)/'Données projet'!A88)</f>
        <v>1.3094437062921891</v>
      </c>
      <c r="BV205" s="82">
        <f>EXP(LN('Données projet'!B114)/'Données projet'!A114)</f>
        <v>1.1610047721794545</v>
      </c>
      <c r="CQ205" s="82">
        <f>EXP(LN('Données projet'!B140)/'Données projet'!A140)</f>
        <v>1.1461513822586431</v>
      </c>
      <c r="DL205" s="82">
        <f>EXP(LN('Données projet'!B166)/'Données projet'!A166)</f>
        <v>1.4003603312913959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118</v>
      </c>
      <c r="B1" s="112" t="s">
        <v>119</v>
      </c>
      <c r="C1" s="113" t="s">
        <v>120</v>
      </c>
      <c r="D1" s="112" t="s">
        <v>121</v>
      </c>
      <c r="E1" s="113" t="s">
        <v>122</v>
      </c>
      <c r="F1" s="113" t="s">
        <v>121</v>
      </c>
      <c r="G1" s="113" t="s">
        <v>123</v>
      </c>
      <c r="H1" s="113" t="s">
        <v>121</v>
      </c>
      <c r="I1" s="114" t="s">
        <v>124</v>
      </c>
      <c r="J1" s="78"/>
      <c r="K1" s="78"/>
      <c r="L1" s="78"/>
      <c r="M1" s="78"/>
      <c r="N1" s="78"/>
    </row>
    <row r="2" spans="1:16" x14ac:dyDescent="0.25">
      <c r="A2" s="115" t="s">
        <v>125</v>
      </c>
      <c r="B2" s="116" t="s">
        <v>126</v>
      </c>
      <c r="C2" s="117">
        <v>0.62</v>
      </c>
      <c r="D2" s="117" t="s">
        <v>127</v>
      </c>
      <c r="E2" s="117">
        <v>1.56</v>
      </c>
      <c r="F2" s="117" t="s">
        <v>128</v>
      </c>
      <c r="G2" s="118">
        <v>0.43</v>
      </c>
      <c r="H2" s="119" t="s">
        <v>129</v>
      </c>
      <c r="I2" s="120">
        <v>0.25</v>
      </c>
      <c r="J2" s="78"/>
      <c r="K2" s="78"/>
      <c r="L2" s="78"/>
      <c r="M2" s="78"/>
      <c r="N2" s="78"/>
      <c r="O2" s="289" t="s">
        <v>130</v>
      </c>
      <c r="P2" s="121">
        <v>0</v>
      </c>
    </row>
    <row r="3" spans="1:16" ht="15.75" thickBot="1" x14ac:dyDescent="0.3">
      <c r="A3" s="122" t="s">
        <v>131</v>
      </c>
      <c r="B3" s="123" t="s">
        <v>132</v>
      </c>
      <c r="C3" s="124">
        <v>0.64</v>
      </c>
      <c r="D3" s="124" t="s">
        <v>127</v>
      </c>
      <c r="E3" s="124">
        <v>1.56</v>
      </c>
      <c r="F3" s="125" t="s">
        <v>128</v>
      </c>
      <c r="G3" s="126">
        <v>0.43</v>
      </c>
      <c r="H3" s="124" t="s">
        <v>129</v>
      </c>
      <c r="I3" s="127">
        <v>0.25</v>
      </c>
      <c r="J3" s="78"/>
      <c r="K3" s="78"/>
      <c r="L3" s="78"/>
      <c r="M3" s="78"/>
      <c r="N3" s="78"/>
      <c r="O3" s="290"/>
      <c r="P3" s="128">
        <v>0.2</v>
      </c>
    </row>
    <row r="4" spans="1:16" ht="15.75" thickBot="1" x14ac:dyDescent="0.3">
      <c r="A4" s="122" t="s">
        <v>133</v>
      </c>
      <c r="B4" s="123" t="s">
        <v>134</v>
      </c>
      <c r="C4" s="124">
        <v>0.42</v>
      </c>
      <c r="D4" s="124" t="s">
        <v>127</v>
      </c>
      <c r="E4" s="124">
        <v>1.56</v>
      </c>
      <c r="F4" s="125" t="s">
        <v>128</v>
      </c>
      <c r="G4" s="126">
        <v>0.43</v>
      </c>
      <c r="H4" s="124" t="s">
        <v>129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135</v>
      </c>
      <c r="B5" s="123" t="s">
        <v>136</v>
      </c>
      <c r="C5" s="124">
        <v>0.42</v>
      </c>
      <c r="D5" s="124" t="s">
        <v>127</v>
      </c>
      <c r="E5" s="124">
        <v>1.56</v>
      </c>
      <c r="F5" s="125" t="s">
        <v>128</v>
      </c>
      <c r="G5" s="126">
        <v>0.43</v>
      </c>
      <c r="H5" s="124" t="s">
        <v>129</v>
      </c>
      <c r="I5" s="127">
        <v>0.25</v>
      </c>
      <c r="J5" s="78"/>
      <c r="K5" s="78"/>
      <c r="L5" s="78"/>
      <c r="M5" s="78"/>
      <c r="N5" s="78"/>
      <c r="O5" s="289" t="s">
        <v>137</v>
      </c>
      <c r="P5" s="121">
        <v>0</v>
      </c>
    </row>
    <row r="6" spans="1:16" x14ac:dyDescent="0.25">
      <c r="A6" s="122" t="s">
        <v>138</v>
      </c>
      <c r="B6" s="123" t="s">
        <v>139</v>
      </c>
      <c r="C6" s="124">
        <v>0.42</v>
      </c>
      <c r="D6" s="124" t="s">
        <v>127</v>
      </c>
      <c r="E6" s="124">
        <v>1.56</v>
      </c>
      <c r="F6" s="125" t="s">
        <v>128</v>
      </c>
      <c r="G6" s="126">
        <v>0.43</v>
      </c>
      <c r="H6" s="124" t="s">
        <v>129</v>
      </c>
      <c r="I6" s="127">
        <v>0.25</v>
      </c>
      <c r="J6" s="78"/>
      <c r="K6" s="78"/>
      <c r="L6" s="78"/>
      <c r="M6" s="78"/>
      <c r="N6" s="78"/>
      <c r="O6" s="291"/>
      <c r="P6" s="129">
        <v>0.05</v>
      </c>
    </row>
    <row r="7" spans="1:16" x14ac:dyDescent="0.25">
      <c r="A7" s="122" t="s">
        <v>140</v>
      </c>
      <c r="B7" s="123" t="s">
        <v>141</v>
      </c>
      <c r="C7" s="124">
        <v>0.52</v>
      </c>
      <c r="D7" s="124" t="s">
        <v>127</v>
      </c>
      <c r="E7" s="124">
        <v>1.56</v>
      </c>
      <c r="F7" s="125" t="s">
        <v>128</v>
      </c>
      <c r="G7" s="126">
        <v>0.43</v>
      </c>
      <c r="H7" s="124" t="s">
        <v>129</v>
      </c>
      <c r="I7" s="127">
        <v>0.25</v>
      </c>
      <c r="J7" s="78"/>
      <c r="K7" s="78"/>
      <c r="L7" s="78"/>
      <c r="M7" s="78"/>
      <c r="N7" s="78"/>
      <c r="O7" s="291"/>
      <c r="P7" s="129">
        <v>0.1</v>
      </c>
    </row>
    <row r="8" spans="1:16" ht="15.75" thickBot="1" x14ac:dyDescent="0.3">
      <c r="A8" s="122" t="s">
        <v>19</v>
      </c>
      <c r="B8" s="123" t="s">
        <v>142</v>
      </c>
      <c r="C8" s="124">
        <v>0.36</v>
      </c>
      <c r="D8" s="124" t="s">
        <v>127</v>
      </c>
      <c r="E8" s="124">
        <v>1.3</v>
      </c>
      <c r="F8" s="125" t="s">
        <v>128</v>
      </c>
      <c r="G8" s="126">
        <v>0.55000000000000004</v>
      </c>
      <c r="H8" s="124" t="s">
        <v>143</v>
      </c>
      <c r="I8" s="127">
        <v>0.43</v>
      </c>
      <c r="J8" s="78"/>
      <c r="K8" s="78"/>
      <c r="L8" s="78"/>
      <c r="M8" s="78"/>
      <c r="N8" s="78"/>
      <c r="O8" s="290"/>
      <c r="P8" s="128">
        <v>0.15</v>
      </c>
    </row>
    <row r="9" spans="1:16" ht="15.75" thickBot="1" x14ac:dyDescent="0.3">
      <c r="A9" s="122" t="s">
        <v>144</v>
      </c>
      <c r="B9" s="123" t="s">
        <v>145</v>
      </c>
      <c r="C9" s="124">
        <v>0.61</v>
      </c>
      <c r="D9" s="124" t="s">
        <v>127</v>
      </c>
      <c r="E9" s="124">
        <v>1.56</v>
      </c>
      <c r="F9" s="125" t="s">
        <v>128</v>
      </c>
      <c r="G9" s="126">
        <v>0.43</v>
      </c>
      <c r="H9" s="124" t="s">
        <v>129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146</v>
      </c>
      <c r="B10" s="123" t="s">
        <v>147</v>
      </c>
      <c r="C10" s="124">
        <v>0.66</v>
      </c>
      <c r="D10" s="124" t="s">
        <v>127</v>
      </c>
      <c r="E10" s="124">
        <v>1.56</v>
      </c>
      <c r="F10" s="125" t="s">
        <v>128</v>
      </c>
      <c r="G10" s="126">
        <v>0.43</v>
      </c>
      <c r="H10" s="124" t="s">
        <v>129</v>
      </c>
      <c r="I10" s="127">
        <v>0.25</v>
      </c>
      <c r="J10" s="78"/>
      <c r="K10" s="78"/>
      <c r="L10" s="78"/>
      <c r="M10" s="78"/>
      <c r="N10" s="78"/>
      <c r="O10" s="289" t="s">
        <v>148</v>
      </c>
      <c r="P10" s="121">
        <v>0</v>
      </c>
    </row>
    <row r="11" spans="1:16" ht="15.75" thickBot="1" x14ac:dyDescent="0.3">
      <c r="A11" s="122" t="s">
        <v>149</v>
      </c>
      <c r="B11" s="123" t="s">
        <v>150</v>
      </c>
      <c r="C11" s="124">
        <v>0.47</v>
      </c>
      <c r="D11" s="124" t="s">
        <v>127</v>
      </c>
      <c r="E11" s="124">
        <v>1.56</v>
      </c>
      <c r="F11" s="125" t="s">
        <v>128</v>
      </c>
      <c r="G11" s="126">
        <v>0.43</v>
      </c>
      <c r="H11" s="124" t="s">
        <v>129</v>
      </c>
      <c r="I11" s="127">
        <v>0.25</v>
      </c>
      <c r="J11" s="78"/>
      <c r="K11" s="78"/>
      <c r="L11" s="78"/>
      <c r="M11" s="78"/>
      <c r="N11" s="78"/>
      <c r="O11" s="290"/>
      <c r="P11" s="128">
        <v>0.1</v>
      </c>
    </row>
    <row r="12" spans="1:16" x14ac:dyDescent="0.25">
      <c r="A12" s="122" t="s">
        <v>151</v>
      </c>
      <c r="B12" s="123" t="s">
        <v>152</v>
      </c>
      <c r="C12" s="124">
        <v>0.67</v>
      </c>
      <c r="D12" s="124" t="s">
        <v>127</v>
      </c>
      <c r="E12" s="124">
        <v>1.56</v>
      </c>
      <c r="F12" s="125" t="s">
        <v>128</v>
      </c>
      <c r="G12" s="126">
        <v>0.43</v>
      </c>
      <c r="H12" s="124" t="s">
        <v>153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154</v>
      </c>
      <c r="B13" s="123" t="s">
        <v>155</v>
      </c>
      <c r="C13" s="124">
        <v>0.7</v>
      </c>
      <c r="D13" s="124" t="s">
        <v>127</v>
      </c>
      <c r="E13" s="124">
        <v>1.56</v>
      </c>
      <c r="F13" s="125" t="s">
        <v>128</v>
      </c>
      <c r="G13" s="126">
        <v>0.43</v>
      </c>
      <c r="H13" s="124" t="s">
        <v>153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156</v>
      </c>
      <c r="B14" s="123" t="s">
        <v>157</v>
      </c>
      <c r="C14" s="124">
        <v>0.54</v>
      </c>
      <c r="D14" s="124" t="s">
        <v>127</v>
      </c>
      <c r="E14" s="124">
        <v>1.56</v>
      </c>
      <c r="F14" s="125" t="s">
        <v>128</v>
      </c>
      <c r="G14" s="126">
        <v>0.43</v>
      </c>
      <c r="H14" s="124" t="s">
        <v>153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158</v>
      </c>
      <c r="B15" s="123" t="s">
        <v>159</v>
      </c>
      <c r="C15" s="124">
        <v>0.65</v>
      </c>
      <c r="D15" s="124" t="s">
        <v>127</v>
      </c>
      <c r="E15" s="124">
        <v>1.56</v>
      </c>
      <c r="F15" s="125" t="s">
        <v>128</v>
      </c>
      <c r="G15" s="126">
        <v>0.43</v>
      </c>
      <c r="H15" s="124" t="s">
        <v>153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27</v>
      </c>
      <c r="B16" s="123" t="s">
        <v>160</v>
      </c>
      <c r="C16" s="124">
        <v>0.56000000000000005</v>
      </c>
      <c r="D16" s="124" t="s">
        <v>127</v>
      </c>
      <c r="E16" s="124">
        <v>1.56</v>
      </c>
      <c r="F16" s="125" t="s">
        <v>128</v>
      </c>
      <c r="G16" s="126">
        <v>0.43</v>
      </c>
      <c r="H16" s="124" t="s">
        <v>153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23</v>
      </c>
      <c r="B17" s="123" t="s">
        <v>161</v>
      </c>
      <c r="C17" s="124">
        <v>0.57999999999999996</v>
      </c>
      <c r="D17" s="124" t="s">
        <v>127</v>
      </c>
      <c r="E17" s="124">
        <v>1.56</v>
      </c>
      <c r="F17" s="125" t="s">
        <v>128</v>
      </c>
      <c r="G17" s="126">
        <v>0.43</v>
      </c>
      <c r="H17" s="124" t="s">
        <v>153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162</v>
      </c>
      <c r="B18" s="123" t="s">
        <v>163</v>
      </c>
      <c r="C18" s="124">
        <v>0.64</v>
      </c>
      <c r="D18" s="124" t="s">
        <v>127</v>
      </c>
      <c r="E18" s="124">
        <v>1.56</v>
      </c>
      <c r="F18" s="125" t="s">
        <v>128</v>
      </c>
      <c r="G18" s="126">
        <v>0.43</v>
      </c>
      <c r="H18" s="124" t="s">
        <v>153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164</v>
      </c>
      <c r="B19" s="123" t="s">
        <v>165</v>
      </c>
      <c r="C19" s="124">
        <v>0.73</v>
      </c>
      <c r="D19" s="124" t="s">
        <v>127</v>
      </c>
      <c r="E19" s="124">
        <v>1.56</v>
      </c>
      <c r="F19" s="125" t="s">
        <v>128</v>
      </c>
      <c r="G19" s="126">
        <v>0.43</v>
      </c>
      <c r="H19" s="124" t="s">
        <v>153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166</v>
      </c>
      <c r="B20" s="123" t="s">
        <v>167</v>
      </c>
      <c r="C20" s="124">
        <v>0.69</v>
      </c>
      <c r="D20" s="124" t="s">
        <v>168</v>
      </c>
      <c r="E20" s="124">
        <v>1.56</v>
      </c>
      <c r="F20" s="125" t="s">
        <v>128</v>
      </c>
      <c r="G20" s="126">
        <v>0.43</v>
      </c>
      <c r="H20" s="124" t="s">
        <v>169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170</v>
      </c>
      <c r="B21" s="123" t="s">
        <v>171</v>
      </c>
      <c r="C21" s="124">
        <v>0.36</v>
      </c>
      <c r="D21" s="124" t="s">
        <v>127</v>
      </c>
      <c r="E21" s="124">
        <v>1.3</v>
      </c>
      <c r="F21" s="125" t="s">
        <v>128</v>
      </c>
      <c r="G21" s="126">
        <v>0.55000000000000004</v>
      </c>
      <c r="H21" s="124" t="s">
        <v>143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172</v>
      </c>
      <c r="B22" s="123" t="s">
        <v>173</v>
      </c>
      <c r="C22" s="124">
        <v>0.4</v>
      </c>
      <c r="D22" s="124" t="s">
        <v>127</v>
      </c>
      <c r="E22" s="124">
        <v>1.3</v>
      </c>
      <c r="F22" s="125" t="s">
        <v>128</v>
      </c>
      <c r="G22" s="126">
        <v>0.55000000000000004</v>
      </c>
      <c r="H22" s="124" t="s">
        <v>143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174</v>
      </c>
      <c r="B23" s="123" t="s">
        <v>175</v>
      </c>
      <c r="C23" s="124">
        <v>0.43</v>
      </c>
      <c r="D23" s="124" t="s">
        <v>127</v>
      </c>
      <c r="E23" s="124">
        <v>1.3</v>
      </c>
      <c r="F23" s="125" t="s">
        <v>128</v>
      </c>
      <c r="G23" s="126">
        <v>0.55000000000000004</v>
      </c>
      <c r="H23" s="124" t="s">
        <v>143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176</v>
      </c>
      <c r="B24" s="123" t="s">
        <v>177</v>
      </c>
      <c r="C24" s="124">
        <v>0.37</v>
      </c>
      <c r="D24" s="124" t="s">
        <v>127</v>
      </c>
      <c r="E24" s="124">
        <v>1.3</v>
      </c>
      <c r="F24" s="125" t="s">
        <v>128</v>
      </c>
      <c r="G24" s="126">
        <v>0.55000000000000004</v>
      </c>
      <c r="H24" s="124" t="s">
        <v>153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178</v>
      </c>
      <c r="B25" s="123" t="s">
        <v>179</v>
      </c>
      <c r="C25" s="124">
        <v>0.36</v>
      </c>
      <c r="D25" s="124" t="s">
        <v>127</v>
      </c>
      <c r="E25" s="124">
        <v>1.3</v>
      </c>
      <c r="F25" s="125" t="s">
        <v>128</v>
      </c>
      <c r="G25" s="126">
        <v>0.55000000000000004</v>
      </c>
      <c r="H25" s="124" t="s">
        <v>153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180</v>
      </c>
      <c r="B26" s="123" t="s">
        <v>181</v>
      </c>
      <c r="C26" s="124">
        <v>0.56000000000000005</v>
      </c>
      <c r="D26" s="124" t="s">
        <v>127</v>
      </c>
      <c r="E26" s="124">
        <v>1.56</v>
      </c>
      <c r="F26" s="125" t="s">
        <v>128</v>
      </c>
      <c r="G26" s="126">
        <v>0.53</v>
      </c>
      <c r="H26" s="124" t="s">
        <v>182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183</v>
      </c>
      <c r="B27" s="123" t="s">
        <v>184</v>
      </c>
      <c r="C27" s="124">
        <v>0.51</v>
      </c>
      <c r="D27" s="124" t="s">
        <v>127</v>
      </c>
      <c r="E27" s="124">
        <v>1.56</v>
      </c>
      <c r="F27" s="125" t="s">
        <v>128</v>
      </c>
      <c r="G27" s="126">
        <v>0.53</v>
      </c>
      <c r="H27" s="124" t="s">
        <v>182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185</v>
      </c>
      <c r="B28" s="123" t="s">
        <v>186</v>
      </c>
      <c r="C28" s="124">
        <v>0.51</v>
      </c>
      <c r="D28" s="124" t="s">
        <v>127</v>
      </c>
      <c r="E28" s="124">
        <v>1.56</v>
      </c>
      <c r="F28" s="125" t="s">
        <v>128</v>
      </c>
      <c r="G28" s="126">
        <v>0.53</v>
      </c>
      <c r="H28" s="124" t="s">
        <v>182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187</v>
      </c>
      <c r="B29" s="123" t="s">
        <v>187</v>
      </c>
      <c r="C29" s="124">
        <v>0.56000000000000005</v>
      </c>
      <c r="D29" s="124" t="s">
        <v>127</v>
      </c>
      <c r="E29" s="124">
        <v>1.56</v>
      </c>
      <c r="F29" s="125" t="s">
        <v>128</v>
      </c>
      <c r="G29" s="126">
        <v>0.53</v>
      </c>
      <c r="H29" s="124" t="s">
        <v>182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188</v>
      </c>
      <c r="B30" s="123" t="s">
        <v>189</v>
      </c>
      <c r="C30" s="124">
        <v>0.55000000000000004</v>
      </c>
      <c r="D30" s="124" t="s">
        <v>127</v>
      </c>
      <c r="E30" s="124">
        <v>1.56</v>
      </c>
      <c r="F30" s="125" t="s">
        <v>128</v>
      </c>
      <c r="G30" s="126">
        <v>0.53</v>
      </c>
      <c r="H30" s="124" t="s">
        <v>153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190</v>
      </c>
      <c r="B31" s="123" t="s">
        <v>191</v>
      </c>
      <c r="C31" s="124">
        <v>0.56000000000000005</v>
      </c>
      <c r="D31" s="124" t="s">
        <v>127</v>
      </c>
      <c r="E31" s="124">
        <v>1.56</v>
      </c>
      <c r="F31" s="125" t="s">
        <v>128</v>
      </c>
      <c r="G31" s="126">
        <v>0.43</v>
      </c>
      <c r="H31" s="124" t="s">
        <v>129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192</v>
      </c>
      <c r="B32" s="123" t="s">
        <v>193</v>
      </c>
      <c r="C32" s="124">
        <v>0.48</v>
      </c>
      <c r="D32" s="124" t="s">
        <v>127</v>
      </c>
      <c r="E32" s="124">
        <v>1.3</v>
      </c>
      <c r="F32" s="125" t="s">
        <v>128</v>
      </c>
      <c r="G32" s="126">
        <v>0.6</v>
      </c>
      <c r="H32" s="124" t="s">
        <v>194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195</v>
      </c>
      <c r="B33" s="123" t="s">
        <v>196</v>
      </c>
      <c r="C33" s="124">
        <v>0.42</v>
      </c>
      <c r="D33" s="124" t="s">
        <v>127</v>
      </c>
      <c r="E33" s="124">
        <v>1.3</v>
      </c>
      <c r="F33" s="125" t="s">
        <v>128</v>
      </c>
      <c r="G33" s="126">
        <v>0.6</v>
      </c>
      <c r="H33" s="124" t="s">
        <v>194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197</v>
      </c>
      <c r="B34" s="123" t="s">
        <v>198</v>
      </c>
      <c r="C34" s="124">
        <v>0.42</v>
      </c>
      <c r="D34" s="124" t="s">
        <v>199</v>
      </c>
      <c r="E34" s="124">
        <v>1.3</v>
      </c>
      <c r="F34" s="125" t="s">
        <v>128</v>
      </c>
      <c r="G34" s="126">
        <v>0.6</v>
      </c>
      <c r="H34" s="123" t="s">
        <v>200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201</v>
      </c>
      <c r="B35" s="123" t="s">
        <v>202</v>
      </c>
      <c r="C35" s="124">
        <v>0.5</v>
      </c>
      <c r="D35" s="124" t="s">
        <v>127</v>
      </c>
      <c r="E35" s="124">
        <v>1.56</v>
      </c>
      <c r="F35" s="125" t="s">
        <v>128</v>
      </c>
      <c r="G35" s="126">
        <v>0.43</v>
      </c>
      <c r="H35" s="124" t="s">
        <v>129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203</v>
      </c>
      <c r="B36" s="123" t="s">
        <v>204</v>
      </c>
      <c r="C36" s="124">
        <v>0.55000000000000004</v>
      </c>
      <c r="D36" s="124" t="s">
        <v>127</v>
      </c>
      <c r="E36" s="124">
        <v>1.56</v>
      </c>
      <c r="F36" s="125" t="s">
        <v>128</v>
      </c>
      <c r="G36" s="126">
        <v>0.53</v>
      </c>
      <c r="H36" s="124" t="s">
        <v>182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205</v>
      </c>
      <c r="B37" s="123" t="s">
        <v>206</v>
      </c>
      <c r="C37" s="124">
        <v>0.52</v>
      </c>
      <c r="D37" s="124" t="s">
        <v>127</v>
      </c>
      <c r="E37" s="124">
        <v>1.56</v>
      </c>
      <c r="F37" s="125" t="s">
        <v>128</v>
      </c>
      <c r="G37" s="126">
        <v>0.53</v>
      </c>
      <c r="H37" s="124" t="s">
        <v>182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207</v>
      </c>
      <c r="B38" s="123" t="s">
        <v>208</v>
      </c>
      <c r="C38" s="124">
        <v>0.52</v>
      </c>
      <c r="D38" s="124" t="s">
        <v>127</v>
      </c>
      <c r="E38" s="124">
        <v>1.56</v>
      </c>
      <c r="F38" s="125" t="s">
        <v>128</v>
      </c>
      <c r="G38" s="126">
        <v>0.43</v>
      </c>
      <c r="H38" s="124" t="s">
        <v>129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209</v>
      </c>
      <c r="B39" s="123" t="s">
        <v>210</v>
      </c>
      <c r="C39" s="124">
        <v>0.313</v>
      </c>
      <c r="D39" s="124" t="s">
        <v>211</v>
      </c>
      <c r="E39" s="124">
        <v>1.56</v>
      </c>
      <c r="F39" s="125" t="s">
        <v>128</v>
      </c>
      <c r="G39" s="126">
        <v>0.6</v>
      </c>
      <c r="H39" s="124" t="s">
        <v>212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213</v>
      </c>
      <c r="B40" s="123" t="s">
        <v>210</v>
      </c>
      <c r="C40" s="124">
        <v>0.35199999999999998</v>
      </c>
      <c r="D40" s="124" t="s">
        <v>211</v>
      </c>
      <c r="E40" s="124">
        <v>1.56</v>
      </c>
      <c r="F40" s="125" t="s">
        <v>128</v>
      </c>
      <c r="G40" s="126">
        <v>0.6</v>
      </c>
      <c r="H40" s="124" t="s">
        <v>212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214</v>
      </c>
      <c r="B41" s="123" t="s">
        <v>210</v>
      </c>
      <c r="C41" s="124">
        <v>0.32200000000000001</v>
      </c>
      <c r="D41" s="124" t="s">
        <v>211</v>
      </c>
      <c r="E41" s="124">
        <v>1.56</v>
      </c>
      <c r="F41" s="125" t="s">
        <v>128</v>
      </c>
      <c r="G41" s="126">
        <v>0.6</v>
      </c>
      <c r="H41" s="124" t="s">
        <v>212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21</v>
      </c>
      <c r="B42" s="123" t="s">
        <v>210</v>
      </c>
      <c r="C42" s="124">
        <v>0.311</v>
      </c>
      <c r="D42" s="124" t="s">
        <v>211</v>
      </c>
      <c r="E42" s="124">
        <v>1.56</v>
      </c>
      <c r="F42" s="125" t="s">
        <v>128</v>
      </c>
      <c r="G42" s="126">
        <v>0.6</v>
      </c>
      <c r="H42" s="124" t="s">
        <v>212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215</v>
      </c>
      <c r="B43" s="123" t="s">
        <v>210</v>
      </c>
      <c r="C43" s="124">
        <v>0.33900000000000002</v>
      </c>
      <c r="D43" s="124" t="s">
        <v>211</v>
      </c>
      <c r="E43" s="124">
        <v>1.56</v>
      </c>
      <c r="F43" s="125" t="s">
        <v>128</v>
      </c>
      <c r="G43" s="126">
        <v>0.6</v>
      </c>
      <c r="H43" s="124" t="s">
        <v>212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216</v>
      </c>
      <c r="B44" s="123" t="s">
        <v>210</v>
      </c>
      <c r="C44" s="124">
        <v>0.33600000000000002</v>
      </c>
      <c r="D44" s="124" t="s">
        <v>211</v>
      </c>
      <c r="E44" s="124">
        <v>1.56</v>
      </c>
      <c r="F44" s="125" t="s">
        <v>128</v>
      </c>
      <c r="G44" s="126">
        <v>0.6</v>
      </c>
      <c r="H44" s="124" t="s">
        <v>212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217</v>
      </c>
      <c r="B45" s="123" t="s">
        <v>210</v>
      </c>
      <c r="C45" s="124">
        <v>0.32900000000000001</v>
      </c>
      <c r="D45" s="124" t="s">
        <v>211</v>
      </c>
      <c r="E45" s="124">
        <v>1.56</v>
      </c>
      <c r="F45" s="125" t="s">
        <v>128</v>
      </c>
      <c r="G45" s="126">
        <v>0.6</v>
      </c>
      <c r="H45" s="124" t="s">
        <v>212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218</v>
      </c>
      <c r="B46" s="123" t="s">
        <v>210</v>
      </c>
      <c r="C46" s="124">
        <v>0.34300000000000003</v>
      </c>
      <c r="D46" s="124" t="s">
        <v>211</v>
      </c>
      <c r="E46" s="124">
        <v>1.56</v>
      </c>
      <c r="F46" s="125" t="s">
        <v>128</v>
      </c>
      <c r="G46" s="126">
        <v>0.6</v>
      </c>
      <c r="H46" s="124" t="s">
        <v>212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219</v>
      </c>
      <c r="B47" s="123" t="s">
        <v>210</v>
      </c>
      <c r="C47" s="124">
        <v>0.32500000000000001</v>
      </c>
      <c r="D47" s="124" t="s">
        <v>211</v>
      </c>
      <c r="E47" s="124">
        <v>1.56</v>
      </c>
      <c r="F47" s="125" t="s">
        <v>128</v>
      </c>
      <c r="G47" s="126">
        <v>0.6</v>
      </c>
      <c r="H47" s="124" t="s">
        <v>212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220</v>
      </c>
      <c r="B48" s="123" t="s">
        <v>210</v>
      </c>
      <c r="C48" s="124">
        <v>0.32</v>
      </c>
      <c r="D48" s="124" t="s">
        <v>211</v>
      </c>
      <c r="E48" s="124">
        <v>1.56</v>
      </c>
      <c r="F48" s="125" t="s">
        <v>128</v>
      </c>
      <c r="G48" s="126">
        <v>0.6</v>
      </c>
      <c r="H48" s="124" t="s">
        <v>212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221</v>
      </c>
      <c r="B49" s="123" t="s">
        <v>210</v>
      </c>
      <c r="C49" s="124">
        <v>0.28199999999999997</v>
      </c>
      <c r="D49" s="124" t="s">
        <v>211</v>
      </c>
      <c r="E49" s="124">
        <v>1.56</v>
      </c>
      <c r="F49" s="125" t="s">
        <v>128</v>
      </c>
      <c r="G49" s="126">
        <v>0.6</v>
      </c>
      <c r="H49" s="124" t="s">
        <v>212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222</v>
      </c>
      <c r="B50" s="123" t="s">
        <v>210</v>
      </c>
      <c r="C50" s="124">
        <v>0.32800000000000001</v>
      </c>
      <c r="D50" s="124" t="s">
        <v>211</v>
      </c>
      <c r="E50" s="124">
        <v>1.56</v>
      </c>
      <c r="F50" s="125" t="s">
        <v>128</v>
      </c>
      <c r="G50" s="126">
        <v>0.6</v>
      </c>
      <c r="H50" s="124" t="s">
        <v>212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223</v>
      </c>
      <c r="B51" s="123" t="s">
        <v>210</v>
      </c>
      <c r="C51" s="124">
        <v>0.32600000000000001</v>
      </c>
      <c r="D51" s="124" t="s">
        <v>211</v>
      </c>
      <c r="E51" s="124">
        <v>1.56</v>
      </c>
      <c r="F51" s="125" t="s">
        <v>128</v>
      </c>
      <c r="G51" s="126">
        <v>0.6</v>
      </c>
      <c r="H51" s="124" t="s">
        <v>212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224</v>
      </c>
      <c r="B52" s="123" t="s">
        <v>210</v>
      </c>
      <c r="C52" s="124">
        <v>0.35899999999999999</v>
      </c>
      <c r="D52" s="124" t="s">
        <v>211</v>
      </c>
      <c r="E52" s="124">
        <v>1.56</v>
      </c>
      <c r="F52" s="125" t="s">
        <v>128</v>
      </c>
      <c r="G52" s="126">
        <v>0.6</v>
      </c>
      <c r="H52" s="124" t="s">
        <v>212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225</v>
      </c>
      <c r="B53" s="123" t="s">
        <v>210</v>
      </c>
      <c r="C53" s="124">
        <v>0.34599999999999997</v>
      </c>
      <c r="D53" s="124" t="s">
        <v>211</v>
      </c>
      <c r="E53" s="124">
        <v>1.56</v>
      </c>
      <c r="F53" s="125" t="s">
        <v>128</v>
      </c>
      <c r="G53" s="126">
        <v>0.6</v>
      </c>
      <c r="H53" s="124" t="s">
        <v>212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226</v>
      </c>
      <c r="B54" s="123" t="s">
        <v>210</v>
      </c>
      <c r="C54" s="124">
        <v>0.32600000000000001</v>
      </c>
      <c r="D54" s="124" t="s">
        <v>211</v>
      </c>
      <c r="E54" s="124">
        <v>1.56</v>
      </c>
      <c r="F54" s="125" t="s">
        <v>128</v>
      </c>
      <c r="G54" s="126">
        <v>0.6</v>
      </c>
      <c r="H54" s="124" t="s">
        <v>212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227</v>
      </c>
      <c r="B55" s="123" t="s">
        <v>210</v>
      </c>
      <c r="C55" s="124">
        <v>0.30499999999999999</v>
      </c>
      <c r="D55" s="124" t="s">
        <v>211</v>
      </c>
      <c r="E55" s="124">
        <v>1.56</v>
      </c>
      <c r="F55" s="125" t="s">
        <v>128</v>
      </c>
      <c r="G55" s="126">
        <v>0.6</v>
      </c>
      <c r="H55" s="124" t="s">
        <v>212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228</v>
      </c>
      <c r="B56" s="123" t="s">
        <v>210</v>
      </c>
      <c r="C56" s="124">
        <v>0.32300000000000001</v>
      </c>
      <c r="D56" s="124" t="s">
        <v>211</v>
      </c>
      <c r="E56" s="124">
        <v>1.56</v>
      </c>
      <c r="F56" s="125" t="s">
        <v>128</v>
      </c>
      <c r="G56" s="126">
        <v>0.6</v>
      </c>
      <c r="H56" s="124" t="s">
        <v>212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229</v>
      </c>
      <c r="B57" s="123" t="s">
        <v>210</v>
      </c>
      <c r="C57" s="124">
        <v>0.36699999999999999</v>
      </c>
      <c r="D57" s="124" t="s">
        <v>211</v>
      </c>
      <c r="E57" s="124">
        <v>1.56</v>
      </c>
      <c r="F57" s="125" t="s">
        <v>128</v>
      </c>
      <c r="G57" s="126">
        <v>0.6</v>
      </c>
      <c r="H57" s="124" t="s">
        <v>212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230</v>
      </c>
      <c r="B58" s="123" t="s">
        <v>210</v>
      </c>
      <c r="C58" s="124">
        <v>0.36</v>
      </c>
      <c r="D58" s="124" t="s">
        <v>211</v>
      </c>
      <c r="E58" s="124">
        <v>1.56</v>
      </c>
      <c r="F58" s="125" t="s">
        <v>128</v>
      </c>
      <c r="G58" s="126">
        <v>0.6</v>
      </c>
      <c r="H58" s="124" t="s">
        <v>212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231</v>
      </c>
      <c r="B59" s="123" t="s">
        <v>210</v>
      </c>
      <c r="C59" s="124">
        <v>0.36799999999999999</v>
      </c>
      <c r="D59" s="124" t="s">
        <v>211</v>
      </c>
      <c r="E59" s="124">
        <v>1.56</v>
      </c>
      <c r="F59" s="125" t="s">
        <v>128</v>
      </c>
      <c r="G59" s="126">
        <v>0.6</v>
      </c>
      <c r="H59" s="124" t="s">
        <v>212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232</v>
      </c>
      <c r="B60" s="123" t="s">
        <v>210</v>
      </c>
      <c r="C60" s="124">
        <v>0.30599999999999999</v>
      </c>
      <c r="D60" s="124" t="s">
        <v>211</v>
      </c>
      <c r="E60" s="124">
        <v>1.56</v>
      </c>
      <c r="F60" s="125" t="s">
        <v>128</v>
      </c>
      <c r="G60" s="126">
        <v>0.6</v>
      </c>
      <c r="H60" s="124" t="s">
        <v>212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233</v>
      </c>
      <c r="B61" s="123" t="s">
        <v>210</v>
      </c>
      <c r="C61" s="124">
        <v>0.313</v>
      </c>
      <c r="D61" s="124" t="s">
        <v>211</v>
      </c>
      <c r="E61" s="124">
        <v>1.56</v>
      </c>
      <c r="F61" s="125" t="s">
        <v>128</v>
      </c>
      <c r="G61" s="126">
        <v>0.6</v>
      </c>
      <c r="H61" s="124" t="s">
        <v>212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234</v>
      </c>
      <c r="B62" s="123" t="s">
        <v>235</v>
      </c>
      <c r="C62" s="124">
        <v>0.37</v>
      </c>
      <c r="D62" s="124" t="s">
        <v>127</v>
      </c>
      <c r="E62" s="124">
        <v>1.56</v>
      </c>
      <c r="F62" s="125" t="s">
        <v>128</v>
      </c>
      <c r="G62" s="126">
        <v>0.6</v>
      </c>
      <c r="H62" s="124" t="s">
        <v>212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236</v>
      </c>
      <c r="B63" s="123" t="s">
        <v>237</v>
      </c>
      <c r="C63" s="124">
        <v>0.45</v>
      </c>
      <c r="D63" s="124" t="s">
        <v>127</v>
      </c>
      <c r="E63" s="124">
        <v>1.3</v>
      </c>
      <c r="F63" s="125" t="s">
        <v>128</v>
      </c>
      <c r="G63" s="126">
        <v>0.45</v>
      </c>
      <c r="H63" s="124" t="s">
        <v>238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239</v>
      </c>
      <c r="B64" s="123" t="s">
        <v>240</v>
      </c>
      <c r="C64" s="124">
        <v>0.39</v>
      </c>
      <c r="D64" s="124" t="s">
        <v>127</v>
      </c>
      <c r="E64" s="124">
        <v>1.3</v>
      </c>
      <c r="F64" s="125" t="s">
        <v>128</v>
      </c>
      <c r="G64" s="126">
        <v>0.45</v>
      </c>
      <c r="H64" s="124" t="s">
        <v>238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241</v>
      </c>
      <c r="B65" s="123" t="s">
        <v>242</v>
      </c>
      <c r="C65" s="124">
        <v>0.44</v>
      </c>
      <c r="D65" s="124" t="s">
        <v>127</v>
      </c>
      <c r="E65" s="124">
        <v>1.3</v>
      </c>
      <c r="F65" s="125" t="s">
        <v>128</v>
      </c>
      <c r="G65" s="126">
        <v>0.45</v>
      </c>
      <c r="H65" s="124" t="s">
        <v>238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16</v>
      </c>
      <c r="B66" s="123" t="s">
        <v>243</v>
      </c>
      <c r="C66" s="124">
        <v>0.46</v>
      </c>
      <c r="D66" s="124" t="s">
        <v>127</v>
      </c>
      <c r="E66" s="124">
        <v>1.3</v>
      </c>
      <c r="F66" s="125" t="s">
        <v>128</v>
      </c>
      <c r="G66" s="126">
        <v>0.45</v>
      </c>
      <c r="H66" s="124" t="s">
        <v>238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244</v>
      </c>
      <c r="B67" s="123" t="s">
        <v>245</v>
      </c>
      <c r="C67" s="124">
        <v>0.46</v>
      </c>
      <c r="D67" s="124" t="s">
        <v>127</v>
      </c>
      <c r="E67" s="124">
        <v>1.3</v>
      </c>
      <c r="F67" s="125" t="s">
        <v>128</v>
      </c>
      <c r="G67" s="126">
        <v>0.45</v>
      </c>
      <c r="H67" s="124" t="s">
        <v>153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246</v>
      </c>
      <c r="B68" s="123" t="s">
        <v>247</v>
      </c>
      <c r="C68" s="124">
        <v>0.44</v>
      </c>
      <c r="D68" s="124" t="s">
        <v>127</v>
      </c>
      <c r="E68" s="124">
        <v>1.3</v>
      </c>
      <c r="F68" s="125" t="s">
        <v>128</v>
      </c>
      <c r="G68" s="126">
        <v>0.45</v>
      </c>
      <c r="H68" s="124" t="s">
        <v>238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248</v>
      </c>
      <c r="B69" s="123" t="s">
        <v>249</v>
      </c>
      <c r="C69" s="124">
        <v>0.46</v>
      </c>
      <c r="D69" s="124" t="s">
        <v>127</v>
      </c>
      <c r="E69" s="124">
        <v>1.3</v>
      </c>
      <c r="F69" s="125" t="s">
        <v>128</v>
      </c>
      <c r="G69" s="126">
        <v>0.45</v>
      </c>
      <c r="H69" s="124" t="s">
        <v>238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250</v>
      </c>
      <c r="B70" s="123" t="s">
        <v>251</v>
      </c>
      <c r="C70" s="124">
        <v>0.48</v>
      </c>
      <c r="D70" s="124" t="s">
        <v>127</v>
      </c>
      <c r="E70" s="124">
        <v>2.4</v>
      </c>
      <c r="F70" s="124" t="s">
        <v>252</v>
      </c>
      <c r="G70" s="126">
        <v>0.45</v>
      </c>
      <c r="H70" s="124" t="s">
        <v>238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253</v>
      </c>
      <c r="B71" s="123" t="s">
        <v>254</v>
      </c>
      <c r="C71" s="124">
        <v>0.46</v>
      </c>
      <c r="D71" s="124" t="s">
        <v>255</v>
      </c>
      <c r="E71" s="124">
        <v>1.3</v>
      </c>
      <c r="F71" s="125" t="s">
        <v>128</v>
      </c>
      <c r="G71" s="126">
        <v>0.45</v>
      </c>
      <c r="H71" s="124" t="s">
        <v>238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256</v>
      </c>
      <c r="B72" s="123" t="s">
        <v>257</v>
      </c>
      <c r="C72" s="124">
        <v>0.44</v>
      </c>
      <c r="D72" s="124" t="s">
        <v>127</v>
      </c>
      <c r="E72" s="124">
        <v>1.3</v>
      </c>
      <c r="F72" s="125" t="s">
        <v>128</v>
      </c>
      <c r="G72" s="126">
        <v>0.45</v>
      </c>
      <c r="H72" s="124" t="s">
        <v>238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258</v>
      </c>
      <c r="B73" s="123" t="s">
        <v>259</v>
      </c>
      <c r="C73" s="124">
        <v>0.46</v>
      </c>
      <c r="D73" s="124" t="s">
        <v>260</v>
      </c>
      <c r="E73" s="124">
        <v>1.3</v>
      </c>
      <c r="F73" s="125" t="s">
        <v>128</v>
      </c>
      <c r="G73" s="126">
        <v>0.45</v>
      </c>
      <c r="H73" s="124" t="s">
        <v>238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261</v>
      </c>
      <c r="B74" s="123" t="s">
        <v>262</v>
      </c>
      <c r="C74" s="124">
        <v>0.34</v>
      </c>
      <c r="D74" s="124" t="s">
        <v>127</v>
      </c>
      <c r="E74" s="124">
        <v>1.3</v>
      </c>
      <c r="F74" s="125" t="s">
        <v>128</v>
      </c>
      <c r="G74" s="126">
        <v>0.45</v>
      </c>
      <c r="H74" s="124" t="s">
        <v>238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263</v>
      </c>
      <c r="B75" s="123" t="s">
        <v>264</v>
      </c>
      <c r="C75" s="124">
        <v>0.5</v>
      </c>
      <c r="D75" s="124" t="s">
        <v>127</v>
      </c>
      <c r="E75" s="124">
        <v>1.56</v>
      </c>
      <c r="F75" s="125" t="s">
        <v>128</v>
      </c>
      <c r="G75" s="126">
        <v>0.53</v>
      </c>
      <c r="H75" s="124" t="s">
        <v>182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265</v>
      </c>
      <c r="B76" s="123" t="s">
        <v>266</v>
      </c>
      <c r="C76" s="124">
        <v>0.57999999999999996</v>
      </c>
      <c r="D76" s="124" t="s">
        <v>127</v>
      </c>
      <c r="E76" s="124">
        <v>1.56</v>
      </c>
      <c r="F76" s="125" t="s">
        <v>128</v>
      </c>
      <c r="G76" s="126">
        <v>0.3</v>
      </c>
      <c r="H76" s="124" t="s">
        <v>267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268</v>
      </c>
      <c r="B77" s="123" t="s">
        <v>269</v>
      </c>
      <c r="C77" s="124">
        <v>0.37</v>
      </c>
      <c r="D77" s="124" t="s">
        <v>127</v>
      </c>
      <c r="E77" s="124">
        <v>1.3</v>
      </c>
      <c r="F77" s="125" t="s">
        <v>128</v>
      </c>
      <c r="G77" s="126">
        <v>0.55000000000000004</v>
      </c>
      <c r="H77" s="124" t="s">
        <v>153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25</v>
      </c>
      <c r="B78" s="123" t="s">
        <v>270</v>
      </c>
      <c r="C78" s="124">
        <v>0.37</v>
      </c>
      <c r="D78" s="124" t="s">
        <v>127</v>
      </c>
      <c r="E78" s="124">
        <v>1.3</v>
      </c>
      <c r="F78" s="125" t="s">
        <v>128</v>
      </c>
      <c r="G78" s="126">
        <v>0.55000000000000004</v>
      </c>
      <c r="H78" s="124" t="s">
        <v>153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271</v>
      </c>
      <c r="B79" s="123" t="s">
        <v>272</v>
      </c>
      <c r="C79" s="124">
        <v>0.38</v>
      </c>
      <c r="D79" s="124" t="s">
        <v>127</v>
      </c>
      <c r="E79" s="124">
        <v>1.3</v>
      </c>
      <c r="F79" s="125" t="s">
        <v>128</v>
      </c>
      <c r="G79" s="126">
        <v>0.55000000000000004</v>
      </c>
      <c r="H79" s="124" t="s">
        <v>143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273</v>
      </c>
      <c r="B80" s="123" t="s">
        <v>274</v>
      </c>
      <c r="C80" s="124">
        <v>0.36</v>
      </c>
      <c r="D80" s="124" t="s">
        <v>127</v>
      </c>
      <c r="E80" s="124">
        <v>1.3</v>
      </c>
      <c r="F80" s="125" t="s">
        <v>128</v>
      </c>
      <c r="G80" s="126">
        <v>0.55000000000000004</v>
      </c>
      <c r="H80" s="124" t="s">
        <v>143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275</v>
      </c>
      <c r="B81" s="123" t="s">
        <v>276</v>
      </c>
      <c r="C81" s="124">
        <v>0.37</v>
      </c>
      <c r="D81" s="124" t="s">
        <v>127</v>
      </c>
      <c r="E81" s="124">
        <v>1.56</v>
      </c>
      <c r="F81" s="125" t="s">
        <v>128</v>
      </c>
      <c r="G81" s="126">
        <v>0.43</v>
      </c>
      <c r="H81" s="124" t="s">
        <v>129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277</v>
      </c>
      <c r="B82" s="123" t="s">
        <v>278</v>
      </c>
      <c r="C82" s="124">
        <v>0.35</v>
      </c>
      <c r="D82" s="124" t="s">
        <v>279</v>
      </c>
      <c r="E82" s="124">
        <v>1.3</v>
      </c>
      <c r="F82" s="125" t="s">
        <v>128</v>
      </c>
      <c r="G82" s="126">
        <v>0.55000000000000004</v>
      </c>
      <c r="H82" s="124" t="s">
        <v>143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280</v>
      </c>
      <c r="B83" s="123" t="s">
        <v>281</v>
      </c>
      <c r="C83" s="124">
        <v>0.34</v>
      </c>
      <c r="D83" s="124" t="s">
        <v>127</v>
      </c>
      <c r="E83" s="124">
        <v>1.3</v>
      </c>
      <c r="F83" s="125" t="s">
        <v>128</v>
      </c>
      <c r="G83" s="126">
        <v>0.55000000000000004</v>
      </c>
      <c r="H83" s="124" t="s">
        <v>143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282</v>
      </c>
      <c r="B84" s="123" t="s">
        <v>283</v>
      </c>
      <c r="C84" s="124">
        <v>0.31</v>
      </c>
      <c r="D84" s="124" t="s">
        <v>127</v>
      </c>
      <c r="E84" s="124">
        <v>1.3</v>
      </c>
      <c r="F84" s="125" t="s">
        <v>128</v>
      </c>
      <c r="G84" s="126">
        <v>0.55000000000000004</v>
      </c>
      <c r="H84" s="124" t="s">
        <v>143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284</v>
      </c>
      <c r="B85" s="123" t="s">
        <v>285</v>
      </c>
      <c r="C85" s="124">
        <v>0.43</v>
      </c>
      <c r="D85" s="124" t="s">
        <v>127</v>
      </c>
      <c r="E85" s="124">
        <v>1.56</v>
      </c>
      <c r="F85" s="125" t="s">
        <v>128</v>
      </c>
      <c r="G85" s="126">
        <v>0.53</v>
      </c>
      <c r="H85" s="124" t="s">
        <v>182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286</v>
      </c>
      <c r="B86" s="123" t="s">
        <v>287</v>
      </c>
      <c r="C86" s="124">
        <v>0.38</v>
      </c>
      <c r="D86" s="124" t="s">
        <v>127</v>
      </c>
      <c r="E86" s="124">
        <v>1.56</v>
      </c>
      <c r="F86" s="125" t="s">
        <v>128</v>
      </c>
      <c r="G86" s="126">
        <v>0.6</v>
      </c>
      <c r="H86" s="124" t="s">
        <v>288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289</v>
      </c>
      <c r="B87" s="252" t="s">
        <v>290</v>
      </c>
      <c r="C87" s="253">
        <v>0.41</v>
      </c>
      <c r="D87" s="253" t="s">
        <v>291</v>
      </c>
      <c r="E87" s="253">
        <v>1.56</v>
      </c>
      <c r="F87" s="254" t="s">
        <v>128</v>
      </c>
      <c r="G87" s="255">
        <v>0.43</v>
      </c>
      <c r="H87" s="253" t="s">
        <v>129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87</v>
      </c>
      <c r="B88" s="130"/>
      <c r="C88" s="124">
        <v>0.42</v>
      </c>
      <c r="D88" s="124" t="s">
        <v>127</v>
      </c>
      <c r="E88" s="124">
        <v>1.3</v>
      </c>
      <c r="F88" s="125" t="s">
        <v>128</v>
      </c>
      <c r="G88" s="131"/>
      <c r="H88" s="130"/>
      <c r="I88" s="132"/>
    </row>
    <row r="89" spans="1:14" ht="15.75" thickBot="1" x14ac:dyDescent="0.3">
      <c r="A89" s="133" t="s">
        <v>292</v>
      </c>
      <c r="B89" s="134"/>
      <c r="C89" s="135">
        <v>0.56999999999999995</v>
      </c>
      <c r="D89" s="136" t="s">
        <v>127</v>
      </c>
      <c r="E89" s="135">
        <v>1.56</v>
      </c>
      <c r="F89" s="135" t="s">
        <v>128</v>
      </c>
      <c r="G89" s="134"/>
      <c r="H89" s="134"/>
      <c r="I89" s="137"/>
    </row>
    <row r="93" spans="1:14" x14ac:dyDescent="0.25">
      <c r="A93" s="122" t="s">
        <v>88</v>
      </c>
    </row>
    <row r="94" spans="1:14" x14ac:dyDescent="0.25">
      <c r="A94" s="122" t="s">
        <v>89</v>
      </c>
    </row>
    <row r="95" spans="1:14" x14ac:dyDescent="0.25">
      <c r="A95" s="122" t="s">
        <v>90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J20" sqref="J2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80" t="s">
        <v>293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294</v>
      </c>
      <c r="B5" s="139" t="s">
        <v>295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296</v>
      </c>
      <c r="F5" s="140" t="s">
        <v>297</v>
      </c>
      <c r="G5" s="140" t="s">
        <v>298</v>
      </c>
      <c r="H5" s="141" t="s">
        <v>299</v>
      </c>
      <c r="I5" s="142" t="s">
        <v>300</v>
      </c>
      <c r="J5" s="143" t="s">
        <v>301</v>
      </c>
      <c r="K5" s="144" t="s">
        <v>302</v>
      </c>
      <c r="L5" s="84" t="s">
        <v>303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Pin laricio</v>
      </c>
      <c r="B6" s="146">
        <f>'Données projet'!D9</f>
        <v>2.1560000000000001</v>
      </c>
      <c r="C6" s="147">
        <f ca="1">IF(OR('Données projet'!B9="",'Données projet'!C9="",'Données projet'!C9=0%),0,Calculateur!S3)</f>
        <v>355.09162485318728</v>
      </c>
      <c r="D6" s="147">
        <f>IF(OR('Données projet'!B9="",'Données projet'!C9="",'Données projet'!C9=0%),0,Calculateur!T3)</f>
        <v>320.06572891923685</v>
      </c>
      <c r="E6" s="147">
        <f ca="1">MIN(C6,D6)</f>
        <v>320.06572891923685</v>
      </c>
      <c r="F6" s="147">
        <f ca="1">E6*B6</f>
        <v>690.06171154987464</v>
      </c>
      <c r="G6" s="147">
        <f ca="1">F6*(100%-'Données projet'!$C$24)*(100%-'Données projet'!$C$25)*(100%-'Données projet'!$C$26)*(100%-'Données projet'!$C$27)</f>
        <v>590.00276337514276</v>
      </c>
      <c r="H6" s="148">
        <f>IF(OR('Données projet'!B9="",'Données projet'!C9="",'Données projet'!C9=0%),0,AVERAGE(Calculateur!$AC$3:$AC$33)*B6)</f>
        <v>17.963350859255893</v>
      </c>
      <c r="I6" s="149">
        <f>H6*(100%-'Données projet'!$C$24)*(100%-'Données projet'!$C$25)*(100%-'Données projet'!$C$26)*(100%-'Données projet'!$C$27)</f>
        <v>15.35866498466379</v>
      </c>
      <c r="J6" s="150">
        <f>IF(OR('Données projet'!B9="",'Données projet'!C9="",'Données projet'!C9=0%),0,SUM(Calculateur!$V$3:$V$33)*VLOOKUP('Données projet'!$B$9,Paramètres!$A$1:$I$89,9,0)*B6)</f>
        <v>132.40841815384616</v>
      </c>
      <c r="K6" s="151">
        <f>J6*(100%-'Données projet'!$C$24)*(100%-'Données projet'!$C$25)*(100%-'Données projet'!$C$26)*(100%-'Données projet'!$C$27)</f>
        <v>113.20919752153846</v>
      </c>
      <c r="L6" s="152">
        <f ca="1">G6+I6+K6</f>
        <v>718.57062588134499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Cèdre de l'Atlas</v>
      </c>
      <c r="B7" s="154">
        <f>'Données projet'!D10</f>
        <v>1.232</v>
      </c>
      <c r="C7" s="147">
        <f ca="1">IF(OR('Données projet'!B10="",'Données projet'!C10="",'Données projet'!C10=0%),0,Calculateur!AN3)</f>
        <v>246.72166704460847</v>
      </c>
      <c r="D7" s="147">
        <f>IF(OR('Données projet'!B10="",'Données projet'!C10="",'Données projet'!C10=0%),0,Calculateur!AO3)</f>
        <v>145.54897745089966</v>
      </c>
      <c r="E7" s="147">
        <f t="shared" ref="E7:E15" ca="1" si="0">MIN(C7,D7)</f>
        <v>145.54897745089966</v>
      </c>
      <c r="F7" s="147">
        <f t="shared" ref="F7:F15" ca="1" si="1">E7*B7</f>
        <v>179.31634021950836</v>
      </c>
      <c r="G7" s="147">
        <f ca="1">F7*(100%-'Données projet'!$C$24)*(100%-'Données projet'!$C$25)*(100%-'Données projet'!$C$26)*(100%-'Données projet'!$C$27)</f>
        <v>153.31547088767965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153.31547088767965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Peuplier Blanc du Poitou</v>
      </c>
      <c r="B8" s="154">
        <f>'Données projet'!D11</f>
        <v>1.7710000000000001</v>
      </c>
      <c r="C8" s="147">
        <f ca="1">IF(OR('Données projet'!B11="",'Données projet'!C11="",'Données projet'!C11=0%),0,Calculateur!BI3)</f>
        <v>88.478637356802039</v>
      </c>
      <c r="D8" s="147">
        <f>IF(OR('Données projet'!B11="",'Données projet'!C11="",'Données projet'!C11=0%),0,Calculateur!BJ3)</f>
        <v>239.55411297259155</v>
      </c>
      <c r="E8" s="147">
        <f t="shared" ca="1" si="0"/>
        <v>88.478637356802039</v>
      </c>
      <c r="F8" s="147">
        <f t="shared" ca="1" si="1"/>
        <v>156.69566675889644</v>
      </c>
      <c r="G8" s="147">
        <f ca="1">F8*(100%-'Données projet'!$C$24)*(100%-'Données projet'!$C$25)*(100%-'Données projet'!$C$26)*(100%-'Données projet'!$C$27)</f>
        <v>133.97479507885646</v>
      </c>
      <c r="H8" s="155">
        <f>IF(OR('Données projet'!B11="",'Données projet'!C11="",'Données projet'!C11=0%),0,AVERAGE(Calculateur!$BS$3:$BS$33)*B8)</f>
        <v>33.654948130725664</v>
      </c>
      <c r="I8" s="149">
        <f>H8*(100%-'Données projet'!$C$24)*(100%-'Données projet'!$C$25)*(100%-'Données projet'!$C$26)*(100%-'Données projet'!$C$27)</f>
        <v>28.774980651770441</v>
      </c>
      <c r="J8" s="150">
        <f>IF(OR('Données projet'!B11="",'Données projet'!C11="",'Données projet'!C11=0%),0,SUM(Calculateur!$BL$3:$BL$33)*VLOOKUP('Données projet'!$B$11,Paramètres!$A$1:$I$89,9,0)*B8)</f>
        <v>365.50046037435897</v>
      </c>
      <c r="K8" s="151">
        <f>J8*(100%-'Données projet'!$C$24)*(100%-'Données projet'!$C$25)*(100%-'Données projet'!$C$26)*(100%-'Données projet'!$C$27)</f>
        <v>312.50289362007692</v>
      </c>
      <c r="L8" s="152">
        <f t="shared" ca="1" si="2"/>
        <v>475.25266935070385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Chêne sessile</v>
      </c>
      <c r="B9" s="154">
        <f>'Données projet'!D12</f>
        <v>0.84699999999999998</v>
      </c>
      <c r="C9" s="147">
        <f ca="1">IF(OR('Données projet'!B12="",'Données projet'!C12="",'Données projet'!C12=0%),0,Calculateur!CD3)</f>
        <v>437.94387006020412</v>
      </c>
      <c r="D9" s="147">
        <f>IF(OR('Données projet'!B12="",'Données projet'!C12="",'Données projet'!C12=0%),0,Calculateur!CE3)</f>
        <v>213.95083535531376</v>
      </c>
      <c r="E9" s="147">
        <f t="shared" ca="1" si="0"/>
        <v>213.95083535531376</v>
      </c>
      <c r="F9" s="147">
        <f t="shared" ca="1" si="1"/>
        <v>181.21635754595076</v>
      </c>
      <c r="G9" s="147">
        <f ca="1">F9*(100%-'Données projet'!$C$24)*(100%-'Données projet'!$C$25)*(100%-'Données projet'!$C$26)*(100%-'Données projet'!$C$27)</f>
        <v>154.93998570178789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154.93998570178789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Sapin de Nordmann</v>
      </c>
      <c r="B10" s="154">
        <f>'Données projet'!D13</f>
        <v>0.84699999999999998</v>
      </c>
      <c r="C10" s="147">
        <f ca="1">IF(OR('Données projet'!B13="",'Données projet'!C13="",'Données projet'!C13=0%),0,Calculateur!CY3)</f>
        <v>258.42493116335032</v>
      </c>
      <c r="D10" s="147">
        <f>IF(OR('Données projet'!B13="",'Données projet'!C13="",'Données projet'!C13=0%),0,Calculateur!CZ3)</f>
        <v>102.46122697336466</v>
      </c>
      <c r="E10" s="147">
        <f t="shared" ca="1" si="0"/>
        <v>102.46122697336466</v>
      </c>
      <c r="F10" s="147">
        <f t="shared" ca="1" si="1"/>
        <v>86.784659246439858</v>
      </c>
      <c r="G10" s="147">
        <f ca="1">F10*(100%-'Données projet'!$C$24)*(100%-'Données projet'!$C$25)*(100%-'Données projet'!$C$26)*(100%-'Données projet'!$C$27)</f>
        <v>74.200883655706079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74.200883655706079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Chêne rouge d'Amérique</v>
      </c>
      <c r="B11" s="154">
        <f>'Données projet'!D14</f>
        <v>0.84699999999999998</v>
      </c>
      <c r="C11" s="147">
        <f ca="1">IF(OR('Données projet'!B14="",'Données projet'!C14="",'Données projet'!C14=0%),0,Calculateur!DT3)</f>
        <v>354.24684313982857</v>
      </c>
      <c r="D11" s="147">
        <f>IF(OR('Données projet'!B14="",'Données projet'!C14="",'Données projet'!C14=0%),0,Calculateur!DU3)</f>
        <v>322.65043486962185</v>
      </c>
      <c r="E11" s="147">
        <f t="shared" ca="1" si="0"/>
        <v>322.65043486962185</v>
      </c>
      <c r="F11" s="147">
        <f t="shared" ca="1" si="1"/>
        <v>273.28491833456968</v>
      </c>
      <c r="G11" s="147">
        <f ca="1">F11*(100%-'Données projet'!$C$24)*(100%-'Données projet'!$C$25)*(100%-'Données projet'!$C$26)*(100%-'Données projet'!$C$27)</f>
        <v>233.65860517605708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233.65860517605708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1567.3596536552398</v>
      </c>
      <c r="G16" s="166">
        <f t="shared" ca="1" si="3"/>
        <v>1340.09250387523</v>
      </c>
      <c r="H16" s="167">
        <f t="shared" si="3"/>
        <v>51.618298989981554</v>
      </c>
      <c r="I16" s="167">
        <f t="shared" si="3"/>
        <v>44.133645636434231</v>
      </c>
      <c r="J16" s="168">
        <f t="shared" si="3"/>
        <v>497.90887852820515</v>
      </c>
      <c r="K16" s="168">
        <f t="shared" si="3"/>
        <v>425.71209114161536</v>
      </c>
      <c r="L16" s="169">
        <f t="shared" ca="1" si="3"/>
        <v>1809.9382406532798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92" t="s">
        <v>304</v>
      </c>
      <c r="G17" s="293"/>
      <c r="H17" s="293"/>
      <c r="I17" s="293"/>
      <c r="J17" s="293"/>
      <c r="K17" s="293"/>
      <c r="L17" s="29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9"/>
      <c r="G18" s="279"/>
      <c r="H18" s="279"/>
      <c r="I18" s="279"/>
      <c r="J18" s="279"/>
      <c r="K18" s="279"/>
      <c r="L18" s="27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Pin laricio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Peuplier Blanc du Poitou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Chêne sessile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Sapin de Nordmann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Chêne rouge d'Amérique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80" zoomScaleNormal="80" workbookViewId="0">
      <selection activeCell="F132" sqref="F13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80" t="s">
        <v>305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6" t="s">
        <v>306</v>
      </c>
      <c r="I4" s="266"/>
      <c r="K4" s="308" t="s">
        <v>307</v>
      </c>
      <c r="L4" s="309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73</v>
      </c>
      <c r="O7" s="247"/>
      <c r="P7" s="248"/>
      <c r="Q7" s="249"/>
      <c r="R7" s="300" t="s">
        <v>308</v>
      </c>
      <c r="S7" s="301"/>
      <c r="T7" s="301"/>
      <c r="U7" s="301"/>
      <c r="V7" s="30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309</v>
      </c>
      <c r="C9" s="23"/>
      <c r="D9" s="23"/>
      <c r="E9" s="23"/>
      <c r="F9" s="230"/>
      <c r="G9" s="93" t="s">
        <v>310</v>
      </c>
      <c r="J9" s="200"/>
      <c r="K9" s="208"/>
      <c r="O9" s="23"/>
      <c r="P9" s="23"/>
      <c r="Q9" s="234"/>
      <c r="R9" s="23"/>
      <c r="S9" s="4"/>
      <c r="T9" s="36" t="s">
        <v>311</v>
      </c>
      <c r="U9" s="176" t="s">
        <v>312</v>
      </c>
      <c r="V9" s="36" t="s">
        <v>313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314</v>
      </c>
      <c r="C10" s="23"/>
      <c r="D10" s="23"/>
      <c r="E10" s="23"/>
      <c r="F10" s="230"/>
      <c r="G10" s="93" t="s">
        <v>315</v>
      </c>
      <c r="J10" s="200"/>
      <c r="K10" s="208"/>
      <c r="O10" s="23"/>
      <c r="P10" s="23"/>
      <c r="Q10" s="234"/>
      <c r="R10" s="23"/>
      <c r="S10" s="36" t="str">
        <f>B14</f>
        <v>Pin laricio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1305.9692551386984</v>
      </c>
      <c r="U10" s="178">
        <f>'Données projet'!D9</f>
        <v>2.1560000000000001</v>
      </c>
      <c r="V10" s="177">
        <f>U10*T10</f>
        <v>2815.6697140790338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316</v>
      </c>
      <c r="B11" s="23"/>
      <c r="C11" s="23"/>
      <c r="D11" s="23"/>
      <c r="E11" s="23"/>
      <c r="F11" s="230"/>
      <c r="G11" s="93" t="s">
        <v>317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438.54068393842721</v>
      </c>
      <c r="U11" s="178">
        <f>'Données projet'!D10</f>
        <v>1.232</v>
      </c>
      <c r="V11" s="177">
        <f t="shared" ref="V11" si="0">U11*T11</f>
        <v>540.2821226121423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Peuplier Blanc du Poitou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2014.8506579552679</v>
      </c>
      <c r="U12" s="178">
        <f>'Données projet'!D11</f>
        <v>1.7710000000000001</v>
      </c>
      <c r="V12" s="177">
        <f t="shared" ref="V12:V19" si="1">U12*T12</f>
        <v>3568.3005152387796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318</v>
      </c>
      <c r="M13" s="23"/>
      <c r="N13" s="23"/>
      <c r="O13" s="23"/>
      <c r="P13" s="23"/>
      <c r="Q13" s="234"/>
      <c r="R13" s="23"/>
      <c r="S13" s="36" t="str">
        <f>B107</f>
        <v>Chêne sessile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850.33257857993203</v>
      </c>
      <c r="U13" s="178">
        <f>'Données projet'!D12</f>
        <v>0.84699999999999998</v>
      </c>
      <c r="V13" s="177">
        <f t="shared" si="1"/>
        <v>720.23169405720239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15</v>
      </c>
      <c r="B14" s="174" t="str">
        <f>IF('Données projet'!$B$9="","",'Données projet'!$B$9)</f>
        <v>Pin laricio</v>
      </c>
      <c r="C14" s="4"/>
      <c r="D14" s="4"/>
      <c r="E14" s="4"/>
      <c r="F14" s="230"/>
      <c r="G14" s="23"/>
      <c r="H14" s="36" t="s">
        <v>92</v>
      </c>
      <c r="I14" s="36" t="s">
        <v>319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Sapin de Nordmann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607.8862722191426</v>
      </c>
      <c r="U14" s="178">
        <f>'Données projet'!D13</f>
        <v>0.84699999999999998</v>
      </c>
      <c r="V14" s="177">
        <f t="shared" si="1"/>
        <v>514.87967256961372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11" t="s">
        <v>320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 rouge d'Amérique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3452.6029761602167</v>
      </c>
      <c r="U15" s="178">
        <f>'Données projet'!D14</f>
        <v>0.84699999999999998</v>
      </c>
      <c r="V15" s="177">
        <f t="shared" si="1"/>
        <v>2924.3547208077034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50</v>
      </c>
      <c r="B16" s="48" t="s">
        <v>321</v>
      </c>
      <c r="C16" s="48" t="s">
        <v>322</v>
      </c>
      <c r="D16" s="36" t="s">
        <v>323</v>
      </c>
      <c r="E16" s="36" t="s">
        <v>324</v>
      </c>
      <c r="F16" s="230"/>
      <c r="G16" s="311"/>
      <c r="H16" s="190"/>
      <c r="I16" s="191"/>
      <c r="J16" s="202"/>
      <c r="K16" s="208"/>
      <c r="L16" s="308" t="s">
        <v>325</v>
      </c>
      <c r="M16" s="309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210</v>
      </c>
      <c r="C17" s="198" t="s">
        <v>210</v>
      </c>
      <c r="D17" s="197" t="s">
        <v>210</v>
      </c>
      <c r="E17" s="193"/>
      <c r="F17" s="230"/>
      <c r="G17" s="311"/>
      <c r="J17" s="202"/>
      <c r="K17" s="208"/>
      <c r="L17" s="268" t="s">
        <v>326</v>
      </c>
      <c r="M17" s="270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210</v>
      </c>
      <c r="C18" s="198" t="s">
        <v>210</v>
      </c>
      <c r="D18" s="197" t="s">
        <v>210</v>
      </c>
      <c r="E18" s="193"/>
      <c r="F18" s="230"/>
      <c r="G18" s="311"/>
      <c r="J18" s="202"/>
      <c r="K18" s="208"/>
      <c r="L18" s="268" t="s">
        <v>322</v>
      </c>
      <c r="M18" s="270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210</v>
      </c>
      <c r="C19" s="198" t="s">
        <v>210</v>
      </c>
      <c r="D19" s="197" t="s">
        <v>210</v>
      </c>
      <c r="E19" s="193"/>
      <c r="F19" s="230"/>
      <c r="G19" s="311"/>
      <c r="H19" s="212" t="s">
        <v>92</v>
      </c>
      <c r="I19" s="212" t="s">
        <v>327</v>
      </c>
      <c r="J19" s="93"/>
      <c r="K19" s="173"/>
      <c r="L19" s="308" t="s">
        <v>328</v>
      </c>
      <c r="M19" s="309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210</v>
      </c>
      <c r="C20" s="198" t="s">
        <v>210</v>
      </c>
      <c r="D20" s="197" t="s">
        <v>210</v>
      </c>
      <c r="E20" s="193"/>
      <c r="F20" s="230"/>
      <c r="G20" s="311"/>
      <c r="H20" s="190">
        <v>1</v>
      </c>
      <c r="I20" s="191">
        <v>10360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210</v>
      </c>
      <c r="C21" s="198" t="s">
        <v>210</v>
      </c>
      <c r="D21" s="197" t="s">
        <v>210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210</v>
      </c>
      <c r="C22" s="198" t="s">
        <v>210</v>
      </c>
      <c r="D22" s="197" t="s">
        <v>210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19</v>
      </c>
      <c r="B23" s="181">
        <f>'Données projet'!D36</f>
        <v>46.53846153846154</v>
      </c>
      <c r="C23" s="193">
        <v>10</v>
      </c>
      <c r="D23" s="182">
        <f>B23*C23</f>
        <v>465.38461538461542</v>
      </c>
      <c r="E23" s="193">
        <v>150</v>
      </c>
      <c r="F23" s="230"/>
      <c r="H23" s="190"/>
      <c r="I23" s="191"/>
      <c r="K23" s="208"/>
      <c r="L23" s="310" t="s">
        <v>329</v>
      </c>
      <c r="M23" s="310"/>
      <c r="N23" s="310"/>
      <c r="O23" s="23"/>
      <c r="P23" s="23"/>
      <c r="Q23" s="234"/>
      <c r="R23" s="23"/>
      <c r="S23" s="36" t="s">
        <v>330</v>
      </c>
      <c r="T23" s="30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-65253.123665898689</v>
      </c>
      <c r="U23" s="305"/>
      <c r="V23" s="305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24</v>
      </c>
      <c r="B24" s="181">
        <f>'Données projet'!D37</f>
        <v>40.41538461538461</v>
      </c>
      <c r="C24" s="193">
        <v>10</v>
      </c>
      <c r="D24" s="182">
        <f t="shared" ref="D24:D42" si="2">B24*C24</f>
        <v>404.15384615384608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331</v>
      </c>
      <c r="T24" s="30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6"/>
      <c r="V24" s="306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55.869230769230761</v>
      </c>
      <c r="C25" s="193">
        <v>10</v>
      </c>
      <c r="D25" s="182">
        <f t="shared" si="2"/>
        <v>558.69230769230762</v>
      </c>
      <c r="E25" s="193">
        <v>150</v>
      </c>
      <c r="F25" s="233"/>
      <c r="H25" s="190"/>
      <c r="I25" s="191"/>
      <c r="K25" s="208"/>
      <c r="L25" s="130" t="s">
        <v>332</v>
      </c>
      <c r="M25" s="130"/>
      <c r="N25" s="130"/>
      <c r="O25" s="130"/>
      <c r="P25" s="192"/>
      <c r="Q25" s="234"/>
      <c r="R25" s="23"/>
      <c r="S25" s="186" t="s">
        <v>333</v>
      </c>
      <c r="T25" s="307">
        <f ca="1">T23-T24</f>
        <v>-65253.123665898689</v>
      </c>
      <c r="U25" s="307"/>
      <c r="V25" s="307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37</v>
      </c>
      <c r="B26" s="181">
        <f>'Données projet'!D39</f>
        <v>43.623076923076923</v>
      </c>
      <c r="C26" s="193">
        <v>15</v>
      </c>
      <c r="D26" s="182">
        <f t="shared" si="2"/>
        <v>654.34615384615381</v>
      </c>
      <c r="E26" s="193">
        <v>150</v>
      </c>
      <c r="F26" s="233"/>
      <c r="G26" s="229"/>
      <c r="H26" s="190"/>
      <c r="I26" s="191"/>
      <c r="K26" s="208"/>
      <c r="L26" s="294" t="s">
        <v>334</v>
      </c>
      <c r="M26" s="295"/>
      <c r="N26" s="295"/>
      <c r="O26" s="295"/>
      <c r="P26" s="296"/>
      <c r="Q26" s="234"/>
      <c r="R26" s="23"/>
      <c r="S26" s="186" t="s">
        <v>335</v>
      </c>
      <c r="T26" s="304" t="str">
        <f ca="1">IF(T25&lt;0,"Votre projet est additionnel","Votre projet n'est pas additionnel")</f>
        <v>Votre projet est additionnel</v>
      </c>
      <c r="U26" s="304"/>
      <c r="V26" s="30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46</v>
      </c>
      <c r="B27" s="181">
        <f>'Données projet'!D40</f>
        <v>72.561538461538461</v>
      </c>
      <c r="C27" s="193">
        <v>25</v>
      </c>
      <c r="D27" s="182">
        <f t="shared" si="2"/>
        <v>1814.0384615384614</v>
      </c>
      <c r="E27" s="193">
        <v>150</v>
      </c>
      <c r="F27" s="233"/>
      <c r="G27" s="229"/>
      <c r="H27" s="190"/>
      <c r="I27" s="191"/>
      <c r="K27" s="208"/>
      <c r="L27" s="297"/>
      <c r="M27" s="298"/>
      <c r="N27" s="298"/>
      <c r="O27" s="298"/>
      <c r="P27" s="299"/>
      <c r="Q27" s="234"/>
      <c r="R27" s="23"/>
      <c r="S27" s="303" t="s">
        <v>336</v>
      </c>
      <c r="T27" s="303"/>
      <c r="U27" s="303"/>
      <c r="V27" s="303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56</v>
      </c>
      <c r="B28" s="181">
        <f>'Données projet'!D41</f>
        <v>60.092307692307692</v>
      </c>
      <c r="C28" s="193">
        <v>25</v>
      </c>
      <c r="D28" s="182">
        <f t="shared" si="2"/>
        <v>1502.3076923076924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66</v>
      </c>
      <c r="B29" s="181">
        <f>'Données projet'!D42</f>
        <v>68.146153846153851</v>
      </c>
      <c r="C29" s="193">
        <v>25</v>
      </c>
      <c r="D29" s="182">
        <f t="shared" si="2"/>
        <v>1703.6538461538462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76</v>
      </c>
      <c r="B30" s="181">
        <f>'Données projet'!D43</f>
        <v>520.22307692307686</v>
      </c>
      <c r="C30" s="193">
        <v>25</v>
      </c>
      <c r="D30" s="182">
        <f t="shared" si="2"/>
        <v>13005.576923076922</v>
      </c>
      <c r="E30" s="193">
        <v>150</v>
      </c>
      <c r="F30" s="233"/>
      <c r="G30" s="203"/>
      <c r="H30" s="190"/>
      <c r="I30" s="191"/>
      <c r="K30" s="183"/>
      <c r="L30" s="36" t="s">
        <v>337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92</v>
      </c>
      <c r="P32" s="85" t="s">
        <v>323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18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50</v>
      </c>
      <c r="B47" s="48" t="s">
        <v>321</v>
      </c>
      <c r="C47" s="48" t="s">
        <v>322</v>
      </c>
      <c r="D47" s="36" t="s">
        <v>323</v>
      </c>
      <c r="E47" s="36" t="s">
        <v>324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210</v>
      </c>
      <c r="C48" s="198" t="s">
        <v>210</v>
      </c>
      <c r="D48" s="197" t="s">
        <v>210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210</v>
      </c>
      <c r="C49" s="198" t="s">
        <v>210</v>
      </c>
      <c r="D49" s="197" t="s">
        <v>210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210</v>
      </c>
      <c r="C50" s="198" t="s">
        <v>210</v>
      </c>
      <c r="D50" s="197" t="s">
        <v>210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210</v>
      </c>
      <c r="C51" s="198" t="s">
        <v>210</v>
      </c>
      <c r="D51" s="197" t="s">
        <v>210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210</v>
      </c>
      <c r="C52" s="198" t="s">
        <v>210</v>
      </c>
      <c r="D52" s="197" t="s">
        <v>210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210</v>
      </c>
      <c r="C53" s="198" t="s">
        <v>210</v>
      </c>
      <c r="D53" s="197" t="s">
        <v>210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51</v>
      </c>
      <c r="B55" s="181">
        <f>'Données projet'!D63</f>
        <v>100.30769230769231</v>
      </c>
      <c r="C55" s="191">
        <v>10</v>
      </c>
      <c r="D55" s="179">
        <f t="shared" ref="D55:D73" si="4">B55*C55</f>
        <v>1003.0769230769231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63</v>
      </c>
      <c r="B56" s="181">
        <f>'Données projet'!D64</f>
        <v>108.08461538461538</v>
      </c>
      <c r="C56" s="191">
        <v>18</v>
      </c>
      <c r="D56" s="179">
        <f t="shared" si="4"/>
        <v>1945.5230769230768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75</v>
      </c>
      <c r="B57" s="181">
        <f>'Données projet'!D65</f>
        <v>85.361538461538458</v>
      </c>
      <c r="C57" s="191">
        <v>25</v>
      </c>
      <c r="D57" s="179">
        <f t="shared" si="4"/>
        <v>2134.0384615384614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87</v>
      </c>
      <c r="B58" s="181">
        <f>'Données projet'!D66</f>
        <v>82.938461538461524</v>
      </c>
      <c r="C58" s="191">
        <v>35</v>
      </c>
      <c r="D58" s="179">
        <f t="shared" si="4"/>
        <v>2902.8461538461534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99</v>
      </c>
      <c r="B59" s="181">
        <f>'Données projet'!D67</f>
        <v>198.32307692307691</v>
      </c>
      <c r="C59" s="191">
        <v>40</v>
      </c>
      <c r="D59" s="179">
        <f t="shared" si="4"/>
        <v>7932.9230769230762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109</v>
      </c>
      <c r="B60" s="181">
        <f>'Données projet'!D68</f>
        <v>256.09230769230771</v>
      </c>
      <c r="C60" s="191">
        <v>45</v>
      </c>
      <c r="D60" s="179">
        <f t="shared" si="4"/>
        <v>11524.153846153848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20</v>
      </c>
      <c r="B76" s="174" t="str">
        <f>IF('Données projet'!B11="","",'Données projet'!B11)</f>
        <v>Peuplier Blanc du Poitou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50</v>
      </c>
      <c r="B78" s="48" t="s">
        <v>321</v>
      </c>
      <c r="C78" s="48" t="s">
        <v>322</v>
      </c>
      <c r="D78" s="36" t="s">
        <v>323</v>
      </c>
      <c r="E78" s="36" t="s">
        <v>324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210</v>
      </c>
      <c r="C79" s="198" t="s">
        <v>210</v>
      </c>
      <c r="D79" s="197" t="s">
        <v>210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210</v>
      </c>
      <c r="C80" s="198" t="s">
        <v>210</v>
      </c>
      <c r="D80" s="197" t="s">
        <v>210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210</v>
      </c>
      <c r="C81" s="198" t="s">
        <v>210</v>
      </c>
      <c r="D81" s="197" t="s">
        <v>210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210</v>
      </c>
      <c r="C82" s="198" t="s">
        <v>210</v>
      </c>
      <c r="D82" s="197" t="s">
        <v>210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210</v>
      </c>
      <c r="C83" s="198" t="s">
        <v>210</v>
      </c>
      <c r="D83" s="197" t="s">
        <v>210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210</v>
      </c>
      <c r="C84" s="198" t="s">
        <v>210</v>
      </c>
      <c r="D84" s="197" t="s">
        <v>210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4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5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6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7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8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9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10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11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12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13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14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15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16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17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18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19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20</v>
      </c>
      <c r="B101" s="181">
        <f>'Données projet'!D104</f>
        <v>200.36974358974356</v>
      </c>
      <c r="C101" s="191">
        <v>25</v>
      </c>
      <c r="D101" s="179">
        <f t="shared" si="6"/>
        <v>5009.2435897435889</v>
      </c>
      <c r="E101" s="193">
        <v>150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22</v>
      </c>
      <c r="B107" s="174" t="str">
        <f>IF('Données projet'!B12="","",'Données projet'!B12)</f>
        <v>Chêne sessile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50</v>
      </c>
      <c r="B109" s="48" t="s">
        <v>321</v>
      </c>
      <c r="C109" s="48" t="s">
        <v>322</v>
      </c>
      <c r="D109" s="36" t="s">
        <v>323</v>
      </c>
      <c r="E109" s="36" t="s">
        <v>324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210</v>
      </c>
      <c r="C110" s="198" t="s">
        <v>210</v>
      </c>
      <c r="D110" s="197" t="s">
        <v>210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210</v>
      </c>
      <c r="C111" s="198" t="s">
        <v>210</v>
      </c>
      <c r="D111" s="197" t="s">
        <v>210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210</v>
      </c>
      <c r="C112" s="198" t="s">
        <v>210</v>
      </c>
      <c r="D112" s="197" t="s">
        <v>210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210</v>
      </c>
      <c r="C113" s="198" t="s">
        <v>210</v>
      </c>
      <c r="D113" s="197" t="s">
        <v>210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210</v>
      </c>
      <c r="C114" s="198" t="s">
        <v>210</v>
      </c>
      <c r="D114" s="197" t="s">
        <v>210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210</v>
      </c>
      <c r="C115" s="198" t="s">
        <v>210</v>
      </c>
      <c r="D115" s="197" t="s">
        <v>210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30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36</v>
      </c>
      <c r="B117" s="181">
        <f>'Données projet'!D115</f>
        <v>54.224358974358978</v>
      </c>
      <c r="C117" s="191">
        <v>10</v>
      </c>
      <c r="D117" s="179">
        <f t="shared" ref="D117:D135" si="8">B117*C117</f>
        <v>542.24358974358984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44</v>
      </c>
      <c r="B118" s="181">
        <f>'Données projet'!D116</f>
        <v>26.40384615384615</v>
      </c>
      <c r="C118" s="191">
        <v>10</v>
      </c>
      <c r="D118" s="179">
        <f t="shared" si="8"/>
        <v>264.03846153846149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52</v>
      </c>
      <c r="B119" s="181">
        <f>'Données projet'!D117</f>
        <v>29.512820512820511</v>
      </c>
      <c r="C119" s="191">
        <v>50</v>
      </c>
      <c r="D119" s="179">
        <f t="shared" si="8"/>
        <v>1475.6410256410256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32.71153846153846</v>
      </c>
      <c r="C120" s="191">
        <v>50</v>
      </c>
      <c r="D120" s="179">
        <f t="shared" si="8"/>
        <v>1635.5769230769231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68</v>
      </c>
      <c r="B121" s="181">
        <f>'Données projet'!D119</f>
        <v>33.256410256410255</v>
      </c>
      <c r="C121" s="191">
        <v>50</v>
      </c>
      <c r="D121" s="179">
        <f t="shared" si="8"/>
        <v>1662.8205128205127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78</v>
      </c>
      <c r="B122" s="181">
        <f>'Données projet'!D120</f>
        <v>32.88461538461538</v>
      </c>
      <c r="C122" s="191">
        <v>100</v>
      </c>
      <c r="D122" s="179">
        <f t="shared" si="8"/>
        <v>3288.4615384615381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88</v>
      </c>
      <c r="B123" s="181">
        <f>'Données projet'!D121</f>
        <v>37.07692307692308</v>
      </c>
      <c r="C123" s="191">
        <v>100</v>
      </c>
      <c r="D123" s="179">
        <f t="shared" si="8"/>
        <v>3707.6923076923081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98</v>
      </c>
      <c r="B124" s="181">
        <f>'Données projet'!D122</f>
        <v>36.192307692307693</v>
      </c>
      <c r="C124" s="191">
        <v>150</v>
      </c>
      <c r="D124" s="179">
        <f t="shared" si="8"/>
        <v>5428.8461538461543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108</v>
      </c>
      <c r="B125" s="181">
        <f>'Données projet'!D123</f>
        <v>42.352564102564095</v>
      </c>
      <c r="C125" s="191">
        <v>150</v>
      </c>
      <c r="D125" s="179">
        <f t="shared" si="8"/>
        <v>6352.8846153846143</v>
      </c>
      <c r="E125" s="193">
        <v>150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118</v>
      </c>
      <c r="B126" s="181">
        <f>'Données projet'!D124</f>
        <v>42.685897435897438</v>
      </c>
      <c r="C126" s="191">
        <v>150</v>
      </c>
      <c r="D126" s="179">
        <f t="shared" si="8"/>
        <v>6402.8846153846152</v>
      </c>
      <c r="E126" s="193">
        <v>150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128</v>
      </c>
      <c r="B127" s="181">
        <f>'Données projet'!D125</f>
        <v>41.243589743589745</v>
      </c>
      <c r="C127" s="191">
        <v>200</v>
      </c>
      <c r="D127" s="179">
        <f t="shared" si="8"/>
        <v>8248.7179487179492</v>
      </c>
      <c r="E127" s="193">
        <v>150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138</v>
      </c>
      <c r="B128" s="181">
        <f>'Données projet'!D126</f>
        <v>41.987179487179489</v>
      </c>
      <c r="C128" s="191">
        <v>200</v>
      </c>
      <c r="D128" s="179">
        <f t="shared" si="8"/>
        <v>8397.4358974358984</v>
      </c>
      <c r="E128" s="193">
        <v>150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148</v>
      </c>
      <c r="B129" s="181">
        <f>'Données projet'!D127</f>
        <v>42.621794871794869</v>
      </c>
      <c r="C129" s="191">
        <v>200</v>
      </c>
      <c r="D129" s="179">
        <f t="shared" si="8"/>
        <v>8524.3589743589746</v>
      </c>
      <c r="E129" s="193">
        <v>150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158</v>
      </c>
      <c r="B130" s="181">
        <f>'Données projet'!D128</f>
        <v>44.42307692307692</v>
      </c>
      <c r="C130" s="191">
        <v>200</v>
      </c>
      <c r="D130" s="179">
        <f t="shared" si="8"/>
        <v>8884.6153846153848</v>
      </c>
      <c r="E130" s="193">
        <v>150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168</v>
      </c>
      <c r="B131" s="181">
        <f>'Données projet'!D129</f>
        <v>43.36538461538462</v>
      </c>
      <c r="C131" s="191">
        <v>200</v>
      </c>
      <c r="D131" s="179">
        <f t="shared" si="8"/>
        <v>8673.0769230769238</v>
      </c>
      <c r="E131" s="193">
        <v>150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178</v>
      </c>
      <c r="B132" s="181">
        <f>'Données projet'!D130</f>
        <v>163.11538461538461</v>
      </c>
      <c r="C132" s="191">
        <v>200</v>
      </c>
      <c r="D132" s="179">
        <f t="shared" si="8"/>
        <v>32623.076923076922</v>
      </c>
      <c r="E132" s="193">
        <v>150</v>
      </c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181</v>
      </c>
      <c r="B133" s="181">
        <f>'Données projet'!D131</f>
        <v>89.608974358974351</v>
      </c>
      <c r="C133" s="191">
        <v>200</v>
      </c>
      <c r="D133" s="179">
        <f t="shared" si="8"/>
        <v>17921.794871794871</v>
      </c>
      <c r="E133" s="193">
        <v>150</v>
      </c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184</v>
      </c>
      <c r="B134" s="181">
        <f>'Données projet'!D132</f>
        <v>62.82692307692308</v>
      </c>
      <c r="C134" s="191">
        <v>200</v>
      </c>
      <c r="D134" s="179">
        <f t="shared" si="8"/>
        <v>12565.384615384615</v>
      </c>
      <c r="E134" s="193">
        <v>150</v>
      </c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187</v>
      </c>
      <c r="B135" s="181">
        <f>'Données projet'!D133</f>
        <v>124.26282051282051</v>
      </c>
      <c r="C135" s="191">
        <v>200</v>
      </c>
      <c r="D135" s="179">
        <f t="shared" si="8"/>
        <v>24852.564102564102</v>
      </c>
      <c r="E135" s="193">
        <v>150</v>
      </c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24</v>
      </c>
      <c r="B138" s="174" t="str">
        <f>IF('Données projet'!B13="","",'Données projet'!B13)</f>
        <v>Sapin de Nordmann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30" x14ac:dyDescent="0.25">
      <c r="A140" s="36" t="s">
        <v>50</v>
      </c>
      <c r="B140" s="48" t="s">
        <v>321</v>
      </c>
      <c r="C140" s="48" t="s">
        <v>322</v>
      </c>
      <c r="D140" s="36" t="s">
        <v>323</v>
      </c>
      <c r="E140" s="36" t="s">
        <v>324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210</v>
      </c>
      <c r="C141" s="198" t="s">
        <v>210</v>
      </c>
      <c r="D141" s="197" t="s">
        <v>210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210</v>
      </c>
      <c r="C142" s="198" t="s">
        <v>210</v>
      </c>
      <c r="D142" s="197" t="s">
        <v>210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210</v>
      </c>
      <c r="C143" s="198" t="s">
        <v>210</v>
      </c>
      <c r="D143" s="197" t="s">
        <v>210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210</v>
      </c>
      <c r="C144" s="198" t="s">
        <v>210</v>
      </c>
      <c r="D144" s="197" t="s">
        <v>210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210</v>
      </c>
      <c r="C145" s="198" t="s">
        <v>210</v>
      </c>
      <c r="D145" s="197" t="s">
        <v>210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210</v>
      </c>
      <c r="C146" s="198" t="s">
        <v>210</v>
      </c>
      <c r="D146" s="197" t="s">
        <v>210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30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50</v>
      </c>
      <c r="B148" s="175">
        <f>'Données projet'!D141</f>
        <v>104.55384615384614</v>
      </c>
      <c r="C148" s="191">
        <v>10</v>
      </c>
      <c r="D148" s="182">
        <f t="shared" ref="D148:D166" si="10">B148*C148</f>
        <v>1045.5384615384614</v>
      </c>
      <c r="E148" s="193">
        <v>150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60</v>
      </c>
      <c r="B149" s="175">
        <f>'Données projet'!D142</f>
        <v>133.13846153846154</v>
      </c>
      <c r="C149" s="191">
        <v>18</v>
      </c>
      <c r="D149" s="182">
        <f t="shared" si="10"/>
        <v>2396.4923076923078</v>
      </c>
      <c r="E149" s="193">
        <v>150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70</v>
      </c>
      <c r="B150" s="175">
        <f>'Données projet'!D143</f>
        <v>105.74615384615385</v>
      </c>
      <c r="C150" s="191">
        <v>25</v>
      </c>
      <c r="D150" s="182">
        <f t="shared" si="10"/>
        <v>2643.6538461538462</v>
      </c>
      <c r="E150" s="193">
        <v>150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80</v>
      </c>
      <c r="B151" s="175">
        <f>'Données projet'!D144</f>
        <v>80.684615384615384</v>
      </c>
      <c r="C151" s="191">
        <v>25</v>
      </c>
      <c r="D151" s="182">
        <f t="shared" si="10"/>
        <v>2017.1153846153845</v>
      </c>
      <c r="E151" s="193">
        <v>150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90</v>
      </c>
      <c r="B152" s="175">
        <f>'Données projet'!D145</f>
        <v>58.792307692307695</v>
      </c>
      <c r="C152" s="191">
        <v>35</v>
      </c>
      <c r="D152" s="182">
        <f t="shared" si="10"/>
        <v>2057.7307692307695</v>
      </c>
      <c r="E152" s="193">
        <v>150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100</v>
      </c>
      <c r="B153" s="175">
        <f>'Données projet'!D146</f>
        <v>178.02307692307693</v>
      </c>
      <c r="C153" s="191">
        <v>35</v>
      </c>
      <c r="D153" s="182">
        <f t="shared" si="10"/>
        <v>6230.8076923076924</v>
      </c>
      <c r="E153" s="193">
        <v>150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110</v>
      </c>
      <c r="B154" s="175">
        <f>'Données projet'!D147</f>
        <v>129.43076923076922</v>
      </c>
      <c r="C154" s="191">
        <v>35</v>
      </c>
      <c r="D154" s="182">
        <f t="shared" si="10"/>
        <v>4530.0769230769229</v>
      </c>
      <c r="E154" s="193">
        <v>150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120</v>
      </c>
      <c r="B155" s="175">
        <f>'Données projet'!D148</f>
        <v>168.63076923076923</v>
      </c>
      <c r="C155" s="191">
        <v>40</v>
      </c>
      <c r="D155" s="182">
        <f t="shared" si="10"/>
        <v>6745.2307692307695</v>
      </c>
      <c r="E155" s="193">
        <v>150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26</v>
      </c>
      <c r="B169" s="174" t="str">
        <f>IF('Données projet'!B14="","",'Données projet'!B14)</f>
        <v>Chêne rouge d'Amérique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30" x14ac:dyDescent="0.25">
      <c r="A171" s="36" t="s">
        <v>50</v>
      </c>
      <c r="B171" s="48" t="s">
        <v>321</v>
      </c>
      <c r="C171" s="48" t="s">
        <v>322</v>
      </c>
      <c r="D171" s="36" t="s">
        <v>323</v>
      </c>
      <c r="E171" s="36" t="s">
        <v>324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210</v>
      </c>
      <c r="C172" s="198" t="s">
        <v>210</v>
      </c>
      <c r="D172" s="197" t="s">
        <v>210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210</v>
      </c>
      <c r="C173" s="198" t="s">
        <v>210</v>
      </c>
      <c r="D173" s="197" t="s">
        <v>210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210</v>
      </c>
      <c r="C174" s="198" t="s">
        <v>210</v>
      </c>
      <c r="D174" s="197" t="s">
        <v>210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210</v>
      </c>
      <c r="C175" s="198" t="s">
        <v>210</v>
      </c>
      <c r="D175" s="197" t="s">
        <v>210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210</v>
      </c>
      <c r="C176" s="198" t="s">
        <v>210</v>
      </c>
      <c r="D176" s="197" t="s">
        <v>210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210</v>
      </c>
      <c r="C177" s="198" t="s">
        <v>210</v>
      </c>
      <c r="D177" s="197" t="s">
        <v>210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10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15</v>
      </c>
      <c r="B179" s="181">
        <f>'Données projet'!D167</f>
        <v>0</v>
      </c>
      <c r="C179" s="193">
        <v>10</v>
      </c>
      <c r="D179" s="179">
        <f t="shared" ref="D179:D197" si="11">B179*C179</f>
        <v>0</v>
      </c>
      <c r="E179" s="193">
        <v>150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20</v>
      </c>
      <c r="B180" s="181" t="str">
        <f>'Données projet'!D168</f>
        <v>54</v>
      </c>
      <c r="C180" s="193">
        <v>10</v>
      </c>
      <c r="D180" s="179">
        <f t="shared" si="11"/>
        <v>540</v>
      </c>
      <c r="E180" s="193">
        <v>150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25</v>
      </c>
      <c r="B181" s="181" t="str">
        <f>'Données projet'!D169</f>
        <v>26</v>
      </c>
      <c r="C181" s="193">
        <v>50</v>
      </c>
      <c r="D181" s="179">
        <f t="shared" si="11"/>
        <v>1300</v>
      </c>
      <c r="E181" s="193">
        <v>150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30</v>
      </c>
      <c r="B182" s="181" t="str">
        <f>'Données projet'!D170</f>
        <v>27</v>
      </c>
      <c r="C182" s="193">
        <v>50</v>
      </c>
      <c r="D182" s="179">
        <f t="shared" si="11"/>
        <v>1350</v>
      </c>
      <c r="E182" s="193">
        <v>150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35</v>
      </c>
      <c r="B183" s="181" t="str">
        <f>'Données projet'!D171</f>
        <v>27</v>
      </c>
      <c r="C183" s="193">
        <v>50</v>
      </c>
      <c r="D183" s="179">
        <f t="shared" si="11"/>
        <v>1350</v>
      </c>
      <c r="E183" s="193">
        <v>150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40</v>
      </c>
      <c r="B184" s="181" t="str">
        <f>'Données projet'!D172</f>
        <v>27</v>
      </c>
      <c r="C184" s="193">
        <v>100</v>
      </c>
      <c r="D184" s="179">
        <f t="shared" si="11"/>
        <v>2700</v>
      </c>
      <c r="E184" s="193">
        <v>150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45</v>
      </c>
      <c r="B185" s="181" t="str">
        <f>'Données projet'!D173</f>
        <v>26</v>
      </c>
      <c r="C185" s="193">
        <v>100</v>
      </c>
      <c r="D185" s="179">
        <f t="shared" si="11"/>
        <v>2600</v>
      </c>
      <c r="E185" s="193">
        <v>150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50</v>
      </c>
      <c r="B186" s="181" t="str">
        <f>'Données projet'!D174</f>
        <v>24</v>
      </c>
      <c r="C186" s="193">
        <v>150</v>
      </c>
      <c r="D186" s="179">
        <f t="shared" si="11"/>
        <v>3600</v>
      </c>
      <c r="E186" s="193">
        <v>150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55</v>
      </c>
      <c r="B187" s="181" t="str">
        <f>'Données projet'!D175</f>
        <v>23</v>
      </c>
      <c r="C187" s="193">
        <v>150</v>
      </c>
      <c r="D187" s="179">
        <f t="shared" si="11"/>
        <v>3450</v>
      </c>
      <c r="E187" s="193">
        <v>150</v>
      </c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60</v>
      </c>
      <c r="B188" s="181" t="str">
        <f>'Données projet'!D176</f>
        <v>21</v>
      </c>
      <c r="C188" s="193">
        <v>150</v>
      </c>
      <c r="D188" s="179">
        <f t="shared" si="11"/>
        <v>3150</v>
      </c>
      <c r="E188" s="193">
        <v>150</v>
      </c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65</v>
      </c>
      <c r="B189" s="181" t="str">
        <f>'Données projet'!D177</f>
        <v>20</v>
      </c>
      <c r="C189" s="193">
        <v>200</v>
      </c>
      <c r="D189" s="179">
        <f t="shared" si="11"/>
        <v>4000</v>
      </c>
      <c r="E189" s="193">
        <v>150</v>
      </c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70</v>
      </c>
      <c r="B190" s="181" t="str">
        <f>'Données projet'!D178</f>
        <v>18</v>
      </c>
      <c r="C190" s="193">
        <v>200</v>
      </c>
      <c r="D190" s="179">
        <f t="shared" si="11"/>
        <v>3600</v>
      </c>
      <c r="E190" s="193">
        <v>150</v>
      </c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75</v>
      </c>
      <c r="B191" s="181" t="str">
        <f>'Données projet'!D179</f>
        <v>16</v>
      </c>
      <c r="C191" s="193">
        <v>200</v>
      </c>
      <c r="D191" s="179">
        <f t="shared" si="11"/>
        <v>3200</v>
      </c>
      <c r="E191" s="193">
        <v>150</v>
      </c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80</v>
      </c>
      <c r="B192" s="181" t="str">
        <f>'Données projet'!D180</f>
        <v>15</v>
      </c>
      <c r="C192" s="193">
        <v>200</v>
      </c>
      <c r="D192" s="179">
        <f t="shared" si="11"/>
        <v>3000</v>
      </c>
      <c r="E192" s="193">
        <v>150</v>
      </c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85</v>
      </c>
      <c r="B193" s="181" t="str">
        <f>'Données projet'!D181</f>
        <v>14</v>
      </c>
      <c r="C193" s="193">
        <v>200</v>
      </c>
      <c r="D193" s="179">
        <f t="shared" si="11"/>
        <v>2800</v>
      </c>
      <c r="E193" s="193">
        <v>150</v>
      </c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90</v>
      </c>
      <c r="B194" s="181" t="str">
        <f>'Données projet'!D182</f>
        <v>12</v>
      </c>
      <c r="C194" s="193">
        <v>200</v>
      </c>
      <c r="D194" s="179">
        <f t="shared" si="11"/>
        <v>2400</v>
      </c>
      <c r="E194" s="193">
        <v>150</v>
      </c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95</v>
      </c>
      <c r="B195" s="181" t="str">
        <f>'Données projet'!D183</f>
        <v>12</v>
      </c>
      <c r="C195" s="193">
        <v>200</v>
      </c>
      <c r="D195" s="179">
        <f t="shared" si="11"/>
        <v>2400</v>
      </c>
      <c r="E195" s="193">
        <v>150</v>
      </c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100</v>
      </c>
      <c r="B196" s="181" t="str">
        <f>'Données projet'!D184</f>
        <v>12</v>
      </c>
      <c r="C196" s="193">
        <v>200</v>
      </c>
      <c r="D196" s="179">
        <f t="shared" si="11"/>
        <v>2400</v>
      </c>
      <c r="E196" s="193">
        <v>150</v>
      </c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28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30" x14ac:dyDescent="0.25">
      <c r="A202" s="36" t="s">
        <v>50</v>
      </c>
      <c r="B202" s="48" t="s">
        <v>321</v>
      </c>
      <c r="C202" s="48" t="s">
        <v>322</v>
      </c>
      <c r="D202" s="36" t="s">
        <v>323</v>
      </c>
      <c r="E202" s="36" t="s">
        <v>324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210</v>
      </c>
      <c r="C203" s="198" t="s">
        <v>210</v>
      </c>
      <c r="D203" s="197" t="s">
        <v>210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210</v>
      </c>
      <c r="C204" s="198" t="s">
        <v>210</v>
      </c>
      <c r="D204" s="197" t="s">
        <v>210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210</v>
      </c>
      <c r="C205" s="198" t="s">
        <v>210</v>
      </c>
      <c r="D205" s="197" t="s">
        <v>210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210</v>
      </c>
      <c r="C206" s="198" t="s">
        <v>210</v>
      </c>
      <c r="D206" s="197" t="s">
        <v>210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210</v>
      </c>
      <c r="C207" s="198" t="s">
        <v>210</v>
      </c>
      <c r="D207" s="197" t="s">
        <v>210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210</v>
      </c>
      <c r="C208" s="198" t="s">
        <v>210</v>
      </c>
      <c r="D208" s="197" t="s">
        <v>210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29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30" x14ac:dyDescent="0.25">
      <c r="A233" s="36" t="s">
        <v>50</v>
      </c>
      <c r="B233" s="48" t="s">
        <v>321</v>
      </c>
      <c r="C233" s="48" t="s">
        <v>322</v>
      </c>
      <c r="D233" s="36" t="s">
        <v>323</v>
      </c>
      <c r="E233" s="36" t="s">
        <v>324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210</v>
      </c>
      <c r="C234" s="198" t="s">
        <v>210</v>
      </c>
      <c r="D234" s="197" t="s">
        <v>210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210</v>
      </c>
      <c r="C235" s="198" t="s">
        <v>210</v>
      </c>
      <c r="D235" s="197" t="s">
        <v>210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210</v>
      </c>
      <c r="C236" s="198" t="s">
        <v>210</v>
      </c>
      <c r="D236" s="197" t="s">
        <v>210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210</v>
      </c>
      <c r="C237" s="198" t="s">
        <v>210</v>
      </c>
      <c r="D237" s="197" t="s">
        <v>210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210</v>
      </c>
      <c r="C238" s="198" t="s">
        <v>210</v>
      </c>
      <c r="D238" s="197" t="s">
        <v>210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210</v>
      </c>
      <c r="C239" s="198" t="s">
        <v>210</v>
      </c>
      <c r="D239" s="197" t="s">
        <v>210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30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30" x14ac:dyDescent="0.25">
      <c r="A264" s="36" t="s">
        <v>50</v>
      </c>
      <c r="B264" s="48" t="s">
        <v>321</v>
      </c>
      <c r="C264" s="48" t="s">
        <v>322</v>
      </c>
      <c r="D264" s="36" t="s">
        <v>323</v>
      </c>
      <c r="E264" s="36" t="s">
        <v>324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210</v>
      </c>
      <c r="C265" s="198" t="s">
        <v>210</v>
      </c>
      <c r="D265" s="197" t="s">
        <v>210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210</v>
      </c>
      <c r="C266" s="198" t="s">
        <v>210</v>
      </c>
      <c r="D266" s="197" t="s">
        <v>210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210</v>
      </c>
      <c r="C267" s="198" t="s">
        <v>210</v>
      </c>
      <c r="D267" s="197" t="s">
        <v>210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210</v>
      </c>
      <c r="C268" s="198" t="s">
        <v>210</v>
      </c>
      <c r="D268" s="197" t="s">
        <v>210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210</v>
      </c>
      <c r="C269" s="198" t="s">
        <v>210</v>
      </c>
      <c r="D269" s="197" t="s">
        <v>210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210</v>
      </c>
      <c r="C270" s="198" t="s">
        <v>210</v>
      </c>
      <c r="D270" s="197" t="s">
        <v>210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31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30" x14ac:dyDescent="0.25">
      <c r="A295" s="36" t="s">
        <v>50</v>
      </c>
      <c r="B295" s="48" t="s">
        <v>321</v>
      </c>
      <c r="C295" s="48" t="s">
        <v>322</v>
      </c>
      <c r="D295" s="36" t="s">
        <v>323</v>
      </c>
      <c r="E295" s="36" t="s">
        <v>324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210</v>
      </c>
      <c r="C296" s="198" t="s">
        <v>210</v>
      </c>
      <c r="D296" s="197" t="s">
        <v>210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210</v>
      </c>
      <c r="C297" s="198" t="s">
        <v>210</v>
      </c>
      <c r="D297" s="197" t="s">
        <v>210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210</v>
      </c>
      <c r="C298" s="198" t="s">
        <v>210</v>
      </c>
      <c r="D298" s="197" t="s">
        <v>210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210</v>
      </c>
      <c r="C299" s="198" t="s">
        <v>210</v>
      </c>
      <c r="D299" s="197" t="s">
        <v>210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210</v>
      </c>
      <c r="C300" s="198" t="s">
        <v>210</v>
      </c>
      <c r="D300" s="197" t="s">
        <v>210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210</v>
      </c>
      <c r="C301" s="198" t="s">
        <v>210</v>
      </c>
      <c r="D301" s="197" t="s">
        <v>210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9360AE-2DF9-4A91-8AD6-7D879C061761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9E0386D0-DDDC-40D1-A3B3-A75065CAB1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FD02EC-A356-4339-B4D0-D83A2F3117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Lucas Fontaine</cp:lastModifiedBy>
  <cp:revision/>
  <dcterms:created xsi:type="dcterms:W3CDTF">2021-02-01T08:22:39Z</dcterms:created>
  <dcterms:modified xsi:type="dcterms:W3CDTF">2024-04-18T13:49:31Z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0x010100B17917BD1DD3FD43A53AD9CE171726C7</vt:lpwstr>
  </property>
</Properties>
</file>